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5"/>
  <workbookPr showInkAnnotation="0" codeName="ThisWorkbook" autoCompressPictures="0"/>
  <mc:AlternateContent xmlns:mc="http://schemas.openxmlformats.org/markup-compatibility/2006">
    <mc:Choice Requires="x15">
      <x15ac:absPath xmlns:x15ac="http://schemas.microsoft.com/office/spreadsheetml/2010/11/ac" url="C:\Users\a0411761\TI Drive\E2E_monkey\Jan_2024\snvc237d (1)\"/>
    </mc:Choice>
  </mc:AlternateContent>
  <xr:revisionPtr revIDLastSave="0" documentId="13_ncr:1_{E83895EB-B15B-4A8E-8137-4057955E221E}"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885" windowWidth="3465" windowHeight="7785"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AH315" i="29" s="1"/>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X148" i="29" s="1"/>
  <c r="Y148" i="29" s="1"/>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AG106" i="29" s="1"/>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V82" i="29"/>
  <c r="AH82" i="29" s="1"/>
  <c r="U82" i="29"/>
  <c r="AG82" i="29" s="1"/>
  <c r="U520" i="29"/>
  <c r="V520" i="29"/>
  <c r="V491" i="29"/>
  <c r="X491" i="29" s="1"/>
  <c r="Y491" i="29" s="1"/>
  <c r="W13" i="29"/>
  <c r="AA13" i="29" s="1"/>
  <c r="W523" i="29"/>
  <c r="AA523"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547" i="29" l="1"/>
  <c r="Y547" i="29" s="1"/>
  <c r="W281" i="29"/>
  <c r="AA281" i="29" s="1"/>
  <c r="W548" i="29"/>
  <c r="AA548" i="29" s="1"/>
  <c r="X315" i="29"/>
  <c r="Y315" i="29" s="1"/>
  <c r="X548" i="29"/>
  <c r="Y548" i="29" s="1"/>
  <c r="AH530" i="29"/>
  <c r="W474" i="29"/>
  <c r="AA474" i="29" s="1"/>
  <c r="AH148" i="29"/>
  <c r="X223" i="29"/>
  <c r="Y223" i="29" s="1"/>
  <c r="W263" i="29"/>
  <c r="AA263" i="29" s="1"/>
  <c r="AG414" i="29"/>
  <c r="X349" i="29"/>
  <c r="Y349" i="29" s="1"/>
  <c r="AG71" i="29"/>
  <c r="AH466" i="29"/>
  <c r="AH493" i="29"/>
  <c r="AH268" i="29"/>
  <c r="AH561" i="29"/>
  <c r="AH514" i="29"/>
  <c r="X100" i="29"/>
  <c r="Y100" i="29" s="1"/>
  <c r="W164" i="29"/>
  <c r="AA164" i="29" s="1"/>
  <c r="AG498" i="29"/>
  <c r="W569" i="29"/>
  <c r="AA569" i="29" s="1"/>
  <c r="L106" i="23"/>
  <c r="M60" i="1"/>
  <c r="E59" i="1"/>
  <c r="W353" i="29"/>
  <c r="AA353" i="29" s="1"/>
  <c r="W183" i="29"/>
  <c r="AA183" i="29" s="1"/>
  <c r="AG333" i="29"/>
  <c r="AG613" i="29"/>
  <c r="L60" i="1"/>
  <c r="L61" i="1" s="1"/>
  <c r="AW99" i="25"/>
  <c r="W130" i="29"/>
  <c r="AJ130" i="29" s="1"/>
  <c r="AK130" i="29" s="1"/>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A130" i="29" l="1"/>
  <c r="AJ473" i="29"/>
  <c r="AK473" i="29" s="1"/>
  <c r="CH282" i="24"/>
  <c r="AJ353" i="29"/>
  <c r="AK353" i="29" s="1"/>
  <c r="AJ263" i="29"/>
  <c r="AK263" i="29" s="1"/>
  <c r="L19" i="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G35" i="24"/>
  <c r="CH21" i="24"/>
  <c r="CG19" i="24"/>
  <c r="CH57" i="24"/>
  <c r="CH58" i="24"/>
  <c r="CH40" i="24"/>
  <c r="CG80" i="24"/>
  <c r="CH35" i="24"/>
  <c r="CG63" i="24"/>
  <c r="CG83" i="24"/>
  <c r="CH27" i="24"/>
  <c r="CG59" i="24"/>
  <c r="CH62" i="24"/>
  <c r="CH7" i="24"/>
  <c r="CH65" i="24"/>
  <c r="CG58" i="24"/>
  <c r="CH59" i="24"/>
  <c r="CH10" i="24"/>
  <c r="CH5" i="24"/>
  <c r="CG52" i="24"/>
  <c r="CG5" i="24"/>
  <c r="CH52" i="24"/>
  <c r="CG65" i="24"/>
  <c r="CG13" i="24"/>
  <c r="CH15" i="24"/>
  <c r="CH100" i="24"/>
  <c r="CG18" i="24"/>
  <c r="CH11" i="24"/>
  <c r="CG27" i="24"/>
  <c r="CG21" i="24"/>
  <c r="CG40" i="24"/>
  <c r="CG15" i="24"/>
  <c r="CG62" i="24"/>
  <c r="CH1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115" i="25"/>
  <c r="CI191" i="25"/>
  <c r="CI129" i="25"/>
  <c r="CI110"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54" i="25"/>
  <c r="CJ72" i="25"/>
  <c r="CI12" i="25"/>
  <c r="CI52" i="25"/>
  <c r="CI29" i="25"/>
  <c r="CI66" i="25"/>
  <c r="CI59" i="25"/>
  <c r="CI83" i="25"/>
  <c r="CI41" i="25"/>
  <c r="CI84" i="25"/>
  <c r="CI43" i="25"/>
  <c r="CI11" i="25"/>
  <c r="CI15" i="25"/>
  <c r="CI33" i="25"/>
  <c r="CJ10" i="25"/>
  <c r="CI13" i="25"/>
  <c r="CI72" i="25"/>
  <c r="CJ15" i="25"/>
  <c r="CJ41" i="25"/>
  <c r="CJ20" i="25"/>
  <c r="CJ54" i="25"/>
  <c r="CJ66" i="25"/>
  <c r="CJ59" i="25"/>
  <c r="CJ52" i="25"/>
  <c r="CJ8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48" i="24"/>
  <c r="CG257" i="24"/>
  <c r="CG313" i="24"/>
  <c r="CG218" i="24"/>
  <c r="CG220" i="24"/>
  <c r="CG291" i="24"/>
  <c r="CG312" i="24"/>
  <c r="CG275" i="24"/>
  <c r="CG270" i="24"/>
  <c r="CG290" i="24"/>
  <c r="CG221" i="24"/>
  <c r="CG252" i="24"/>
  <c r="CG240" i="24"/>
  <c r="CG226" i="24"/>
  <c r="CG287" i="24"/>
  <c r="CG250" i="24"/>
  <c r="CG222" i="24"/>
  <c r="CG273" i="24"/>
  <c r="CG302" i="24"/>
  <c r="CG304" i="24"/>
  <c r="CG231" i="24"/>
  <c r="CG236"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20" i="25"/>
  <c r="CI265" i="25"/>
  <c r="CI227" i="25"/>
  <c r="CI273" i="25"/>
  <c r="CI231" i="25"/>
  <c r="CI306" i="25"/>
  <c r="CI247" i="25"/>
  <c r="CI312" i="25"/>
  <c r="CI245" i="25"/>
  <c r="CI223" i="25"/>
  <c r="CI254" i="25"/>
  <c r="CI235" i="25"/>
  <c r="AF296" i="25"/>
  <c r="AM296" i="25" s="1"/>
  <c r="CI296" i="25" s="1"/>
  <c r="CI298" i="25"/>
  <c r="CI226" i="25"/>
  <c r="CI239" i="25"/>
  <c r="CI289"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CI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BM204" i="25" l="1"/>
  <c r="CI204" i="25"/>
  <c r="AM251" i="25"/>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CI293" i="25" s="1"/>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BJ132" i="25"/>
  <c r="AP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AM216" i="25"/>
  <c r="AJ216" i="25"/>
  <c r="BM93" i="25" l="1"/>
  <c r="CI93" i="25"/>
  <c r="BI132" i="25"/>
  <c r="AR132" i="25"/>
  <c r="BX132" i="25"/>
  <c r="CA132" i="25"/>
  <c r="BK132" i="25"/>
  <c r="BM80" i="25"/>
  <c r="CI80" i="25"/>
  <c r="BM73" i="25"/>
  <c r="CI73" i="25"/>
  <c r="BM35" i="25"/>
  <c r="CI35" i="25"/>
  <c r="BM62" i="25"/>
  <c r="CI62" i="25"/>
  <c r="AP251" i="25"/>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CG263" i="24" s="1"/>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AT119" i="24"/>
  <c r="AN217" i="24"/>
  <c r="AK217" i="24"/>
  <c r="AN313" i="24"/>
  <c r="AK313" i="24"/>
  <c r="AT114" i="24"/>
  <c r="AV45" i="24"/>
  <c r="AT45" i="24"/>
  <c r="AK126" i="24"/>
  <c r="AN126" i="24"/>
  <c r="AK161" i="24"/>
  <c r="AN161" i="24"/>
  <c r="AT160" i="24"/>
  <c r="AN32" i="24"/>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CG301" i="24" s="1"/>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CG93" i="24" s="1"/>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CG251" i="24" s="1"/>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CG284" i="24" s="1"/>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CG303" i="24" s="1"/>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BN32" i="24" l="1"/>
  <c r="CG32" i="24"/>
  <c r="BN73" i="24"/>
  <c r="CG73" i="24"/>
  <c r="BN144" i="24"/>
  <c r="CG144" i="24"/>
  <c r="AU294" i="25"/>
  <c r="BN17" i="24"/>
  <c r="CG17" i="24"/>
  <c r="AU102" i="25"/>
  <c r="BF102" i="25" s="1"/>
  <c r="BQ102" i="25" s="1"/>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E102" i="25"/>
  <c r="BP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BD102" i="25" l="1"/>
  <c r="AW299" i="24"/>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CF204" i="25" l="1"/>
  <c r="CJ204" i="25"/>
  <c r="BO167" i="25"/>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93" i="25" l="1"/>
  <c r="CJ93" i="25"/>
  <c r="CD93" i="24"/>
  <c r="CH93" i="24"/>
  <c r="CF80" i="25"/>
  <c r="CJ80" i="25"/>
  <c r="CF73" i="25"/>
  <c r="CJ73" i="25"/>
  <c r="CF35" i="25"/>
  <c r="CJ35" i="25"/>
  <c r="CD144" i="24"/>
  <c r="CH144" i="24"/>
  <c r="CJ68" i="25"/>
  <c r="CF62" i="25"/>
  <c r="CJ62" i="25"/>
  <c r="CF120" i="25"/>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32" i="24" l="1"/>
  <c r="CH32" i="24"/>
  <c r="CD73" i="24"/>
  <c r="CH73" i="24"/>
  <c r="CD23" i="24"/>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<sst xmlns="http://schemas.openxmlformats.org/spreadsheetml/2006/main" count="1554" uniqueCount="862">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</sst>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81" xfId="4" applyFont="1" applyFill="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96.720751086805038</c:v>
                </c:pt>
                <c:pt idx="1">
                  <c:v>89.92607611372668</c:v>
                </c:pt>
                <c:pt idx="2">
                  <c:v>89.276580319786873</c:v>
                </c:pt>
                <c:pt idx="3">
                  <c:v>88.605899560765792</c:v>
                </c:pt>
                <c:pt idx="4">
                  <c:v>87.91695334778052</c:v>
                </c:pt>
                <c:pt idx="5">
                  <c:v>87.210902325869242</c:v>
                </c:pt>
                <c:pt idx="6">
                  <c:v>86.49087039437704</c:v>
                </c:pt>
                <c:pt idx="7">
                  <c:v>85.758324250013629</c:v>
                </c:pt>
                <c:pt idx="8">
                  <c:v>85.015533598372301</c:v>
                </c:pt>
                <c:pt idx="9">
                  <c:v>84.263469927306872</c:v>
                </c:pt>
                <c:pt idx="10">
                  <c:v>83.50390494418528</c:v>
                </c:pt>
                <c:pt idx="11">
                  <c:v>82.737897454050653</c:v>
                </c:pt>
                <c:pt idx="12">
                  <c:v>81.966041968924927</c:v>
                </c:pt>
                <c:pt idx="13">
                  <c:v>81.189939714405909</c:v>
                </c:pt>
                <c:pt idx="14">
                  <c:v>80.409705513697091</c:v>
                </c:pt>
                <c:pt idx="15">
                  <c:v>79.626260525439577</c:v>
                </c:pt>
                <c:pt idx="16">
                  <c:v>78.840068579911133</c:v>
                </c:pt>
                <c:pt idx="17">
                  <c:v>78.051686099669965</c:v>
                </c:pt>
                <c:pt idx="18">
                  <c:v>77.261257677584908</c:v>
                </c:pt>
                <c:pt idx="19">
                  <c:v>76.469308975341519</c:v>
                </c:pt>
                <c:pt idx="20">
                  <c:v>75.675944475038506</c:v>
                </c:pt>
                <c:pt idx="21">
                  <c:v>74.881545140340734</c:v>
                </c:pt>
                <c:pt idx="22">
                  <c:v>74.086124058772512</c:v>
                </c:pt>
                <c:pt idx="23">
                  <c:v>73.290030313372498</c:v>
                </c:pt>
                <c:pt idx="24">
                  <c:v>72.493187997341607</c:v>
                </c:pt>
                <c:pt idx="25">
                  <c:v>71.695825644584701</c:v>
                </c:pt>
                <c:pt idx="26">
                  <c:v>70.897844753558928</c:v>
                </c:pt>
                <c:pt idx="27">
                  <c:v>70.099571746990932</c:v>
                </c:pt>
                <c:pt idx="28">
                  <c:v>69.301035623515972</c:v>
                </c:pt>
                <c:pt idx="29">
                  <c:v>68.502782239215932</c:v>
                </c:pt>
                <c:pt idx="30">
                  <c:v>67.703502491925818</c:v>
                </c:pt>
                <c:pt idx="31">
                  <c:v>66.904346621758734</c:v>
                </c:pt>
                <c:pt idx="32">
                  <c:v>66.10480003164848</c:v>
                </c:pt>
                <c:pt idx="33">
                  <c:v>65.305454730028359</c:v>
                </c:pt>
                <c:pt idx="34">
                  <c:v>64.505712096104205</c:v>
                </c:pt>
                <c:pt idx="35">
                  <c:v>63.70603608256738</c:v>
                </c:pt>
                <c:pt idx="36">
                  <c:v>62.906314646504114</c:v>
                </c:pt>
                <c:pt idx="37">
                  <c:v>62.106124080561514</c:v>
                </c:pt>
                <c:pt idx="38">
                  <c:v>61.306230172335169</c:v>
                </c:pt>
                <c:pt idx="39">
                  <c:v>60.505988938287992</c:v>
                </c:pt>
                <c:pt idx="40">
                  <c:v>59.705699832060219</c:v>
                </c:pt>
                <c:pt idx="41">
                  <c:v>58.905286860671808</c:v>
                </c:pt>
                <c:pt idx="42">
                  <c:v>58.104848720184343</c:v>
                </c:pt>
                <c:pt idx="43">
                  <c:v>57.304133549935116</c:v>
                </c:pt>
                <c:pt idx="44">
                  <c:v>56.503332087014762</c:v>
                </c:pt>
                <c:pt idx="45">
                  <c:v>55.702254429603528</c:v>
                </c:pt>
                <c:pt idx="46">
                  <c:v>54.901027022195663</c:v>
                </c:pt>
                <c:pt idx="47">
                  <c:v>54.099434006882063</c:v>
                </c:pt>
                <c:pt idx="48">
                  <c:v>53.29762005214215</c:v>
                </c:pt>
                <c:pt idx="49">
                  <c:v>52.49531691445042</c:v>
                </c:pt>
                <c:pt idx="50">
                  <c:v>51.692572229044949</c:v>
                </c:pt>
                <c:pt idx="51">
                  <c:v>50.889107860791121</c:v>
                </c:pt>
                <c:pt idx="52">
                  <c:v>50.085071594646031</c:v>
                </c:pt>
                <c:pt idx="53">
                  <c:v>49.280304651526478</c:v>
                </c:pt>
                <c:pt idx="54">
                  <c:v>48.475157374658636</c:v>
                </c:pt>
                <c:pt idx="55">
                  <c:v>47.668090691745391</c:v>
                </c:pt>
                <c:pt idx="56">
                  <c:v>46.860023828363481</c:v>
                </c:pt>
                <c:pt idx="57">
                  <c:v>46.050166758622375</c:v>
                </c:pt>
                <c:pt idx="58">
                  <c:v>45.238816394434153</c:v>
                </c:pt>
                <c:pt idx="59">
                  <c:v>44.425024298590898</c:v>
                </c:pt>
                <c:pt idx="60">
                  <c:v>43.608879680535424</c:v>
                </c:pt>
                <c:pt idx="61">
                  <c:v>42.789843025480693</c:v>
                </c:pt>
                <c:pt idx="62">
                  <c:v>41.9670083993677</c:v>
                </c:pt>
                <c:pt idx="63">
                  <c:v>41.140652906560213</c:v>
                </c:pt>
                <c:pt idx="64">
                  <c:v>40.309569071982409</c:v>
                </c:pt>
                <c:pt idx="65">
                  <c:v>39.473504339413118</c:v>
                </c:pt>
                <c:pt idx="66">
                  <c:v>38.631820101567257</c:v>
                </c:pt>
                <c:pt idx="67">
                  <c:v>37.784093556241416</c:v>
                </c:pt>
                <c:pt idx="68">
                  <c:v>36.92960054433857</c:v>
                </c:pt>
                <c:pt idx="69">
                  <c:v>36.068204389157088</c:v>
                </c:pt>
                <c:pt idx="70">
                  <c:v>35.199531493704164</c:v>
                </c:pt>
                <c:pt idx="71">
                  <c:v>34.323774424906169</c:v>
                </c:pt>
                <c:pt idx="72">
                  <c:v>33.44102689630089</c:v>
                </c:pt>
                <c:pt idx="73">
                  <c:v>32.552088895106621</c:v>
                </c:pt>
                <c:pt idx="74">
                  <c:v>31.657629508764778</c:v>
                </c:pt>
                <c:pt idx="75">
                  <c:v>30.75897988914123</c:v>
                </c:pt>
                <c:pt idx="76">
                  <c:v>29.857374120860417</c:v>
                </c:pt>
                <c:pt idx="77">
                  <c:v>28.954716124883007</c:v>
                </c:pt>
                <c:pt idx="78">
                  <c:v>28.052660710445608</c:v>
                </c:pt>
                <c:pt idx="79">
                  <c:v>27.153417583238184</c:v>
                </c:pt>
                <c:pt idx="80">
                  <c:v>26.256976821896039</c:v>
                </c:pt>
                <c:pt idx="81">
                  <c:v>25.365875002110691</c:v>
                </c:pt>
                <c:pt idx="82">
                  <c:v>24.480500532725799</c:v>
                </c:pt>
                <c:pt idx="83">
                  <c:v>23.602162202664651</c:v>
                </c:pt>
                <c:pt idx="84">
                  <c:v>22.730551191532797</c:v>
                </c:pt>
                <c:pt idx="85">
                  <c:v>21.866246789638346</c:v>
                </c:pt>
                <c:pt idx="86">
                  <c:v>21.008963461321667</c:v>
                </c:pt>
                <c:pt idx="87">
                  <c:v>20.157907522565935</c:v>
                </c:pt>
                <c:pt idx="88">
                  <c:v>19.313419576255942</c:v>
                </c:pt>
                <c:pt idx="89">
                  <c:v>18.474261572292313</c:v>
                </c:pt>
                <c:pt idx="90">
                  <c:v>17.640150190286526</c:v>
                </c:pt>
                <c:pt idx="91">
                  <c:v>16.81039435331256</c:v>
                </c:pt>
                <c:pt idx="92">
                  <c:v>15.98449451220775</c:v>
                </c:pt>
                <c:pt idx="93">
                  <c:v>15.161614346939981</c:v>
                </c:pt>
                <c:pt idx="94">
                  <c:v>14.956403872684266</c:v>
                </c:pt>
                <c:pt idx="95">
                  <c:v>14.853221671657572</c:v>
                </c:pt>
                <c:pt idx="96">
                  <c:v>14.751257595492014</c:v>
                </c:pt>
                <c:pt idx="97">
                  <c:v>14.648160401972119</c:v>
                </c:pt>
                <c:pt idx="98">
                  <c:v>14.546278134602161</c:v>
                </c:pt>
                <c:pt idx="99">
                  <c:v>14.443235826940201</c:v>
                </c:pt>
                <c:pt idx="100">
                  <c:v>14.341405929852144</c:v>
                </c:pt>
                <c:pt idx="101">
                  <c:v>14.238468401700274</c:v>
                </c:pt>
                <c:pt idx="102">
                  <c:v>14.136739580163544</c:v>
                </c:pt>
                <c:pt idx="103">
                  <c:v>14.033803821327414</c:v>
                </c:pt>
                <c:pt idx="104">
                  <c:v>13.93207544716272</c:v>
                </c:pt>
                <c:pt idx="105">
                  <c:v>13.82919449206196</c:v>
                </c:pt>
                <c:pt idx="106">
                  <c:v>13.727518337440806</c:v>
                </c:pt>
                <c:pt idx="107">
                  <c:v>13.624741343513268</c:v>
                </c:pt>
                <c:pt idx="108">
                  <c:v>13.523165400051958</c:v>
                </c:pt>
                <c:pt idx="109">
                  <c:v>13.420468350421309</c:v>
                </c:pt>
                <c:pt idx="110">
                  <c:v>13.318969138885983</c:v>
                </c:pt>
                <c:pt idx="111">
                  <c:v>13.216263086479385</c:v>
                </c:pt>
                <c:pt idx="112">
                  <c:v>13.11475369675831</c:v>
                </c:pt>
                <c:pt idx="113">
                  <c:v>13.012091350290188</c:v>
                </c:pt>
                <c:pt idx="114">
                  <c:v>12.910623241576634</c:v>
                </c:pt>
                <c:pt idx="115">
                  <c:v>12.807988697945298</c:v>
                </c:pt>
                <c:pt idx="116">
                  <c:v>12.706546306874298</c:v>
                </c:pt>
                <c:pt idx="117">
                  <c:v>12.603926006894746</c:v>
                </c:pt>
                <c:pt idx="118">
                  <c:v>12.502496056957586</c:v>
                </c:pt>
                <c:pt idx="119">
                  <c:v>12.399940431885037</c:v>
                </c:pt>
                <c:pt idx="120">
                  <c:v>12.298572161035528</c:v>
                </c:pt>
                <c:pt idx="121">
                  <c:v>12.196067533371881</c:v>
                </c:pt>
                <c:pt idx="122">
                  <c:v>12.094747549043014</c:v>
                </c:pt>
                <c:pt idx="123">
                  <c:v>11.992223255080388</c:v>
                </c:pt>
                <c:pt idx="124">
                  <c:v>11.890882482358162</c:v>
                </c:pt>
                <c:pt idx="125">
                  <c:v>11.78839047601725</c:v>
                </c:pt>
                <c:pt idx="126">
                  <c:v>11.687079638470259</c:v>
                </c:pt>
                <c:pt idx="127">
                  <c:v>11.584611765278815</c:v>
                </c:pt>
                <c:pt idx="128">
                  <c:v>11.483322857318271</c:v>
                </c:pt>
                <c:pt idx="129">
                  <c:v>11.380872538846392</c:v>
                </c:pt>
                <c:pt idx="130">
                  <c:v>11.27959909186214</c:v>
                </c:pt>
                <c:pt idx="131">
                  <c:v>11.177161188955926</c:v>
                </c:pt>
                <c:pt idx="132">
                  <c:v>11.126384548735137</c:v>
                </c:pt>
                <c:pt idx="133">
                  <c:v>11.075898137785668</c:v>
                </c:pt>
                <c:pt idx="134">
                  <c:v>11.024508677398067</c:v>
                </c:pt>
                <c:pt idx="135">
                  <c:v>10.973416246593359</c:v>
                </c:pt>
                <c:pt idx="136">
                  <c:v>10.922617317757394</c:v>
                </c:pt>
                <c:pt idx="137">
                  <c:v>10.872108425560306</c:v>
                </c:pt>
                <c:pt idx="138">
                  <c:v>10.82074922982374</c:v>
                </c:pt>
                <c:pt idx="139">
                  <c:v>10.769686252039584</c:v>
                </c:pt>
                <c:pt idx="140">
                  <c:v>10.718915978197899</c:v>
                </c:pt>
                <c:pt idx="141">
                  <c:v>10.668434956235505</c:v>
                </c:pt>
                <c:pt idx="142">
                  <c:v>10.617052937928328</c:v>
                </c:pt>
                <c:pt idx="143">
                  <c:v>10.565966923888563</c:v>
                </c:pt>
                <c:pt idx="144">
                  <c:v>10.515173402980437</c:v>
                </c:pt>
                <c:pt idx="145">
                  <c:v>10.464668925929104</c:v>
                </c:pt>
                <c:pt idx="146">
                  <c:v>10.413290187424348</c:v>
                </c:pt>
                <c:pt idx="147">
                  <c:v>10.362206925378164</c:v>
                </c:pt>
                <c:pt idx="148">
                  <c:v>10.311415636979044</c:v>
                </c:pt>
                <c:pt idx="149">
                  <c:v>10.260912881062836</c:v>
                </c:pt>
                <c:pt idx="150">
                  <c:v>10.209537522148677</c:v>
                </c:pt>
                <c:pt idx="151">
                  <c:v>10.158457096385192</c:v>
                </c:pt>
                <c:pt idx="152">
                  <c:v>10.107668109430673</c:v>
                </c:pt>
                <c:pt idx="153">
                  <c:v>10.05716712837433</c:v>
                </c:pt>
                <c:pt idx="154">
                  <c:v>10.005772064896764</c:v>
                </c:pt>
                <c:pt idx="155">
                  <c:v>9.9546716399674864</c:v>
                </c:pt>
                <c:pt idx="156">
                  <c:v>9.903862363175179</c:v>
                </c:pt>
                <c:pt idx="157">
                  <c:v>9.8533408054293954</c:v>
                </c:pt>
                <c:pt idx="158">
                  <c:v>9.8019284663836643</c:v>
                </c:pt>
                <c:pt idx="159">
                  <c:v>9.750810426578699</c:v>
                </c:pt>
                <c:pt idx="160">
                  <c:v>9.6999832001891892</c:v>
                </c:pt>
                <c:pt idx="161">
                  <c:v>9.6494433625857017</c:v>
                </c:pt>
                <c:pt idx="162">
                  <c:v>9.5980389213638784</c:v>
                </c:pt>
                <c:pt idx="163">
                  <c:v>9.546928135547212</c:v>
                </c:pt>
                <c:pt idx="164">
                  <c:v>9.4961075291479045</c:v>
                </c:pt>
                <c:pt idx="165">
                  <c:v>9.4455736871269043</c:v>
                </c:pt>
                <c:pt idx="166">
                  <c:v>9.3941344351938518</c:v>
                </c:pt>
                <c:pt idx="167">
                  <c:v>9.3429886631810106</c:v>
                </c:pt>
                <c:pt idx="168">
                  <c:v>9.2921328964991829</c:v>
                </c:pt>
                <c:pt idx="169">
                  <c:v>9.2415637214582631</c:v>
                </c:pt>
                <c:pt idx="170">
                  <c:v>9.1902017662730664</c:v>
                </c:pt>
                <c:pt idx="171">
                  <c:v>9.1391318230409233</c:v>
                </c:pt>
                <c:pt idx="172">
                  <c:v>9.0883504412866305</c:v>
                </c:pt>
                <c:pt idx="173">
                  <c:v>9.0378542308566239</c:v>
                </c:pt>
                <c:pt idx="174">
                  <c:v>8.9863775655090752</c:v>
                </c:pt>
                <c:pt idx="175">
                  <c:v>8.935193603261709</c:v>
                </c:pt>
                <c:pt idx="176">
                  <c:v>8.8842988794086732</c:v>
                </c:pt>
                <c:pt idx="177">
                  <c:v>8.8336899898804404</c:v>
                </c:pt>
                <c:pt idx="178">
                  <c:v>8.7821295859820516</c:v>
                </c:pt>
                <c:pt idx="179">
                  <c:v>8.7308622008222585</c:v>
                </c:pt>
                <c:pt idx="180">
                  <c:v>8.6798843619258665</c:v>
                </c:pt>
                <c:pt idx="181">
                  <c:v>8.6291926576191553</c:v>
                </c:pt>
                <c:pt idx="182">
                  <c:v>8.5777784188334465</c:v>
                </c:pt>
                <c:pt idx="183">
                  <c:v>8.5266548916501712</c:v>
                </c:pt>
                <c:pt idx="184">
                  <c:v>8.475818642083242</c:v>
                </c:pt>
                <c:pt idx="185">
                  <c:v>8.4252662960391547</c:v>
                </c:pt>
                <c:pt idx="186">
                  <c:v>8.373618454623962</c:v>
                </c:pt>
                <c:pt idx="187">
                  <c:v>8.3222632843125446</c:v>
                </c:pt>
                <c:pt idx="188">
                  <c:v>8.2711973139255655</c:v>
                </c:pt>
                <c:pt idx="189">
                  <c:v>8.2204171330262525</c:v>
                </c:pt>
                <c:pt idx="190">
                  <c:v>8.1689584179421395</c:v>
                </c:pt>
                <c:pt idx="191">
                  <c:v>8.1177895396502144</c:v>
                </c:pt>
                <c:pt idx="192">
                  <c:v>8.0669070744621436</c:v>
                </c:pt>
                <c:pt idx="193">
                  <c:v>8.0163076583164887</c:v>
                </c:pt>
                <c:pt idx="194">
                  <c:v>7.964672476580958</c:v>
                </c:pt>
                <c:pt idx="195">
                  <c:v>7.9133283883935777</c:v>
                </c:pt>
                <c:pt idx="196">
                  <c:v>7.8622719449786178</c:v>
                </c:pt>
                <c:pt idx="197">
                  <c:v>7.8114997577564251</c:v>
                </c:pt>
                <c:pt idx="198">
                  <c:v>7.7599059673111883</c:v>
                </c:pt>
                <c:pt idx="199">
                  <c:v>7.7086020501640862</c:v>
                </c:pt>
                <c:pt idx="200">
                  <c:v>7.6575845761017369</c:v>
                </c:pt>
                <c:pt idx="201">
                  <c:v>7.6068501746647597</c:v>
                </c:pt>
                <c:pt idx="202">
                  <c:v>7.5553174004496082</c:v>
                </c:pt>
                <c:pt idx="203">
                  <c:v>7.5040730369931188</c:v>
                </c:pt>
                <c:pt idx="204">
                  <c:v>7.4531136767298207</c:v>
                </c:pt>
                <c:pt idx="205">
                  <c:v>7.4024359713138965</c:v>
                </c:pt>
                <c:pt idx="206">
                  <c:v>7.3508065424047757</c:v>
                </c:pt>
                <c:pt idx="207">
                  <c:v>7.2994657945172561</c:v>
                </c:pt>
                <c:pt idx="208">
                  <c:v>7.2484103119033971</c:v>
                </c:pt>
                <c:pt idx="209">
                  <c:v>7.1976367382143911</c:v>
                </c:pt>
                <c:pt idx="210">
                  <c:v>7.145766949623459</c:v>
                </c:pt>
                <c:pt idx="211">
                  <c:v>7.0941876801984556</c:v>
                </c:pt>
                <c:pt idx="212">
                  <c:v>7.0428954779582318</c:v>
                </c:pt>
                <c:pt idx="213">
                  <c:v>6.9918869511510753</c:v>
                </c:pt>
                <c:pt idx="214">
                  <c:v>6.9401504011116071</c:v>
                </c:pt>
                <c:pt idx="215">
                  <c:v>6.8887020069798934</c:v>
                </c:pt>
                <c:pt idx="216">
                  <c:v>6.8375383548582658</c:v>
                </c:pt>
                <c:pt idx="217">
                  <c:v>6.7866560901891351</c:v>
                </c:pt>
                <c:pt idx="218">
                  <c:v>6.7349012924152953</c:v>
                </c:pt>
                <c:pt idx="219">
                  <c:v>6.6834339459958052</c:v>
                </c:pt>
                <c:pt idx="220">
                  <c:v>6.6322506454856889</c:v>
                </c:pt>
                <c:pt idx="221">
                  <c:v>6.5813480445783963</c:v>
                </c:pt>
                <c:pt idx="222">
                  <c:v>6.5295974038723514</c:v>
                </c:pt>
                <c:pt idx="223">
                  <c:v>6.4781332285382494</c:v>
                </c:pt>
                <c:pt idx="224">
                  <c:v>6.4269521263625133</c:v>
                </c:pt>
                <c:pt idx="225">
                  <c:v>6.3760507639596007</c:v>
                </c:pt>
                <c:pt idx="226">
                  <c:v>6.3241676887216496</c:v>
                </c:pt>
                <c:pt idx="227">
                  <c:v>6.2725715636445276</c:v>
                </c:pt>
                <c:pt idx="228">
                  <c:v>6.2212589834615226</c:v>
                </c:pt>
                <c:pt idx="229">
                  <c:v>6.1702266020307466</c:v>
                </c:pt>
                <c:pt idx="230">
                  <c:v>6.0665412196582524</c:v>
                </c:pt>
                <c:pt idx="231">
                  <c:v>6.0151257189237795</c:v>
                </c:pt>
                <c:pt idx="232">
                  <c:v>5.9639905216697393</c:v>
                </c:pt>
                <c:pt idx="233">
                  <c:v>5.9119283562950864</c:v>
                </c:pt>
                <c:pt idx="234">
                  <c:v>5.8601530338746963</c:v>
                </c:pt>
                <c:pt idx="235">
                  <c:v>5.8086611413860778</c:v>
                </c:pt>
                <c:pt idx="236">
                  <c:v>5.7574493251068883</c:v>
                </c:pt>
                <c:pt idx="237">
                  <c:v>5.7054836669686662</c:v>
                </c:pt>
                <c:pt idx="238">
                  <c:v>5.6538026952863882</c:v>
                </c:pt>
                <c:pt idx="239">
                  <c:v>5.6024030301988823</c:v>
                </c:pt>
                <c:pt idx="240">
                  <c:v>5.5512813503802665</c:v>
                </c:pt>
                <c:pt idx="241">
                  <c:v>5.4991379007494814</c:v>
                </c:pt>
                <c:pt idx="242">
                  <c:v>5.4472799404135488</c:v>
                </c:pt>
                <c:pt idx="243">
                  <c:v>5.3957040698321901</c:v>
                </c:pt>
                <c:pt idx="244">
                  <c:v>5.3444069484559247</c:v>
                </c:pt>
                <c:pt idx="245">
                  <c:v>5.2922577147342666</c:v>
                </c:pt>
                <c:pt idx="246">
                  <c:v>5.2403928465874925</c:v>
                </c:pt>
                <c:pt idx="247">
                  <c:v>5.1888089588184627</c:v>
                </c:pt>
                <c:pt idx="248">
                  <c:v>5.1375027248931913</c:v>
                </c:pt>
                <c:pt idx="249">
                  <c:v>5.0852295969101053</c:v>
                </c:pt>
                <c:pt idx="250">
                  <c:v>5.0332409482531117</c:v>
                </c:pt>
                <c:pt idx="251">
                  <c:v>4.9815333857800397</c:v>
                </c:pt>
                <c:pt idx="252">
                  <c:v>4.9301035752001701</c:v>
                </c:pt>
                <c:pt idx="253">
                  <c:v>4.8778685295437665</c:v>
                </c:pt>
                <c:pt idx="254">
                  <c:v>4.8259162713073271</c:v>
                </c:pt>
                <c:pt idx="255">
                  <c:v>4.7742434313449875</c:v>
                </c:pt>
                <c:pt idx="256">
                  <c:v>4.7228466988163547</c:v>
                </c:pt>
                <c:pt idx="257">
                  <c:v>4.670401964143883</c:v>
                </c:pt>
                <c:pt idx="258">
                  <c:v>4.6182409514120781</c:v>
                </c:pt>
                <c:pt idx="259">
                  <c:v>4.5663602683612412</c:v>
                </c:pt>
                <c:pt idx="260">
                  <c:v>4.5147565815784638</c:v>
                </c:pt>
                <c:pt idx="261">
                  <c:v>4.4622631808155226</c:v>
                </c:pt>
                <c:pt idx="262">
                  <c:v>4.4100526402269233</c:v>
                </c:pt>
                <c:pt idx="263">
                  <c:v>4.3581215762346419</c:v>
                </c:pt>
                <c:pt idx="264">
                  <c:v>4.3064666639179894</c:v>
                </c:pt>
                <c:pt idx="265">
                  <c:v>4.2539458875509029</c:v>
                </c:pt>
                <c:pt idx="266">
                  <c:v>4.201706828555559</c:v>
                </c:pt>
                <c:pt idx="267">
                  <c:v>4.1497461168148826</c:v>
                </c:pt>
                <c:pt idx="268">
                  <c:v>4.0980604405721612</c:v>
                </c:pt>
                <c:pt idx="269">
                  <c:v>4.0454079984128803</c:v>
                </c:pt>
                <c:pt idx="270">
                  <c:v>3.9930371895747419</c:v>
                </c:pt>
                <c:pt idx="271">
                  <c:v>3.9409446381888538</c:v>
                </c:pt>
                <c:pt idx="272">
                  <c:v>3.8891270268943616</c:v>
                </c:pt>
                <c:pt idx="273">
                  <c:v>3.8363686427034267</c:v>
                </c:pt>
                <c:pt idx="274">
                  <c:v>3.783891469107747</c:v>
                </c:pt>
                <c:pt idx="275">
                  <c:v>3.7316921302654982</c:v>
                </c:pt>
                <c:pt idx="276">
                  <c:v>3.6797673088601703</c:v>
                </c:pt>
                <c:pt idx="277">
                  <c:v>3.6270454358629567</c:v>
                </c:pt>
                <c:pt idx="278">
                  <c:v>3.574602780176301</c:v>
                </c:pt>
                <c:pt idx="279">
                  <c:v>3.522435993911758</c:v>
                </c:pt>
                <c:pt idx="280">
                  <c:v>3.4705417870829214</c:v>
                </c:pt>
                <c:pt idx="281">
                  <c:v>3.4175222270372156</c:v>
                </c:pt>
                <c:pt idx="282">
                  <c:v>3.3647833603890733</c:v>
                </c:pt>
                <c:pt idx="283">
                  <c:v>3.3123218046028287</c:v>
                </c:pt>
                <c:pt idx="284">
                  <c:v>3.2601342358661012</c:v>
                </c:pt>
                <c:pt idx="285">
                  <c:v>3.2071931696042677</c:v>
                </c:pt>
                <c:pt idx="286">
                  <c:v>3.1545302358126888</c:v>
                </c:pt>
                <c:pt idx="287">
                  <c:v>3.1021420896452896</c:v>
                </c:pt>
                <c:pt idx="288">
                  <c:v>3.0500254441368906</c:v>
                </c:pt>
                <c:pt idx="289">
                  <c:v>2.9968396927916658</c:v>
                </c:pt>
                <c:pt idx="290">
                  <c:v>2.9439328402863563</c:v>
                </c:pt>
                <c:pt idx="291">
                  <c:v>2.8913015192779405</c:v>
                </c:pt>
                <c:pt idx="292">
                  <c:v>2.8389424208517906</c:v>
                </c:pt>
                <c:pt idx="293">
                  <c:v>2.7856516838200336</c:v>
                </c:pt>
                <c:pt idx="294">
                  <c:v>2.7326390707498565</c:v>
                </c:pt>
                <c:pt idx="295">
                  <c:v>2.6799012192728471</c:v>
                </c:pt>
                <c:pt idx="296">
                  <c:v>2.6274348253668967</c:v>
                </c:pt>
                <c:pt idx="297">
                  <c:v>2.5740607001525428</c:v>
                </c:pt>
                <c:pt idx="298">
                  <c:v>2.520963627042291</c:v>
                </c:pt>
                <c:pt idx="299">
                  <c:v>2.4681402537486825</c:v>
                </c:pt>
                <c:pt idx="300">
                  <c:v>2.4155872861340857</c:v>
                </c:pt>
                <c:pt idx="301">
                  <c:v>2.3621495711897325</c:v>
                </c:pt>
                <c:pt idx="302">
                  <c:v>2.3089875611172679</c:v>
                </c:pt>
                <c:pt idx="303">
                  <c:v>2.2560979184463155</c:v>
                </c:pt>
                <c:pt idx="304">
                  <c:v>2.2034773635546392</c:v>
                </c:pt>
                <c:pt idx="305">
                  <c:v>2.1497889738737097</c:v>
                </c:pt>
                <c:pt idx="306">
                  <c:v>2.0963767869919647</c:v>
                </c:pt>
                <c:pt idx="307">
                  <c:v>2.043237446532324</c:v>
                </c:pt>
                <c:pt idx="308">
                  <c:v>1.9903676544460582</c:v>
                </c:pt>
                <c:pt idx="309">
                  <c:v>1.936658508991884</c:v>
                </c:pt>
                <c:pt idx="310">
                  <c:v>1.8832236226145185</c:v>
                </c:pt>
                <c:pt idx="311">
                  <c:v>1.8300596640785325</c:v>
                </c:pt>
                <c:pt idx="312">
                  <c:v>1.7771633599446668</c:v>
                </c:pt>
                <c:pt idx="313">
                  <c:v>1.7232510659232234</c:v>
                </c:pt>
                <c:pt idx="314">
                  <c:v>1.6696128681884292</c:v>
                </c:pt>
                <c:pt idx="315">
                  <c:v>1.6162454280329153</c:v>
                </c:pt>
                <c:pt idx="316">
                  <c:v>1.5631454647704246</c:v>
                </c:pt>
                <c:pt idx="317">
                  <c:v>1.5090549559162088</c:v>
                </c:pt>
                <c:pt idx="318">
                  <c:v>1.4552380338326578</c:v>
                </c:pt>
                <c:pt idx="319">
                  <c:v>1.4016913583544108</c:v>
                </c:pt>
                <c:pt idx="320">
                  <c:v>1.3484116474286725</c:v>
                </c:pt>
                <c:pt idx="321">
                  <c:v>1.2941658587290488</c:v>
                </c:pt>
                <c:pt idx="322">
                  <c:v>1.2401928237062143</c:v>
                </c:pt>
                <c:pt idx="323">
                  <c:v>1.1864892063815944</c:v>
                </c:pt>
                <c:pt idx="324">
                  <c:v>1.1330517288552158</c:v>
                </c:pt>
                <c:pt idx="325">
                  <c:v>1.0786716879832707</c:v>
                </c:pt>
                <c:pt idx="326">
                  <c:v>1.0245632668354272</c:v>
                </c:pt>
                <c:pt idx="327">
                  <c:v>0.97072313889433071</c:v>
                </c:pt>
                <c:pt idx="328">
                  <c:v>0.91714803557050983</c:v>
                </c:pt>
                <c:pt idx="329">
                  <c:v>0.86256205283040166</c:v>
                </c:pt>
                <c:pt idx="330">
                  <c:v>0.80824717604927543</c:v>
                </c:pt>
                <c:pt idx="331">
                  <c:v>0.75420007658022492</c:v>
                </c:pt>
                <c:pt idx="332">
                  <c:v>0.70041748382757718</c:v>
                </c:pt>
                <c:pt idx="333">
                  <c:v>0.64573749305538009</c:v>
                </c:pt>
                <c:pt idx="334">
                  <c:v>0.59132689207518996</c:v>
                </c:pt>
                <c:pt idx="335">
                  <c:v>0.53718237197776286</c:v>
                </c:pt>
                <c:pt idx="336">
                  <c:v>0.48330068152764594</c:v>
                </c:pt>
                <c:pt idx="337">
                  <c:v>0.42836759284943798</c:v>
                </c:pt>
                <c:pt idx="338">
                  <c:v>0.37370364669941086</c:v>
                </c:pt>
                <c:pt idx="339">
                  <c:v>0.31930552671910573</c:v>
                </c:pt>
                <c:pt idx="340">
                  <c:v>0.26516997448305368</c:v>
                </c:pt>
                <c:pt idx="341">
                  <c:v>0.2100080347765062</c:v>
                </c:pt>
                <c:pt idx="342">
                  <c:v>0.15511464247717588</c:v>
                </c:pt>
                <c:pt idx="343">
                  <c:v>0.10048647994741761</c:v>
                </c:pt>
                <c:pt idx="344">
                  <c:v>4.6120287606123057E-2</c:v>
                </c:pt>
                <c:pt idx="345">
                  <c:v>-9.1641908438514826E-3</c:v>
                </c:pt>
                <c:pt idx="346">
                  <c:v>-6.4181850079722186E-2</c:v>
                </c:pt>
                <c:pt idx="347">
                  <c:v>-0.118935988243154</c:v>
                </c:pt>
                <c:pt idx="348">
                  <c:v>-0.17342984577210341</c:v>
                </c:pt>
                <c:pt idx="349">
                  <c:v>-0.22898626923438134</c:v>
                </c:pt>
                <c:pt idx="350">
                  <c:v>-0.28427626443301041</c:v>
                </c:pt>
                <c:pt idx="351">
                  <c:v>-0.33930313487456337</c:v>
                </c:pt>
                <c:pt idx="352">
                  <c:v>-0.3940701261287135</c:v>
                </c:pt>
                <c:pt idx="353">
                  <c:v>-0.44987518873819532</c:v>
                </c:pt>
                <c:pt idx="354">
                  <c:v>-0.50541455414602632</c:v>
                </c:pt>
                <c:pt idx="355">
                  <c:v>-0.56069152508295506</c:v>
                </c:pt>
                <c:pt idx="356">
                  <c:v>-0.61570934624423446</c:v>
                </c:pt>
                <c:pt idx="357">
                  <c:v>-0.6716623139992256</c:v>
                </c:pt>
                <c:pt idx="358">
                  <c:v>-0.72735137826748353</c:v>
                </c:pt>
                <c:pt idx="359">
                  <c:v>-0.78277982132941071</c:v>
                </c:pt>
                <c:pt idx="360">
                  <c:v>-0.83795086778290118</c:v>
                </c:pt>
                <c:pt idx="361">
                  <c:v>-0.89419256647256495</c:v>
                </c:pt>
                <c:pt idx="362">
                  <c:v>-0.95017093612299042</c:v>
                </c:pt>
                <c:pt idx="363">
                  <c:v>-1.0058892612926904</c:v>
                </c:pt>
                <c:pt idx="364">
                  <c:v>-1.0613507686706283</c:v>
                </c:pt>
                <c:pt idx="365">
                  <c:v>-1.1177826127346191</c:v>
                </c:pt>
                <c:pt idx="366">
                  <c:v>-1.1739527369713669</c:v>
                </c:pt>
                <c:pt idx="367">
                  <c:v>-1.229864408948985</c:v>
                </c:pt>
                <c:pt idx="368">
                  <c:v>-1.2855208386215409</c:v>
                </c:pt>
                <c:pt idx="369">
                  <c:v>-1.3422770454210324</c:v>
                </c:pt>
                <c:pt idx="370">
                  <c:v>-1.3987720129878625</c:v>
                </c:pt>
                <c:pt idx="371">
                  <c:v>-1.4550090129668189</c:v>
                </c:pt>
                <c:pt idx="372">
                  <c:v>-1.5109912591405104</c:v>
                </c:pt>
                <c:pt idx="373">
                  <c:v>-1.5679755592913041</c:v>
                </c:pt>
                <c:pt idx="374">
                  <c:v>-1.6247001054602761</c:v>
                </c:pt>
                <c:pt idx="375">
                  <c:v>-1.6811681545239674</c:v>
                </c:pt>
                <c:pt idx="376">
                  <c:v>-1.7373829056816135</c:v>
                </c:pt>
                <c:pt idx="377">
                  <c:v>-1.7947235233762231</c:v>
                </c:pt>
                <c:pt idx="378">
                  <c:v>-1.8518048255200217</c:v>
                </c:pt>
                <c:pt idx="379">
                  <c:v>-1.9086300737711763</c:v>
                </c:pt>
                <c:pt idx="380">
                  <c:v>-1.9652024718245842</c:v>
                </c:pt>
                <c:pt idx="381">
                  <c:v>-2.0227344525947393</c:v>
                </c:pt>
                <c:pt idx="382">
                  <c:v>-2.0800091626551205</c:v>
                </c:pt>
                <c:pt idx="383">
                  <c:v>-2.1370298381055925</c:v>
                </c:pt>
                <c:pt idx="384">
                  <c:v>-2.1937996575028746</c:v>
                </c:pt>
                <c:pt idx="385">
                  <c:v>-2.2517194188667404</c:v>
                </c:pt>
                <c:pt idx="386">
                  <c:v>-2.3093823152602653</c:v>
                </c:pt>
                <c:pt idx="387">
                  <c:v>-2.3667915878697063</c:v>
                </c:pt>
                <c:pt idx="388">
                  <c:v>-2.4239504200229165</c:v>
                </c:pt>
                <c:pt idx="389">
                  <c:v>-2.4821665764880749</c:v>
                </c:pt>
                <c:pt idx="390">
                  <c:v>-2.5401272121245877</c:v>
                </c:pt>
                <c:pt idx="391">
                  <c:v>-2.5978355552872587</c:v>
                </c:pt>
                <c:pt idx="392">
                  <c:v>-2.65529477657046</c:v>
                </c:pt>
                <c:pt idx="393">
                  <c:v>-2.7137901196940057</c:v>
                </c:pt>
                <c:pt idx="394">
                  <c:v>-2.7720315499025574</c:v>
                </c:pt>
                <c:pt idx="395">
                  <c:v>-2.8300222774064321</c:v>
                </c:pt>
                <c:pt idx="396">
                  <c:v>-2.8877654548693816</c:v>
                </c:pt>
                <c:pt idx="397">
                  <c:v>-2.9466570877283504</c:v>
                </c:pt>
                <c:pt idx="398">
                  <c:v>-3.0052955209458716</c:v>
                </c:pt>
                <c:pt idx="399">
                  <c:v>-3.0636839631354258</c:v>
                </c:pt>
                <c:pt idx="400">
                  <c:v>-3.121825565171866</c:v>
                </c:pt>
                <c:pt idx="401">
                  <c:v>-3.1810275814350968</c:v>
                </c:pt>
                <c:pt idx="402">
                  <c:v>-3.239977972430037</c:v>
                </c:pt>
                <c:pt idx="403">
                  <c:v>-3.2986799284332449</c:v>
                </c:pt>
                <c:pt idx="404">
                  <c:v>-3.3571365821793719</c:v>
                </c:pt>
                <c:pt idx="405">
                  <c:v>-3.4166975031705489</c:v>
                </c:pt>
                <c:pt idx="406">
                  <c:v>-3.4760080749492079</c:v>
                </c:pt>
                <c:pt idx="407">
                  <c:v>-3.5350714745910716</c:v>
                </c:pt>
                <c:pt idx="408">
                  <c:v>-3.5938908216926428</c:v>
                </c:pt>
                <c:pt idx="409">
                  <c:v>-3.6538564860916778</c:v>
                </c:pt>
                <c:pt idx="410">
                  <c:v>-3.7135728140719864</c:v>
                </c:pt>
                <c:pt idx="411">
                  <c:v>-3.7730429739289892</c:v>
                </c:pt>
                <c:pt idx="412">
                  <c:v>-3.8322700764236335</c:v>
                </c:pt>
                <c:pt idx="413">
                  <c:v>-3.8926218102710113</c:v>
                </c:pt>
                <c:pt idx="414">
                  <c:v>-3.9527254968885392</c:v>
                </c:pt>
                <c:pt idx="415">
                  <c:v>-4.0125842898899231</c:v>
                </c:pt>
                <c:pt idx="416">
                  <c:v>-4.0722012854297249</c:v>
                </c:pt>
                <c:pt idx="417">
                  <c:v>-4.1329831409656173</c:v>
                </c:pt>
                <c:pt idx="418">
                  <c:v>-4.1935179956689446</c:v>
                </c:pt>
                <c:pt idx="419">
                  <c:v>-4.2538089923544442</c:v>
                </c:pt>
                <c:pt idx="420">
                  <c:v>-4.3138592163478311</c:v>
                </c:pt>
                <c:pt idx="421">
                  <c:v>-4.3749928478638704</c:v>
                </c:pt>
                <c:pt idx="422">
                  <c:v>-4.435881270840488</c:v>
                </c:pt>
                <c:pt idx="423">
                  <c:v>-4.4965276022903042</c:v>
                </c:pt>
                <c:pt idx="424">
                  <c:v>-4.5569349020617516</c:v>
                </c:pt>
                <c:pt idx="425">
                  <c:v>-4.6185838163433033</c:v>
                </c:pt>
                <c:pt idx="426">
                  <c:v>-4.6799881161066796</c:v>
                </c:pt>
                <c:pt idx="427">
                  <c:v>-4.7411509144496709</c:v>
                </c:pt>
                <c:pt idx="428">
                  <c:v>-4.8020752670859093</c:v>
                </c:pt>
                <c:pt idx="429">
                  <c:v>-4.8641605884197689</c:v>
                </c:pt>
                <c:pt idx="430">
                  <c:v>-4.926002634658456</c:v>
                </c:pt>
                <c:pt idx="431">
                  <c:v>-4.9876044998266043</c:v>
                </c:pt>
                <c:pt idx="432">
                  <c:v>-5.0489692207051906</c:v>
                </c:pt>
                <c:pt idx="433">
                  <c:v>-5.1114746930930846</c:v>
                </c:pt>
                <c:pt idx="434">
                  <c:v>-5.1737384569731537</c:v>
                </c:pt>
                <c:pt idx="435">
                  <c:v>-5.2357635819108879</c:v>
                </c:pt>
                <c:pt idx="436">
                  <c:v>-5.2975530804928583</c:v>
                </c:pt>
                <c:pt idx="437">
                  <c:v>-5.3605767662297854</c:v>
                </c:pt>
                <c:pt idx="438">
                  <c:v>-5.4233596544256804</c:v>
                </c:pt>
                <c:pt idx="439">
                  <c:v>-5.4859048014824685</c:v>
                </c:pt>
                <c:pt idx="440">
                  <c:v>-5.5482152068009318</c:v>
                </c:pt>
                <c:pt idx="441">
                  <c:v>-5.6117386447666195</c:v>
                </c:pt>
                <c:pt idx="442">
                  <c:v>-5.6750224436800254</c:v>
                </c:pt>
                <c:pt idx="443">
                  <c:v>-5.7380696408337766</c:v>
                </c:pt>
                <c:pt idx="444">
                  <c:v>-5.8008832166365707</c:v>
                </c:pt>
                <c:pt idx="445">
                  <c:v>-5.8648895081363541</c:v>
                </c:pt>
                <c:pt idx="446">
                  <c:v>-5.9286575400191808</c:v>
                </c:pt>
                <c:pt idx="447">
                  <c:v>-5.9921903249591644</c:v>
                </c:pt>
                <c:pt idx="448">
                  <c:v>-6.0554908189950858</c:v>
                </c:pt>
                <c:pt idx="449">
                  <c:v>-6.1200724027578426</c:v>
                </c:pt>
                <c:pt idx="450">
                  <c:v>-6.184416512347485</c:v>
                </c:pt>
                <c:pt idx="451">
                  <c:v>-6.248526145635088</c:v>
                </c:pt>
                <c:pt idx="452">
                  <c:v>-6.3124042438546555</c:v>
                </c:pt>
                <c:pt idx="453">
                  <c:v>-6.3774891783661154</c:v>
                </c:pt>
                <c:pt idx="454">
                  <c:v>-6.4423380421164094</c:v>
                </c:pt>
                <c:pt idx="455">
                  <c:v>-6.5069538050189504</c:v>
                </c:pt>
                <c:pt idx="456">
                  <c:v>-6.5713393806750933</c:v>
                </c:pt>
                <c:pt idx="457">
                  <c:v>-6.6370174663944219</c:v>
                </c:pt>
                <c:pt idx="458">
                  <c:v>-6.7024603141961254</c:v>
                </c:pt>
                <c:pt idx="459">
                  <c:v>-6.7676708752067496</c:v>
                </c:pt>
                <c:pt idx="460">
                  <c:v>-6.8326520443334395</c:v>
                </c:pt>
                <c:pt idx="461">
                  <c:v>-6.8989051034400966</c:v>
                </c:pt>
                <c:pt idx="462">
                  <c:v>-6.9649239691715952</c:v>
                </c:pt>
                <c:pt idx="463">
                  <c:v>-7.0307115682428742</c:v>
                </c:pt>
                <c:pt idx="464">
                  <c:v>-7.0962707713841899</c:v>
                </c:pt>
                <c:pt idx="465">
                  <c:v>-7.1631329684430236</c:v>
                </c:pt>
                <c:pt idx="466">
                  <c:v>-7.2297618483368549</c:v>
                </c:pt>
                <c:pt idx="467">
                  <c:v>-7.2961603148023313</c:v>
                </c:pt>
                <c:pt idx="468">
                  <c:v>-7.3623312157923131</c:v>
                </c:pt>
                <c:pt idx="469">
                  <c:v>-7.429784950575625</c:v>
                </c:pt>
                <c:pt idx="470">
                  <c:v>-7.4970064326859376</c:v>
                </c:pt>
                <c:pt idx="471">
                  <c:v>-7.5639985376191845</c:v>
                </c:pt>
                <c:pt idx="472">
                  <c:v>-7.6307640854276029</c:v>
                </c:pt>
                <c:pt idx="473">
                  <c:v>-7.6988921854537287</c:v>
                </c:pt>
                <c:pt idx="474">
                  <c:v>-7.7667885893942854</c:v>
                </c:pt>
                <c:pt idx="475">
                  <c:v>-7.8344561520807607</c:v>
                </c:pt>
                <c:pt idx="476">
                  <c:v>-7.9018976730540045</c:v>
                </c:pt>
                <c:pt idx="477">
                  <c:v>-7.9706810269039243</c:v>
                </c:pt>
                <c:pt idx="478">
                  <c:v>-8.0392334319006302</c:v>
                </c:pt>
                <c:pt idx="479">
                  <c:v>-8.1075577168051343</c:v>
                </c:pt>
                <c:pt idx="480">
                  <c:v>-8.1756566553893641</c:v>
                </c:pt>
                <c:pt idx="481">
                  <c:v>-8.2450774324119216</c:v>
                </c:pt>
                <c:pt idx="482">
                  <c:v>-8.3142681728754884</c:v>
                </c:pt>
                <c:pt idx="483">
                  <c:v>-8.3832316745837847</c:v>
                </c:pt>
                <c:pt idx="484">
                  <c:v>-8.4519706807926713</c:v>
                </c:pt>
                <c:pt idx="485">
                  <c:v>-8.5220598550013644</c:v>
                </c:pt>
                <c:pt idx="486">
                  <c:v>-8.5919197355489505</c:v>
                </c:pt>
                <c:pt idx="487">
                  <c:v>-8.6615530905098659</c:v>
                </c:pt>
                <c:pt idx="488">
                  <c:v>-8.730962633836997</c:v>
                </c:pt>
                <c:pt idx="489">
                  <c:v>-8.8017968150411576</c:v>
                </c:pt>
                <c:pt idx="490">
                  <c:v>-8.8724019818621702</c:v>
                </c:pt>
                <c:pt idx="491">
                  <c:v>-8.9427808790945331</c:v>
                </c:pt>
                <c:pt idx="492">
                  <c:v>-9.0129361976891609</c:v>
                </c:pt>
                <c:pt idx="493">
                  <c:v>-9.084495428606969</c:v>
                </c:pt>
                <c:pt idx="494">
                  <c:v>-9.1558260877617421</c:v>
                </c:pt>
                <c:pt idx="495">
                  <c:v>-9.2269308918055728</c:v>
                </c:pt>
                <c:pt idx="496">
                  <c:v>-9.2978125039742636</c:v>
                </c:pt>
                <c:pt idx="497">
                  <c:v>-9.3701238055599649</c:v>
                </c:pt>
                <c:pt idx="498">
                  <c:v>-9.4422068295499706</c:v>
                </c:pt>
                <c:pt idx="499">
                  <c:v>-9.5140642652174066</c:v>
                </c:pt>
                <c:pt idx="500">
                  <c:v>-9.5856987488533676</c:v>
                </c:pt>
                <c:pt idx="501">
                  <c:v>-9.6587879014356819</c:v>
                </c:pt>
                <c:pt idx="502">
                  <c:v>-9.7316489274774867</c:v>
                </c:pt>
                <c:pt idx="503">
                  <c:v>-9.8042844895464842</c:v>
                </c:pt>
                <c:pt idx="504">
                  <c:v>-9.8766971976755045</c:v>
                </c:pt>
                <c:pt idx="505">
                  <c:v>-9.9505440662917835</c:v>
                </c:pt>
                <c:pt idx="506">
                  <c:v>-10.024163095748461</c:v>
                </c:pt>
                <c:pt idx="507">
                  <c:v>-10.097556917781301</c:v>
                </c:pt>
                <c:pt idx="508">
                  <c:v>-10.170728112181568</c:v>
                </c:pt>
                <c:pt idx="509">
                  <c:v>-10.245357738165257</c:v>
                </c:pt>
                <c:pt idx="510">
                  <c:v>-10.319759659194826</c:v>
                </c:pt>
                <c:pt idx="511">
                  <c:v>-10.393936477203457</c:v>
                </c:pt>
                <c:pt idx="512">
                  <c:v>-10.467890742782293</c:v>
                </c:pt>
                <c:pt idx="513">
                  <c:v>-10.543370597968941</c:v>
                </c:pt>
                <c:pt idx="514">
                  <c:v>-10.618622471929541</c:v>
                </c:pt>
                <c:pt idx="515">
                  <c:v>-10.693648942231215</c:v>
                </c:pt>
                <c:pt idx="516">
                  <c:v>-10.768452535602378</c:v>
                </c:pt>
                <c:pt idx="517">
                  <c:v>-10.844760599723893</c:v>
                </c:pt>
                <c:pt idx="518">
                  <c:v>-10.920840537123212</c:v>
                </c:pt>
                <c:pt idx="519">
                  <c:v>-10.996694897322621</c:v>
                </c:pt>
                <c:pt idx="520">
                  <c:v>-11.072326179653167</c:v>
                </c:pt>
                <c:pt idx="521">
                  <c:v>-11.149484001044872</c:v>
                </c:pt>
                <c:pt idx="522">
                  <c:v>-11.226413410903579</c:v>
                </c:pt>
                <c:pt idx="523">
                  <c:v>-11.303116931771935</c:v>
                </c:pt>
                <c:pt idx="524">
                  <c:v>-11.379597036673442</c:v>
                </c:pt>
                <c:pt idx="525">
                  <c:v>-11.457625049061075</c:v>
                </c:pt>
                <c:pt idx="526">
                  <c:v>-11.535424230371403</c:v>
                </c:pt>
                <c:pt idx="527">
                  <c:v>-11.612997077298159</c:v>
                </c:pt>
                <c:pt idx="528">
                  <c:v>-11.690346037715658</c:v>
                </c:pt>
                <c:pt idx="529">
                  <c:v>-11.769263589715308</c:v>
                </c:pt>
                <c:pt idx="530">
                  <c:v>-11.847951761049288</c:v>
                </c:pt>
                <c:pt idx="531">
                  <c:v>-11.92641302378593</c:v>
                </c:pt>
                <c:pt idx="532">
                  <c:v>-12.00464980190397</c:v>
                </c:pt>
                <c:pt idx="533">
                  <c:v>-12.084516337522029</c:v>
                </c:pt>
                <c:pt idx="534">
                  <c:v>-12.164152581466796</c:v>
                </c:pt>
                <c:pt idx="535">
                  <c:v>-12.243560986281167</c:v>
                </c:pt>
                <c:pt idx="536">
                  <c:v>-12.322743957083453</c:v>
                </c:pt>
                <c:pt idx="537">
                  <c:v>-12.403493972341233</c:v>
                </c:pt>
                <c:pt idx="538">
                  <c:v>-12.484013142782908</c:v>
                </c:pt>
                <c:pt idx="539">
                  <c:v>-12.564303895301485</c:v>
                </c:pt>
                <c:pt idx="540">
                  <c:v>-12.644368610259566</c:v>
                </c:pt>
                <c:pt idx="541">
                  <c:v>-12.726100229839126</c:v>
                </c:pt>
                <c:pt idx="542">
                  <c:v>-12.807599868815503</c:v>
                </c:pt>
                <c:pt idx="543">
                  <c:v>-12.888869937469833</c:v>
                </c:pt>
                <c:pt idx="544">
                  <c:v>-12.969912800293644</c:v>
                </c:pt>
                <c:pt idx="545">
                  <c:v>-13.052600207869766</c:v>
                </c:pt>
                <c:pt idx="546">
                  <c:v>-13.135054628128344</c:v>
                </c:pt>
                <c:pt idx="547">
                  <c:v>-13.217278452861649</c:v>
                </c:pt>
                <c:pt idx="548">
                  <c:v>-13.299274028943342</c:v>
                </c:pt>
                <c:pt idx="549">
                  <c:v>-13.382931632488692</c:v>
                </c:pt>
                <c:pt idx="550">
                  <c:v>-13.466355141902095</c:v>
                </c:pt>
                <c:pt idx="551">
                  <c:v>-13.549546932558385</c:v>
                </c:pt>
                <c:pt idx="552">
                  <c:v>-13.632509335819776</c:v>
                </c:pt>
                <c:pt idx="553">
                  <c:v>-13.717189552237485</c:v>
                </c:pt>
                <c:pt idx="554">
                  <c:v>-13.801634260658426</c:v>
                </c:pt>
                <c:pt idx="555">
                  <c:v>-13.885845825577821</c:v>
                </c:pt>
                <c:pt idx="556">
                  <c:v>-13.969826568342228</c:v>
                </c:pt>
                <c:pt idx="557">
                  <c:v>-14.141018021558446</c:v>
                </c:pt>
                <c:pt idx="558">
                  <c:v>-14.311270887892128</c:v>
                </c:pt>
                <c:pt idx="559">
                  <c:v>-14.484474200025373</c:v>
                </c:pt>
                <c:pt idx="560">
                  <c:v>-14.65673354819679</c:v>
                </c:pt>
                <c:pt idx="561">
                  <c:v>-14.832121158769809</c:v>
                </c:pt>
                <c:pt idx="562">
                  <c:v>-15.006557589634472</c:v>
                </c:pt>
                <c:pt idx="563">
                  <c:v>-15.183774300498879</c:v>
                </c:pt>
                <c:pt idx="564">
                  <c:v>-15.360036510786735</c:v>
                </c:pt>
                <c:pt idx="565">
                  <c:v>-15.53977048236373</c:v>
                </c:pt>
                <c:pt idx="566">
                  <c:v>-15.718539369559341</c:v>
                </c:pt>
                <c:pt idx="567">
                  <c:v>-15.900722460210579</c:v>
                </c:pt>
                <c:pt idx="568">
                  <c:v>-16.081930864366736</c:v>
                </c:pt>
                <c:pt idx="569">
                  <c:v>-16.26577854912669</c:v>
                </c:pt>
                <c:pt idx="570">
                  <c:v>-16.448650550593523</c:v>
                </c:pt>
                <c:pt idx="571">
                  <c:v>-16.635545794754197</c:v>
                </c:pt>
                <c:pt idx="572">
                  <c:v>-16.82145007999036</c:v>
                </c:pt>
                <c:pt idx="573">
                  <c:v>-17.009902242167161</c:v>
                </c:pt>
                <c:pt idx="574">
                  <c:v>-17.197364380690825</c:v>
                </c:pt>
                <c:pt idx="575">
                  <c:v>-17.388731811840358</c:v>
                </c:pt>
                <c:pt idx="576">
                  <c:v>-17.579096477776137</c:v>
                </c:pt>
                <c:pt idx="577">
                  <c:v>-18.374348563460398</c:v>
                </c:pt>
                <c:pt idx="578">
                  <c:v>-19.1533481624699</c:v>
                </c:pt>
                <c:pt idx="579">
                  <c:v>-20.809663686734396</c:v>
                </c:pt>
                <c:pt idx="580">
                  <c:v>-22.558941459653951</c:v>
                </c:pt>
                <c:pt idx="581">
                  <c:v>-24.410789279441275</c:v>
                </c:pt>
                <c:pt idx="582">
                  <c:v>-26.385967318105891</c:v>
                </c:pt>
                <c:pt idx="583">
                  <c:v>-28.517391730911491</c:v>
                </c:pt>
                <c:pt idx="584">
                  <c:v>-30.871646582046779</c:v>
                </c:pt>
                <c:pt idx="585">
                  <c:v>-33.580093979335473</c:v>
                </c:pt>
                <c:pt idx="586">
                  <c:v>-36.942080729368797</c:v>
                </c:pt>
                <c:pt idx="587">
                  <c:v>-41.750537103728682</c:v>
                </c:pt>
                <c:pt idx="588">
                  <c:v>-51.153662112004234</c:v>
                </c:pt>
                <c:pt idx="589">
                  <c:v>-56.345266031430526</c:v>
                </c:pt>
                <c:pt idx="590">
                  <c:v>-47.998325001647814</c:v>
                </c:pt>
                <c:pt idx="591">
                  <c:v>-46.618920490828216</c:v>
                </c:pt>
                <c:pt idx="592">
                  <c:v>-47.278582402092049</c:v>
                </c:pt>
                <c:pt idx="593">
                  <c:v>-48.943433852008404</c:v>
                </c:pt>
                <c:pt idx="594">
                  <c:v>-51.49708098103104</c:v>
                </c:pt>
                <c:pt idx="595">
                  <c:v>-56.051117367295205</c:v>
                </c:pt>
                <c:pt idx="596">
                  <c:v>-74.839326155816252</c:v>
                </c:pt>
                <c:pt idx="597">
                  <c:v>-61.008107884135221</c:v>
                </c:pt>
                <c:pt idx="598">
                  <c:v>-59.279328076118709</c:v>
                </c:pt>
                <c:pt idx="599">
                  <c:v>-61.05284005458423</c:v>
                </c:pt>
                <c:pt idx="600">
                  <c:v>-67.667978105858197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-10.258379405410318</c:v>
                </c:pt>
                <c:pt idx="1">
                  <c:v>-63.267566384525708</c:v>
                </c:pt>
                <c:pt idx="2">
                  <c:v>-65.331259735218055</c:v>
                </c:pt>
                <c:pt idx="3">
                  <c:v>-67.275045076431866</c:v>
                </c:pt>
                <c:pt idx="4">
                  <c:v>-69.096442529878431</c:v>
                </c:pt>
                <c:pt idx="5">
                  <c:v>-70.799176801419236</c:v>
                </c:pt>
                <c:pt idx="6">
                  <c:v>-72.383174952739665</c:v>
                </c:pt>
                <c:pt idx="7">
                  <c:v>-73.853280667934072</c:v>
                </c:pt>
                <c:pt idx="8">
                  <c:v>-75.213200667538075</c:v>
                </c:pt>
                <c:pt idx="9">
                  <c:v>-76.46940761660602</c:v>
                </c:pt>
                <c:pt idx="10">
                  <c:v>-77.627007163653872</c:v>
                </c:pt>
                <c:pt idx="11">
                  <c:v>-78.69226594854085</c:v>
                </c:pt>
                <c:pt idx="12">
                  <c:v>-79.671806934823465</c:v>
                </c:pt>
                <c:pt idx="13">
                  <c:v>-80.570730574788058</c:v>
                </c:pt>
                <c:pt idx="14">
                  <c:v>-81.395652799618134</c:v>
                </c:pt>
                <c:pt idx="15">
                  <c:v>-82.151879046406734</c:v>
                </c:pt>
                <c:pt idx="16">
                  <c:v>-82.844856994440775</c:v>
                </c:pt>
                <c:pt idx="17">
                  <c:v>-83.479584092941877</c:v>
                </c:pt>
                <c:pt idx="18">
                  <c:v>-84.061020824398355</c:v>
                </c:pt>
                <c:pt idx="19">
                  <c:v>-84.59347564001834</c:v>
                </c:pt>
                <c:pt idx="20">
                  <c:v>-85.081220433644759</c:v>
                </c:pt>
                <c:pt idx="21">
                  <c:v>-85.528025499976962</c:v>
                </c:pt>
                <c:pt idx="22">
                  <c:v>-85.937573221599905</c:v>
                </c:pt>
                <c:pt idx="23">
                  <c:v>-86.3130828436706</c:v>
                </c:pt>
                <c:pt idx="24">
                  <c:v>-86.657719339905242</c:v>
                </c:pt>
                <c:pt idx="25">
                  <c:v>-86.974259992313662</c:v>
                </c:pt>
                <c:pt idx="26">
                  <c:v>-87.265390417494146</c:v>
                </c:pt>
                <c:pt idx="27">
                  <c:v>-87.533433692993086</c:v>
                </c:pt>
                <c:pt idx="28">
                  <c:v>-87.780642283614753</c:v>
                </c:pt>
                <c:pt idx="29">
                  <c:v>-88.00895204304166</c:v>
                </c:pt>
                <c:pt idx="30">
                  <c:v>-88.220656479467877</c:v>
                </c:pt>
                <c:pt idx="31">
                  <c:v>-88.417222901491058</c:v>
                </c:pt>
                <c:pt idx="32">
                  <c:v>-88.600442641808641</c:v>
                </c:pt>
                <c:pt idx="33">
                  <c:v>-88.77173155126269</c:v>
                </c:pt>
                <c:pt idx="34">
                  <c:v>-88.932668682704829</c:v>
                </c:pt>
                <c:pt idx="35">
                  <c:v>-89.084519580484923</c:v>
                </c:pt>
                <c:pt idx="36">
                  <c:v>-89.228593112220139</c:v>
                </c:pt>
                <c:pt idx="37">
                  <c:v>-89.366179064618834</c:v>
                </c:pt>
                <c:pt idx="38">
                  <c:v>-89.498306909740052</c:v>
                </c:pt>
                <c:pt idx="39">
                  <c:v>-89.626198587634349</c:v>
                </c:pt>
                <c:pt idx="40">
                  <c:v>-89.750880523900506</c:v>
                </c:pt>
                <c:pt idx="41">
                  <c:v>-89.873410964067745</c:v>
                </c:pt>
                <c:pt idx="42">
                  <c:v>-89.994799294313665</c:v>
                </c:pt>
                <c:pt idx="43">
                  <c:v>-90.116093817629903</c:v>
                </c:pt>
                <c:pt idx="44">
                  <c:v>-90.238268707278991</c:v>
                </c:pt>
                <c:pt idx="45">
                  <c:v>-90.362355829595373</c:v>
                </c:pt>
                <c:pt idx="46">
                  <c:v>-90.489344112434637</c:v>
                </c:pt>
                <c:pt idx="47">
                  <c:v>-90.620287672043517</c:v>
                </c:pt>
                <c:pt idx="48">
                  <c:v>-90.756198161649351</c:v>
                </c:pt>
                <c:pt idx="49">
                  <c:v>-90.89817570903783</c:v>
                </c:pt>
                <c:pt idx="50">
                  <c:v>-91.047288613886181</c:v>
                </c:pt>
                <c:pt idx="51">
                  <c:v>-91.204687960127558</c:v>
                </c:pt>
                <c:pt idx="52">
                  <c:v>-91.371462317124085</c:v>
                </c:pt>
                <c:pt idx="53">
                  <c:v>-91.548771541148341</c:v>
                </c:pt>
                <c:pt idx="54">
                  <c:v>-91.737658003338495</c:v>
                </c:pt>
                <c:pt idx="55">
                  <c:v>-91.939609365777741</c:v>
                </c:pt>
                <c:pt idx="56">
                  <c:v>-92.155494897453764</c:v>
                </c:pt>
                <c:pt idx="57">
                  <c:v>-92.386548539398134</c:v>
                </c:pt>
                <c:pt idx="58">
                  <c:v>-92.63360367947223</c:v>
                </c:pt>
                <c:pt idx="59">
                  <c:v>-92.897713636165491</c:v>
                </c:pt>
                <c:pt idx="60">
                  <c:v>-93.179398220977674</c:v>
                </c:pt>
                <c:pt idx="61">
                  <c:v>-93.479081170356807</c:v>
                </c:pt>
                <c:pt idx="62">
                  <c:v>-93.796952061990282</c:v>
                </c:pt>
                <c:pt idx="63">
                  <c:v>-94.132244441478349</c:v>
                </c:pt>
                <c:pt idx="64">
                  <c:v>-94.484156741688068</c:v>
                </c:pt>
                <c:pt idx="65">
                  <c:v>-94.850760575075398</c:v>
                </c:pt>
                <c:pt idx="66">
                  <c:v>-95.22942241144645</c:v>
                </c:pt>
                <c:pt idx="67">
                  <c:v>-95.616452319334044</c:v>
                </c:pt>
                <c:pt idx="68">
                  <c:v>-96.007283581316358</c:v>
                </c:pt>
                <c:pt idx="69">
                  <c:v>-96.396080015112759</c:v>
                </c:pt>
                <c:pt idx="70">
                  <c:v>-96.776218412208848</c:v>
                </c:pt>
                <c:pt idx="71">
                  <c:v>-97.140154105964911</c:v>
                </c:pt>
                <c:pt idx="72">
                  <c:v>-97.480061532900194</c:v>
                </c:pt>
                <c:pt idx="73">
                  <c:v>-97.787983030452111</c:v>
                </c:pt>
                <c:pt idx="74">
                  <c:v>-98.056713654606796</c:v>
                </c:pt>
                <c:pt idx="75">
                  <c:v>-98.280127267179651</c:v>
                </c:pt>
                <c:pt idx="76">
                  <c:v>-98.453974089170316</c:v>
                </c:pt>
                <c:pt idx="77">
                  <c:v>-98.57616762164109</c:v>
                </c:pt>
                <c:pt idx="78">
                  <c:v>-98.647253797275994</c:v>
                </c:pt>
                <c:pt idx="79">
                  <c:v>-98.670369612925128</c:v>
                </c:pt>
                <c:pt idx="80">
                  <c:v>-98.651064336646712</c:v>
                </c:pt>
                <c:pt idx="81">
                  <c:v>-98.596861906752096</c:v>
                </c:pt>
                <c:pt idx="82">
                  <c:v>-98.5167342486519</c:v>
                </c:pt>
                <c:pt idx="83">
                  <c:v>-98.420607358508292</c:v>
                </c:pt>
                <c:pt idx="84">
                  <c:v>-98.318572460149767</c:v>
                </c:pt>
                <c:pt idx="85">
                  <c:v>-98.220660628547108</c:v>
                </c:pt>
                <c:pt idx="86">
                  <c:v>-98.136284024806031</c:v>
                </c:pt>
                <c:pt idx="87">
                  <c:v>-98.074073009283168</c:v>
                </c:pt>
                <c:pt idx="88">
                  <c:v>-98.041882510178752</c:v>
                </c:pt>
                <c:pt idx="89">
                  <c:v>-98.046613514849682</c:v>
                </c:pt>
                <c:pt idx="90">
                  <c:v>-98.094426023606047</c:v>
                </c:pt>
                <c:pt idx="91">
                  <c:v>-98.190808904002878</c:v>
                </c:pt>
                <c:pt idx="92">
                  <c:v>-98.340719058542987</c:v>
                </c:pt>
                <c:pt idx="93">
                  <c:v>-98.548834817459849</c:v>
                </c:pt>
                <c:pt idx="94">
                  <c:v>-98.610451812232142</c:v>
                </c:pt>
                <c:pt idx="95">
                  <c:v>-98.642951466309285</c:v>
                </c:pt>
                <c:pt idx="96">
                  <c:v>-98.676077631722777</c:v>
                </c:pt>
                <c:pt idx="97">
                  <c:v>-98.710602288178151</c:v>
                </c:pt>
                <c:pt idx="98">
                  <c:v>-98.745747116325219</c:v>
                </c:pt>
                <c:pt idx="99">
                  <c:v>-98.78233987200116</c:v>
                </c:pt>
                <c:pt idx="100">
                  <c:v>-98.819546418001707</c:v>
                </c:pt>
                <c:pt idx="101">
                  <c:v>-98.858222131946121</c:v>
                </c:pt>
                <c:pt idx="102">
                  <c:v>-98.897504298149428</c:v>
                </c:pt>
                <c:pt idx="103">
                  <c:v>-98.938334968572761</c:v>
                </c:pt>
                <c:pt idx="104">
                  <c:v>-98.979765617130454</c:v>
                </c:pt>
                <c:pt idx="105">
                  <c:v>-99.022765802911124</c:v>
                </c:pt>
                <c:pt idx="106">
                  <c:v>-99.066358556611618</c:v>
                </c:pt>
                <c:pt idx="107">
                  <c:v>-99.111540018016868</c:v>
                </c:pt>
                <c:pt idx="108">
                  <c:v>-99.157305798113939</c:v>
                </c:pt>
                <c:pt idx="109">
                  <c:v>-99.204710163205021</c:v>
                </c:pt>
                <c:pt idx="110">
                  <c:v>-99.252690625011908</c:v>
                </c:pt>
                <c:pt idx="111">
                  <c:v>-99.302393430021226</c:v>
                </c:pt>
                <c:pt idx="112">
                  <c:v>-99.352664862439994</c:v>
                </c:pt>
                <c:pt idx="113">
                  <c:v>-99.40467722159481</c:v>
                </c:pt>
                <c:pt idx="114">
                  <c:v>-99.457249935739739</c:v>
                </c:pt>
                <c:pt idx="115">
                  <c:v>-99.511615119949155</c:v>
                </c:pt>
                <c:pt idx="116">
                  <c:v>-99.566532365284118</c:v>
                </c:pt>
                <c:pt idx="117">
                  <c:v>-99.623294047009836</c:v>
                </c:pt>
                <c:pt idx="118">
                  <c:v>-99.680599461847706</c:v>
                </c:pt>
                <c:pt idx="119">
                  <c:v>-99.739765593855552</c:v>
                </c:pt>
                <c:pt idx="120">
                  <c:v>-99.799466447363628</c:v>
                </c:pt>
                <c:pt idx="121">
                  <c:v>-99.861079373859042</c:v>
                </c:pt>
                <c:pt idx="122">
                  <c:v>-99.923218025565916</c:v>
                </c:pt>
                <c:pt idx="123">
                  <c:v>-99.987357717693087</c:v>
                </c:pt>
                <c:pt idx="124">
                  <c:v>-100.05201473225125</c:v>
                </c:pt>
                <c:pt idx="125">
                  <c:v>-100.11868802068501</c:v>
                </c:pt>
                <c:pt idx="126">
                  <c:v>-100.18586959180132</c:v>
                </c:pt>
                <c:pt idx="127">
                  <c:v>-100.25511956466192</c:v>
                </c:pt>
                <c:pt idx="128">
                  <c:v>-100.32486876863611</c:v>
                </c:pt>
                <c:pt idx="129">
                  <c:v>-100.39673866913795</c:v>
                </c:pt>
                <c:pt idx="130">
                  <c:v>-100.46909873062498</c:v>
                </c:pt>
                <c:pt idx="131">
                  <c:v>-100.5436319058628</c:v>
                </c:pt>
                <c:pt idx="132">
                  <c:v>-100.58107986410421</c:v>
                </c:pt>
                <c:pt idx="133">
                  <c:v>-100.61864614794364</c:v>
                </c:pt>
                <c:pt idx="134">
                  <c:v>-100.65722605212304</c:v>
                </c:pt>
                <c:pt idx="135">
                  <c:v>-100.69592600148121</c:v>
                </c:pt>
                <c:pt idx="136">
                  <c:v>-100.73474404693457</c:v>
                </c:pt>
                <c:pt idx="137">
                  <c:v>-100.77367827890687</c:v>
                </c:pt>
                <c:pt idx="138">
                  <c:v>-100.81361469022276</c:v>
                </c:pt>
                <c:pt idx="139">
                  <c:v>-100.85366870614565</c:v>
                </c:pt>
                <c:pt idx="140">
                  <c:v>-100.89383840603088</c:v>
                </c:pt>
                <c:pt idx="141">
                  <c:v>-100.93412190833591</c:v>
                </c:pt>
                <c:pt idx="142">
                  <c:v>-100.97547662830561</c:v>
                </c:pt>
                <c:pt idx="143">
                  <c:v>-101.01694674294021</c:v>
                </c:pt>
                <c:pt idx="144">
                  <c:v>-101.05853035474009</c:v>
                </c:pt>
                <c:pt idx="145">
                  <c:v>-101.10022560502924</c:v>
                </c:pt>
                <c:pt idx="146">
                  <c:v>-101.14300033765898</c:v>
                </c:pt>
                <c:pt idx="147">
                  <c:v>-101.18588812437361</c:v>
                </c:pt>
                <c:pt idx="148">
                  <c:v>-101.22888709428518</c:v>
                </c:pt>
                <c:pt idx="149">
                  <c:v>-101.2719954149442</c:v>
                </c:pt>
                <c:pt idx="150">
                  <c:v>-101.31621176046168</c:v>
                </c:pt>
                <c:pt idx="151">
                  <c:v>-101.36053881026093</c:v>
                </c:pt>
                <c:pt idx="152">
                  <c:v>-101.40497472054088</c:v>
                </c:pt>
                <c:pt idx="153">
                  <c:v>-101.44951768552535</c:v>
                </c:pt>
                <c:pt idx="154">
                  <c:v>-101.49521823245736</c:v>
                </c:pt>
                <c:pt idx="155">
                  <c:v>-101.54102722344754</c:v>
                </c:pt>
                <c:pt idx="156">
                  <c:v>-101.58694283973912</c:v>
                </c:pt>
                <c:pt idx="157">
                  <c:v>-101.63296330022597</c:v>
                </c:pt>
                <c:pt idx="158">
                  <c:v>-101.68017009972023</c:v>
                </c:pt>
                <c:pt idx="159">
                  <c:v>-101.72748306183929</c:v>
                </c:pt>
                <c:pt idx="160">
                  <c:v>-101.77490039351805</c:v>
                </c:pt>
                <c:pt idx="161">
                  <c:v>-101.82242033893988</c:v>
                </c:pt>
                <c:pt idx="162">
                  <c:v>-101.87113388187819</c:v>
                </c:pt>
                <c:pt idx="163">
                  <c:v>-101.91995119524951</c:v>
                </c:pt>
                <c:pt idx="164">
                  <c:v>-101.96887051457395</c:v>
                </c:pt>
                <c:pt idx="165">
                  <c:v>-102.0178901121245</c:v>
                </c:pt>
                <c:pt idx="166">
                  <c:v>-102.06817484952319</c:v>
                </c:pt>
                <c:pt idx="167">
                  <c:v>-102.11856112959973</c:v>
                </c:pt>
                <c:pt idx="168">
                  <c:v>-102.1690472123223</c:v>
                </c:pt>
                <c:pt idx="169">
                  <c:v>-102.21963139401757</c:v>
                </c:pt>
                <c:pt idx="170">
                  <c:v>-102.27140061796031</c:v>
                </c:pt>
                <c:pt idx="171">
                  <c:v>-102.32326871499991</c:v>
                </c:pt>
                <c:pt idx="172">
                  <c:v>-102.37523398090781</c:v>
                </c:pt>
                <c:pt idx="173">
                  <c:v>-102.42729474708796</c:v>
                </c:pt>
                <c:pt idx="174">
                  <c:v>-102.48076540131292</c:v>
                </c:pt>
                <c:pt idx="175">
                  <c:v>-102.53433299077788</c:v>
                </c:pt>
                <c:pt idx="176">
                  <c:v>-102.58799582814373</c:v>
                </c:pt>
                <c:pt idx="177">
                  <c:v>-102.64175226149297</c:v>
                </c:pt>
                <c:pt idx="178">
                  <c:v>-102.6969259598432</c:v>
                </c:pt>
                <c:pt idx="179">
                  <c:v>-102.75219451293997</c:v>
                </c:pt>
                <c:pt idx="180">
                  <c:v>-102.80755625372052</c:v>
                </c:pt>
                <c:pt idx="181">
                  <c:v>-102.86300955022686</c:v>
                </c:pt>
                <c:pt idx="182">
                  <c:v>-102.91966457654611</c:v>
                </c:pt>
                <c:pt idx="183">
                  <c:v>-102.97641153534285</c:v>
                </c:pt>
                <c:pt idx="184">
                  <c:v>-103.03324880180895</c:v>
                </c:pt>
                <c:pt idx="185">
                  <c:v>-103.09017478529772</c:v>
                </c:pt>
                <c:pt idx="186">
                  <c:v>-103.14875420964296</c:v>
                </c:pt>
                <c:pt idx="187">
                  <c:v>-103.20742399112312</c:v>
                </c:pt>
                <c:pt idx="188">
                  <c:v>-103.26618251130007</c:v>
                </c:pt>
                <c:pt idx="189">
                  <c:v>-103.3250281859446</c:v>
                </c:pt>
                <c:pt idx="190">
                  <c:v>-103.385084929274</c:v>
                </c:pt>
                <c:pt idx="191">
                  <c:v>-103.44522896796245</c:v>
                </c:pt>
                <c:pt idx="192">
                  <c:v>-103.50545872927461</c:v>
                </c:pt>
                <c:pt idx="193">
                  <c:v>-103.56577267361808</c:v>
                </c:pt>
                <c:pt idx="194">
                  <c:v>-103.62775382435309</c:v>
                </c:pt>
                <c:pt idx="195">
                  <c:v>-103.68982044819916</c:v>
                </c:pt>
                <c:pt idx="196">
                  <c:v>-103.75197098444595</c:v>
                </c:pt>
                <c:pt idx="197">
                  <c:v>-103.81420390539043</c:v>
                </c:pt>
                <c:pt idx="198">
                  <c:v>-103.87788314539155</c:v>
                </c:pt>
                <c:pt idx="199">
                  <c:v>-103.94164529376914</c:v>
                </c:pt>
                <c:pt idx="200">
                  <c:v>-104.00548882147314</c:v>
                </c:pt>
                <c:pt idx="201">
                  <c:v>-104.06941223176418</c:v>
                </c:pt>
                <c:pt idx="202">
                  <c:v>-104.13478637464479</c:v>
                </c:pt>
                <c:pt idx="203">
                  <c:v>-104.20024080314288</c:v>
                </c:pt>
                <c:pt idx="204">
                  <c:v>-104.26577402114498</c:v>
                </c:pt>
                <c:pt idx="205">
                  <c:v>-104.3313845641032</c:v>
                </c:pt>
                <c:pt idx="206">
                  <c:v>-104.39867964765169</c:v>
                </c:pt>
                <c:pt idx="207">
                  <c:v>-104.46605287372161</c:v>
                </c:pt>
                <c:pt idx="208">
                  <c:v>-104.53350276521849</c:v>
                </c:pt>
                <c:pt idx="209">
                  <c:v>-104.60102787624629</c:v>
                </c:pt>
                <c:pt idx="210">
                  <c:v>-104.67047351731037</c:v>
                </c:pt>
                <c:pt idx="211">
                  <c:v>-104.73999554559194</c:v>
                </c:pt>
                <c:pt idx="212">
                  <c:v>-104.80959249091727</c:v>
                </c:pt>
                <c:pt idx="213">
                  <c:v>-104.8792629142752</c:v>
                </c:pt>
                <c:pt idx="214">
                  <c:v>-104.95039634590773</c:v>
                </c:pt>
                <c:pt idx="215">
                  <c:v>-105.02160328581957</c:v>
                </c:pt>
                <c:pt idx="216">
                  <c:v>-105.09288230207891</c:v>
                </c:pt>
                <c:pt idx="217">
                  <c:v>-105.16423199298731</c:v>
                </c:pt>
                <c:pt idx="218">
                  <c:v>-105.23728022985485</c:v>
                </c:pt>
                <c:pt idx="219">
                  <c:v>-105.31039952827837</c:v>
                </c:pt>
                <c:pt idx="220">
                  <c:v>-105.38358848141436</c:v>
                </c:pt>
                <c:pt idx="221">
                  <c:v>-105.4568457120802</c:v>
                </c:pt>
                <c:pt idx="222">
                  <c:v>-105.53180523944785</c:v>
                </c:pt>
                <c:pt idx="223">
                  <c:v>-105.60683330331756</c:v>
                </c:pt>
                <c:pt idx="224">
                  <c:v>-105.68192852334963</c:v>
                </c:pt>
                <c:pt idx="225">
                  <c:v>-105.75708954824198</c:v>
                </c:pt>
                <c:pt idx="226">
                  <c:v>-105.8341906462427</c:v>
                </c:pt>
                <c:pt idx="227">
                  <c:v>-105.91135808578842</c:v>
                </c:pt>
                <c:pt idx="228">
                  <c:v>-105.98859050190769</c:v>
                </c:pt>
                <c:pt idx="229">
                  <c:v>-106.06588655834257</c:v>
                </c:pt>
                <c:pt idx="230">
                  <c:v>-106.22443099994425</c:v>
                </c:pt>
                <c:pt idx="231">
                  <c:v>-106.30379790898913</c:v>
                </c:pt>
                <c:pt idx="232">
                  <c:v>-106.38322617528333</c:v>
                </c:pt>
                <c:pt idx="233">
                  <c:v>-106.46460219009415</c:v>
                </c:pt>
                <c:pt idx="234">
                  <c:v>-106.54603979970553</c:v>
                </c:pt>
                <c:pt idx="235">
                  <c:v>-106.62753767611716</c:v>
                </c:pt>
                <c:pt idx="236">
                  <c:v>-106.70909451918578</c:v>
                </c:pt>
                <c:pt idx="237">
                  <c:v>-106.79236559143037</c:v>
                </c:pt>
                <c:pt idx="238">
                  <c:v>-106.87569539849704</c:v>
                </c:pt>
                <c:pt idx="239">
                  <c:v>-106.95908264435069</c:v>
                </c:pt>
                <c:pt idx="240">
                  <c:v>-107.04252605999393</c:v>
                </c:pt>
                <c:pt idx="241">
                  <c:v>-107.1281600128607</c:v>
                </c:pt>
                <c:pt idx="242">
                  <c:v>-107.21385042510202</c:v>
                </c:pt>
                <c:pt idx="243">
                  <c:v>-107.29959601173815</c:v>
                </c:pt>
                <c:pt idx="244">
                  <c:v>-107.38539551457525</c:v>
                </c:pt>
                <c:pt idx="245">
                  <c:v>-107.47315083044835</c:v>
                </c:pt>
                <c:pt idx="246">
                  <c:v>-107.56095990287345</c:v>
                </c:pt>
                <c:pt idx="247">
                  <c:v>-107.64882147025526</c:v>
                </c:pt>
                <c:pt idx="248">
                  <c:v>-107.73673429717873</c:v>
                </c:pt>
                <c:pt idx="249">
                  <c:v>-107.82684322491833</c:v>
                </c:pt>
                <c:pt idx="250">
                  <c:v>-107.9170033998795</c:v>
                </c:pt>
                <c:pt idx="251">
                  <c:v>-108.00721357490093</c:v>
                </c:pt>
                <c:pt idx="252">
                  <c:v>-108.09747252863218</c:v>
                </c:pt>
                <c:pt idx="253">
                  <c:v>-108.18969081987686</c:v>
                </c:pt>
                <c:pt idx="254">
                  <c:v>-108.28195748153635</c:v>
                </c:pt>
                <c:pt idx="255">
                  <c:v>-108.37427129191455</c:v>
                </c:pt>
                <c:pt idx="256">
                  <c:v>-108.4666310544432</c:v>
                </c:pt>
                <c:pt idx="257">
                  <c:v>-108.5614300817878</c:v>
                </c:pt>
                <c:pt idx="258">
                  <c:v>-108.65627499993586</c:v>
                </c:pt>
                <c:pt idx="259">
                  <c:v>-108.75116459491085</c:v>
                </c:pt>
                <c:pt idx="260">
                  <c:v>-108.84609767765535</c:v>
                </c:pt>
                <c:pt idx="261">
                  <c:v>-108.94323209818465</c:v>
                </c:pt>
                <c:pt idx="262">
                  <c:v>-109.04040956684011</c:v>
                </c:pt>
                <c:pt idx="263">
                  <c:v>-109.13762888816069</c:v>
                </c:pt>
                <c:pt idx="264">
                  <c:v>-109.23488889108721</c:v>
                </c:pt>
                <c:pt idx="265">
                  <c:v>-109.33435108061791</c:v>
                </c:pt>
                <c:pt idx="266">
                  <c:v>-109.43385338053898</c:v>
                </c:pt>
                <c:pt idx="267">
                  <c:v>-109.53339461478647</c:v>
                </c:pt>
                <c:pt idx="268">
                  <c:v>-109.63297363114837</c:v>
                </c:pt>
                <c:pt idx="269">
                  <c:v>-109.73499592028963</c:v>
                </c:pt>
                <c:pt idx="270">
                  <c:v>-109.83705546642042</c:v>
                </c:pt>
                <c:pt idx="271">
                  <c:v>-109.93915110541525</c:v>
                </c:pt>
                <c:pt idx="272">
                  <c:v>-110.04128169664</c:v>
                </c:pt>
                <c:pt idx="273">
                  <c:v>-110.14585606009162</c:v>
                </c:pt>
                <c:pt idx="274">
                  <c:v>-110.25046469823542</c:v>
                </c:pt>
                <c:pt idx="275">
                  <c:v>-110.35510646017275</c:v>
                </c:pt>
                <c:pt idx="276">
                  <c:v>-110.45978021808999</c:v>
                </c:pt>
                <c:pt idx="277">
                  <c:v>-110.56665648036018</c:v>
                </c:pt>
                <c:pt idx="278">
                  <c:v>-110.67356377570673</c:v>
                </c:pt>
                <c:pt idx="279">
                  <c:v>-110.78050097510993</c:v>
                </c:pt>
                <c:pt idx="280">
                  <c:v>-110.88746697198843</c:v>
                </c:pt>
                <c:pt idx="281">
                  <c:v>-110.99735930652592</c:v>
                </c:pt>
                <c:pt idx="282">
                  <c:v>-111.10727972359813</c:v>
                </c:pt>
                <c:pt idx="283">
                  <c:v>-111.21722709419957</c:v>
                </c:pt>
                <c:pt idx="284">
                  <c:v>-111.32720031168509</c:v>
                </c:pt>
                <c:pt idx="285">
                  <c:v>-111.43937431785585</c:v>
                </c:pt>
                <c:pt idx="286">
                  <c:v>-111.55157294748113</c:v>
                </c:pt>
                <c:pt idx="287">
                  <c:v>-111.66379509493105</c:v>
                </c:pt>
                <c:pt idx="288">
                  <c:v>-111.77603967623176</c:v>
                </c:pt>
                <c:pt idx="289">
                  <c:v>-111.89120933239374</c:v>
                </c:pt>
                <c:pt idx="290">
                  <c:v>-112.00640035418081</c:v>
                </c:pt>
                <c:pt idx="291">
                  <c:v>-112.12161163857476</c:v>
                </c:pt>
                <c:pt idx="292">
                  <c:v>-112.23684210404411</c:v>
                </c:pt>
                <c:pt idx="293">
                  <c:v>-112.35475420349931</c:v>
                </c:pt>
                <c:pt idx="294">
                  <c:v>-112.47268415682093</c:v>
                </c:pt>
                <c:pt idx="295">
                  <c:v>-112.59063087184769</c:v>
                </c:pt>
                <c:pt idx="296">
                  <c:v>-112.70859327750972</c:v>
                </c:pt>
                <c:pt idx="297">
                  <c:v>-112.82923526353889</c:v>
                </c:pt>
                <c:pt idx="298">
                  <c:v>-112.94989145679665</c:v>
                </c:pt>
                <c:pt idx="299">
                  <c:v>-113.07056077676043</c:v>
                </c:pt>
                <c:pt idx="300">
                  <c:v>-113.19124216357557</c:v>
                </c:pt>
                <c:pt idx="301">
                  <c:v>-113.31460059086929</c:v>
                </c:pt>
                <c:pt idx="302">
                  <c:v>-113.43796944881913</c:v>
                </c:pt>
                <c:pt idx="303">
                  <c:v>-113.56134766915844</c:v>
                </c:pt>
                <c:pt idx="304">
                  <c:v>-113.68473420384295</c:v>
                </c:pt>
                <c:pt idx="305">
                  <c:v>-113.81127962308396</c:v>
                </c:pt>
                <c:pt idx="306">
                  <c:v>-113.9378316170524</c:v>
                </c:pt>
                <c:pt idx="307">
                  <c:v>-114.06438911809956</c:v>
                </c:pt>
                <c:pt idx="308">
                  <c:v>-114.19095107863843</c:v>
                </c:pt>
                <c:pt idx="309">
                  <c:v>-114.32018358698308</c:v>
                </c:pt>
                <c:pt idx="310">
                  <c:v>-114.44941859898316</c:v>
                </c:pt>
                <c:pt idx="311">
                  <c:v>-114.57865506075477</c:v>
                </c:pt>
                <c:pt idx="312">
                  <c:v>-114.70789193798103</c:v>
                </c:pt>
                <c:pt idx="313">
                  <c:v>-114.84028030378785</c:v>
                </c:pt>
                <c:pt idx="314">
                  <c:v>-114.97266696903496</c:v>
                </c:pt>
                <c:pt idx="315">
                  <c:v>-115.10505088238698</c:v>
                </c:pt>
                <c:pt idx="316">
                  <c:v>-115.23743101185423</c:v>
                </c:pt>
                <c:pt idx="317">
                  <c:v>-115.37295807122698</c:v>
                </c:pt>
                <c:pt idx="318">
                  <c:v>-115.50847903513427</c:v>
                </c:pt>
                <c:pt idx="319">
                  <c:v>-115.643992855836</c:v>
                </c:pt>
                <c:pt idx="320">
                  <c:v>-115.77949850468352</c:v>
                </c:pt>
                <c:pt idx="321">
                  <c:v>-115.91814593500121</c:v>
                </c:pt>
                <c:pt idx="322">
                  <c:v>-116.05678268888673</c:v>
                </c:pt>
                <c:pt idx="323">
                  <c:v>-116.19540772309944</c:v>
                </c:pt>
                <c:pt idx="324">
                  <c:v>-116.33402001321197</c:v>
                </c:pt>
                <c:pt idx="325">
                  <c:v>-116.47576835235321</c:v>
                </c:pt>
                <c:pt idx="326">
                  <c:v>-116.61750125227528</c:v>
                </c:pt>
                <c:pt idx="327">
                  <c:v>-116.75921767501646</c:v>
                </c:pt>
                <c:pt idx="328">
                  <c:v>-116.90091660112917</c:v>
                </c:pt>
                <c:pt idx="329">
                  <c:v>-117.04598743711526</c:v>
                </c:pt>
                <c:pt idx="330">
                  <c:v>-117.19103782320224</c:v>
                </c:pt>
                <c:pt idx="331">
                  <c:v>-117.33606672223739</c:v>
                </c:pt>
                <c:pt idx="332">
                  <c:v>-117.48107311538946</c:v>
                </c:pt>
                <c:pt idx="333">
                  <c:v>-117.62920227378125</c:v>
                </c:pt>
                <c:pt idx="334">
                  <c:v>-117.77730584514134</c:v>
                </c:pt>
                <c:pt idx="335">
                  <c:v>-117.92538279910274</c:v>
                </c:pt>
                <c:pt idx="336">
                  <c:v>-118.07343212328951</c:v>
                </c:pt>
                <c:pt idx="337">
                  <c:v>-118.22508041347189</c:v>
                </c:pt>
                <c:pt idx="338">
                  <c:v>-118.37669760754187</c:v>
                </c:pt>
                <c:pt idx="339">
                  <c:v>-118.52828267264023</c:v>
                </c:pt>
                <c:pt idx="340">
                  <c:v>-118.67983459378567</c:v>
                </c:pt>
                <c:pt idx="341">
                  <c:v>-118.83497677439168</c:v>
                </c:pt>
                <c:pt idx="342">
                  <c:v>-118.99008210803756</c:v>
                </c:pt>
                <c:pt idx="343">
                  <c:v>-119.14514956050492</c:v>
                </c:pt>
                <c:pt idx="344">
                  <c:v>-119.30017811532092</c:v>
                </c:pt>
                <c:pt idx="345">
                  <c:v>-119.4585461363821</c:v>
                </c:pt>
                <c:pt idx="346">
                  <c:v>-119.61687145388612</c:v>
                </c:pt>
                <c:pt idx="347">
                  <c:v>-119.77515303798816</c:v>
                </c:pt>
                <c:pt idx="348">
                  <c:v>-119.93338987633292</c:v>
                </c:pt>
                <c:pt idx="349">
                  <c:v>-120.09543871336312</c:v>
                </c:pt>
                <c:pt idx="350">
                  <c:v>-120.25743849911939</c:v>
                </c:pt>
                <c:pt idx="351">
                  <c:v>-120.41938819966497</c:v>
                </c:pt>
                <c:pt idx="352">
                  <c:v>-120.58128679849848</c:v>
                </c:pt>
                <c:pt idx="353">
                  <c:v>-120.74698614103461</c:v>
                </c:pt>
                <c:pt idx="354">
                  <c:v>-120.91262981732243</c:v>
                </c:pt>
                <c:pt idx="355">
                  <c:v>-121.07821679058651</c:v>
                </c:pt>
                <c:pt idx="356">
                  <c:v>-121.24374604141761</c:v>
                </c:pt>
                <c:pt idx="357">
                  <c:v>-121.41282354807898</c:v>
                </c:pt>
                <c:pt idx="358">
                  <c:v>-121.58183868969357</c:v>
                </c:pt>
                <c:pt idx="359">
                  <c:v>-121.75079043224315</c:v>
                </c:pt>
                <c:pt idx="360">
                  <c:v>-121.91967775889782</c:v>
                </c:pt>
                <c:pt idx="361">
                  <c:v>-122.09258131569963</c:v>
                </c:pt>
                <c:pt idx="362">
                  <c:v>-122.26541519804718</c:v>
                </c:pt>
                <c:pt idx="363">
                  <c:v>-122.43817836700887</c:v>
                </c:pt>
                <c:pt idx="364">
                  <c:v>-122.61086980085348</c:v>
                </c:pt>
                <c:pt idx="365">
                  <c:v>-122.78732363184477</c:v>
                </c:pt>
                <c:pt idx="366">
                  <c:v>-122.96370039834812</c:v>
                </c:pt>
                <c:pt idx="367">
                  <c:v>-123.13999906218118</c:v>
                </c:pt>
                <c:pt idx="368">
                  <c:v>-123.31621860227281</c:v>
                </c:pt>
                <c:pt idx="369">
                  <c:v>-123.49666475945851</c:v>
                </c:pt>
                <c:pt idx="370">
                  <c:v>-123.67702575932684</c:v>
                </c:pt>
                <c:pt idx="371">
                  <c:v>-123.85730055741203</c:v>
                </c:pt>
                <c:pt idx="372">
                  <c:v>-124.03748812645227</c:v>
                </c:pt>
                <c:pt idx="373">
                  <c:v>-124.22164702604454</c:v>
                </c:pt>
                <c:pt idx="374">
                  <c:v>-124.40571259983727</c:v>
                </c:pt>
                <c:pt idx="375">
                  <c:v>-124.5896838028623</c:v>
                </c:pt>
                <c:pt idx="376">
                  <c:v>-124.77355960735225</c:v>
                </c:pt>
                <c:pt idx="377">
                  <c:v>-124.9618667111675</c:v>
                </c:pt>
                <c:pt idx="378">
                  <c:v>-125.15007152572115</c:v>
                </c:pt>
                <c:pt idx="379">
                  <c:v>-125.33817299915859</c:v>
                </c:pt>
                <c:pt idx="380">
                  <c:v>-125.52617009699843</c:v>
                </c:pt>
                <c:pt idx="381">
                  <c:v>-125.71810387515961</c:v>
                </c:pt>
                <c:pt idx="382">
                  <c:v>-125.90992660894666</c:v>
                </c:pt>
                <c:pt idx="383">
                  <c:v>-126.1016372494483</c:v>
                </c:pt>
                <c:pt idx="384">
                  <c:v>-126.29323476512502</c:v>
                </c:pt>
                <c:pt idx="385">
                  <c:v>-126.4894622441948</c:v>
                </c:pt>
                <c:pt idx="386">
                  <c:v>-126.68556878272422</c:v>
                </c:pt>
                <c:pt idx="387">
                  <c:v>-126.88155332502052</c:v>
                </c:pt>
                <c:pt idx="388">
                  <c:v>-127.07741483302098</c:v>
                </c:pt>
                <c:pt idx="389">
                  <c:v>-127.27764781120982</c:v>
                </c:pt>
                <c:pt idx="390">
                  <c:v>-127.47774989422209</c:v>
                </c:pt>
                <c:pt idx="391">
                  <c:v>-127.67772002577678</c:v>
                </c:pt>
                <c:pt idx="392">
                  <c:v>-127.8775571673976</c:v>
                </c:pt>
                <c:pt idx="393">
                  <c:v>-128.08174381010269</c:v>
                </c:pt>
                <c:pt idx="394">
                  <c:v>-128.28578928204729</c:v>
                </c:pt>
                <c:pt idx="395">
                  <c:v>-128.48969252869693</c:v>
                </c:pt>
                <c:pt idx="396">
                  <c:v>-128.69345251350137</c:v>
                </c:pt>
                <c:pt idx="397">
                  <c:v>-128.90200968663717</c:v>
                </c:pt>
                <c:pt idx="398">
                  <c:v>-129.11041441240081</c:v>
                </c:pt>
                <c:pt idx="399">
                  <c:v>-129.31866563336669</c:v>
                </c:pt>
                <c:pt idx="400">
                  <c:v>-129.52676231044413</c:v>
                </c:pt>
                <c:pt idx="401">
                  <c:v>-129.73939554954549</c:v>
                </c:pt>
                <c:pt idx="402">
                  <c:v>-129.95186504849551</c:v>
                </c:pt>
                <c:pt idx="403">
                  <c:v>-130.16416975353181</c:v>
                </c:pt>
                <c:pt idx="404">
                  <c:v>-130.37630862950189</c:v>
                </c:pt>
                <c:pt idx="405">
                  <c:v>-130.5931919320137</c:v>
                </c:pt>
                <c:pt idx="406">
                  <c:v>-130.80989949463918</c:v>
                </c:pt>
                <c:pt idx="407">
                  <c:v>-131.02643026689935</c:v>
                </c:pt>
                <c:pt idx="408">
                  <c:v>-131.24278321728917</c:v>
                </c:pt>
                <c:pt idx="409">
                  <c:v>-131.464085498087</c:v>
                </c:pt>
                <c:pt idx="410">
                  <c:v>-131.68519928830125</c:v>
                </c:pt>
                <c:pt idx="411">
                  <c:v>-131.90612354087889</c:v>
                </c:pt>
                <c:pt idx="412">
                  <c:v>-132.1268572281929</c:v>
                </c:pt>
                <c:pt idx="413">
                  <c:v>-132.35250973453032</c:v>
                </c:pt>
                <c:pt idx="414">
                  <c:v>-132.57796062197724</c:v>
                </c:pt>
                <c:pt idx="415">
                  <c:v>-132.80320885078407</c:v>
                </c:pt>
                <c:pt idx="416">
                  <c:v>-133.02825340108606</c:v>
                </c:pt>
                <c:pt idx="417">
                  <c:v>-133.25841654719213</c:v>
                </c:pt>
                <c:pt idx="418">
                  <c:v>-133.48836415108622</c:v>
                </c:pt>
                <c:pt idx="419">
                  <c:v>-133.71809518132341</c:v>
                </c:pt>
                <c:pt idx="420">
                  <c:v>-133.94760862689122</c:v>
                </c:pt>
                <c:pt idx="421">
                  <c:v>-134.1819759538179</c:v>
                </c:pt>
                <c:pt idx="422">
                  <c:v>-134.4161138859715</c:v>
                </c:pt>
                <c:pt idx="423">
                  <c:v>-134.65002140777415</c:v>
                </c:pt>
                <c:pt idx="424">
                  <c:v>-134.88369752455077</c:v>
                </c:pt>
                <c:pt idx="425">
                  <c:v>-135.12288251115817</c:v>
                </c:pt>
                <c:pt idx="426">
                  <c:v>-135.36182251630592</c:v>
                </c:pt>
                <c:pt idx="427">
                  <c:v>-135.60051653622136</c:v>
                </c:pt>
                <c:pt idx="428">
                  <c:v>-135.83896358875919</c:v>
                </c:pt>
                <c:pt idx="429">
                  <c:v>-136.08265140416313</c:v>
                </c:pt>
                <c:pt idx="430">
                  <c:v>-136.32607872164959</c:v>
                </c:pt>
                <c:pt idx="431">
                  <c:v>-136.56924455769007</c:v>
                </c:pt>
                <c:pt idx="432">
                  <c:v>-136.81214795102684</c:v>
                </c:pt>
                <c:pt idx="433">
                  <c:v>-137.06025286452223</c:v>
                </c:pt>
                <c:pt idx="434">
                  <c:v>-137.30808141067084</c:v>
                </c:pt>
                <c:pt idx="435">
                  <c:v>-137.55563263182549</c:v>
                </c:pt>
                <c:pt idx="436">
                  <c:v>-137.80290559325402</c:v>
                </c:pt>
                <c:pt idx="437">
                  <c:v>-138.05579296829811</c:v>
                </c:pt>
                <c:pt idx="438">
                  <c:v>-138.30838672699531</c:v>
                </c:pt>
                <c:pt idx="439">
                  <c:v>-138.56068593852359</c:v>
                </c:pt>
                <c:pt idx="440">
                  <c:v>-138.81268969578889</c:v>
                </c:pt>
                <c:pt idx="441">
                  <c:v>-139.07026298315276</c:v>
                </c:pt>
                <c:pt idx="442">
                  <c:v>-139.32752502924399</c:v>
                </c:pt>
                <c:pt idx="443">
                  <c:v>-139.58447493694723</c:v>
                </c:pt>
                <c:pt idx="444">
                  <c:v>-139.84111183368151</c:v>
                </c:pt>
                <c:pt idx="445">
                  <c:v>-140.10327204753909</c:v>
                </c:pt>
                <c:pt idx="446">
                  <c:v>-140.36510305335915</c:v>
                </c:pt>
                <c:pt idx="447">
                  <c:v>-140.6266039948971</c:v>
                </c:pt>
                <c:pt idx="448">
                  <c:v>-140.88777404123857</c:v>
                </c:pt>
                <c:pt idx="449">
                  <c:v>-141.15486663734902</c:v>
                </c:pt>
                <c:pt idx="450">
                  <c:v>-141.42161058573947</c:v>
                </c:pt>
                <c:pt idx="451">
                  <c:v>-141.68800507445633</c:v>
                </c:pt>
                <c:pt idx="452">
                  <c:v>-141.95404931783139</c:v>
                </c:pt>
                <c:pt idx="453">
                  <c:v>-142.22574160624114</c:v>
                </c:pt>
                <c:pt idx="454">
                  <c:v>-142.49706606433818</c:v>
                </c:pt>
                <c:pt idx="455">
                  <c:v>-142.76802193484008</c:v>
                </c:pt>
                <c:pt idx="456">
                  <c:v>-143.03860848759672</c:v>
                </c:pt>
                <c:pt idx="457">
                  <c:v>-143.31523318609354</c:v>
                </c:pt>
                <c:pt idx="458">
                  <c:v>-143.59146936671877</c:v>
                </c:pt>
                <c:pt idx="459">
                  <c:v>-143.86731633195052</c:v>
                </c:pt>
                <c:pt idx="460">
                  <c:v>-144.14277341239705</c:v>
                </c:pt>
                <c:pt idx="461">
                  <c:v>-144.42421177290814</c:v>
                </c:pt>
                <c:pt idx="462">
                  <c:v>-144.70524063355421</c:v>
                </c:pt>
                <c:pt idx="463">
                  <c:v>-144.98585936613219</c:v>
                </c:pt>
                <c:pt idx="464">
                  <c:v>-145.26606737153006</c:v>
                </c:pt>
                <c:pt idx="465">
                  <c:v>-145.55241687734394</c:v>
                </c:pt>
                <c:pt idx="466">
                  <c:v>-145.83833499928954</c:v>
                </c:pt>
                <c:pt idx="467">
                  <c:v>-146.12382118705773</c:v>
                </c:pt>
                <c:pt idx="468">
                  <c:v>-146.40887492043854</c:v>
                </c:pt>
                <c:pt idx="469">
                  <c:v>-146.70000866759207</c:v>
                </c:pt>
                <c:pt idx="470">
                  <c:v>-146.99068891993397</c:v>
                </c:pt>
                <c:pt idx="471">
                  <c:v>-147.28091521558846</c:v>
                </c:pt>
                <c:pt idx="472">
                  <c:v>-147.57068712373268</c:v>
                </c:pt>
                <c:pt idx="473">
                  <c:v>-147.86690774660445</c:v>
                </c:pt>
                <c:pt idx="474">
                  <c:v>-148.16265120443438</c:v>
                </c:pt>
                <c:pt idx="475">
                  <c:v>-148.45791713297797</c:v>
                </c:pt>
                <c:pt idx="476">
                  <c:v>-148.75270520011779</c:v>
                </c:pt>
                <c:pt idx="477">
                  <c:v>-149.05387376782627</c:v>
                </c:pt>
                <c:pt idx="478">
                  <c:v>-149.35454132051876</c:v>
                </c:pt>
                <c:pt idx="479">
                  <c:v>-149.65470760361907</c:v>
                </c:pt>
                <c:pt idx="480">
                  <c:v>-149.95437239567386</c:v>
                </c:pt>
                <c:pt idx="481">
                  <c:v>-150.26034819156294</c:v>
                </c:pt>
                <c:pt idx="482">
                  <c:v>-150.56579901116652</c:v>
                </c:pt>
                <c:pt idx="483">
                  <c:v>-150.87072472174629</c:v>
                </c:pt>
                <c:pt idx="484">
                  <c:v>-151.17512522459216</c:v>
                </c:pt>
                <c:pt idx="485">
                  <c:v>-151.48597748509147</c:v>
                </c:pt>
                <c:pt idx="486">
                  <c:v>-151.79628001915856</c:v>
                </c:pt>
                <c:pt idx="487">
                  <c:v>-152.10603282815723</c:v>
                </c:pt>
                <c:pt idx="488">
                  <c:v>-152.41523594837702</c:v>
                </c:pt>
                <c:pt idx="489">
                  <c:v>-152.73123664328571</c:v>
                </c:pt>
                <c:pt idx="490">
                  <c:v>-153.04666133060405</c:v>
                </c:pt>
                <c:pt idx="491">
                  <c:v>-153.36151015934817</c:v>
                </c:pt>
                <c:pt idx="492">
                  <c:v>-153.6757833144288</c:v>
                </c:pt>
                <c:pt idx="493">
                  <c:v>-153.99677431241923</c:v>
                </c:pt>
                <c:pt idx="494">
                  <c:v>-154.31716303590588</c:v>
                </c:pt>
                <c:pt idx="495">
                  <c:v>-154.63694979579526</c:v>
                </c:pt>
                <c:pt idx="496">
                  <c:v>-154.95613493972022</c:v>
                </c:pt>
                <c:pt idx="497">
                  <c:v>-155.28216391351265</c:v>
                </c:pt>
                <c:pt idx="498">
                  <c:v>-155.60756364812181</c:v>
                </c:pt>
                <c:pt idx="499">
                  <c:v>-155.93233463145933</c:v>
                </c:pt>
                <c:pt idx="500">
                  <c:v>-156.2564773889402</c:v>
                </c:pt>
                <c:pt idx="501">
                  <c:v>-156.58758497895826</c:v>
                </c:pt>
                <c:pt idx="502">
                  <c:v>-156.91803571090355</c:v>
                </c:pt>
                <c:pt idx="503">
                  <c:v>-157.24783026572538</c:v>
                </c:pt>
                <c:pt idx="504">
                  <c:v>-157.57696936257861</c:v>
                </c:pt>
                <c:pt idx="505">
                  <c:v>-157.91298573246524</c:v>
                </c:pt>
                <c:pt idx="506">
                  <c:v>-158.24831785149036</c:v>
                </c:pt>
                <c:pt idx="507">
                  <c:v>-158.58296660890838</c:v>
                </c:pt>
                <c:pt idx="508">
                  <c:v>-158.91693293269603</c:v>
                </c:pt>
                <c:pt idx="509">
                  <c:v>-159.2578900697533</c:v>
                </c:pt>
                <c:pt idx="510">
                  <c:v>-159.59813504410531</c:v>
                </c:pt>
                <c:pt idx="511">
                  <c:v>-159.93766897026384</c:v>
                </c:pt>
                <c:pt idx="512">
                  <c:v>-160.27649300187142</c:v>
                </c:pt>
                <c:pt idx="513">
                  <c:v>-160.62261670072277</c:v>
                </c:pt>
                <c:pt idx="514">
                  <c:v>-160.96799901054487</c:v>
                </c:pt>
                <c:pt idx="515">
                  <c:v>-161.31264129123102</c:v>
                </c:pt>
                <c:pt idx="516">
                  <c:v>-161.65654494217679</c:v>
                </c:pt>
                <c:pt idx="517">
                  <c:v>-162.00765094589846</c:v>
                </c:pt>
                <c:pt idx="518">
                  <c:v>-162.35798679489116</c:v>
                </c:pt>
                <c:pt idx="519">
                  <c:v>-162.70755411097372</c:v>
                </c:pt>
                <c:pt idx="520">
                  <c:v>-163.05635455559863</c:v>
                </c:pt>
                <c:pt idx="521">
                  <c:v>-163.41245628096704</c:v>
                </c:pt>
                <c:pt idx="522">
                  <c:v>-163.76775877681987</c:v>
                </c:pt>
                <c:pt idx="523">
                  <c:v>-164.12226394604852</c:v>
                </c:pt>
                <c:pt idx="524">
                  <c:v>-164.47597373114246</c:v>
                </c:pt>
                <c:pt idx="525">
                  <c:v>-164.83707897867041</c:v>
                </c:pt>
                <c:pt idx="526">
                  <c:v>-165.19735569694089</c:v>
                </c:pt>
                <c:pt idx="527">
                  <c:v>-165.55680608968433</c:v>
                </c:pt>
                <c:pt idx="528">
                  <c:v>-165.91543240001081</c:v>
                </c:pt>
                <c:pt idx="529">
                  <c:v>-166.28154369255978</c:v>
                </c:pt>
                <c:pt idx="530">
                  <c:v>-166.64679702265096</c:v>
                </c:pt>
                <c:pt idx="531">
                  <c:v>-167.01119491518355</c:v>
                </c:pt>
                <c:pt idx="532">
                  <c:v>-167.37473993401483</c:v>
                </c:pt>
                <c:pt idx="533">
                  <c:v>-167.74604625969647</c:v>
                </c:pt>
                <c:pt idx="534">
                  <c:v>-168.11646424006213</c:v>
                </c:pt>
                <c:pt idx="535">
                  <c:v>-168.48599674648096</c:v>
                </c:pt>
                <c:pt idx="536">
                  <c:v>-168.85464668871808</c:v>
                </c:pt>
                <c:pt idx="537">
                  <c:v>-169.23075661578443</c:v>
                </c:pt>
                <c:pt idx="538">
                  <c:v>-169.60594972284593</c:v>
                </c:pt>
                <c:pt idx="539">
                  <c:v>-169.98022924013836</c:v>
                </c:pt>
                <c:pt idx="540">
                  <c:v>-170.3535984353399</c:v>
                </c:pt>
                <c:pt idx="541">
                  <c:v>-170.73488198280904</c:v>
                </c:pt>
                <c:pt idx="542">
                  <c:v>-171.11521856827801</c:v>
                </c:pt>
                <c:pt idx="543">
                  <c:v>-171.49461181226133</c:v>
                </c:pt>
                <c:pt idx="544">
                  <c:v>-171.87306537166475</c:v>
                </c:pt>
                <c:pt idx="545">
                  <c:v>-172.25931673884716</c:v>
                </c:pt>
                <c:pt idx="546">
                  <c:v>-172.64459224034528</c:v>
                </c:pt>
                <c:pt idx="547">
                  <c:v>-173.02889590406681</c:v>
                </c:pt>
                <c:pt idx="548">
                  <c:v>-173.41223179292527</c:v>
                </c:pt>
                <c:pt idx="549">
                  <c:v>-173.8034336141416</c:v>
                </c:pt>
                <c:pt idx="550">
                  <c:v>-174.19363110199725</c:v>
                </c:pt>
                <c:pt idx="551">
                  <c:v>-174.58282871401704</c:v>
                </c:pt>
                <c:pt idx="552">
                  <c:v>-174.97103094107925</c:v>
                </c:pt>
                <c:pt idx="553">
                  <c:v>-175.36734555106574</c:v>
                </c:pt>
                <c:pt idx="554">
                  <c:v>-175.76262698307158</c:v>
                </c:pt>
                <c:pt idx="555">
                  <c:v>-176.15688015348371</c:v>
                </c:pt>
                <c:pt idx="556">
                  <c:v>-176.55011001017795</c:v>
                </c:pt>
                <c:pt idx="557">
                  <c:v>-177.35184920632176</c:v>
                </c:pt>
                <c:pt idx="558">
                  <c:v>-178.14936480361894</c:v>
                </c:pt>
                <c:pt idx="559">
                  <c:v>-178.96083600053495</c:v>
                </c:pt>
                <c:pt idx="560">
                  <c:v>-179.76798037944488</c:v>
                </c:pt>
                <c:pt idx="561">
                  <c:v>-180.58984250058427</c:v>
                </c:pt>
                <c:pt idx="562">
                  <c:v>-181.40727121008211</c:v>
                </c:pt>
                <c:pt idx="563">
                  <c:v>-182.23771799950481</c:v>
                </c:pt>
                <c:pt idx="564">
                  <c:v>-183.06364862209836</c:v>
                </c:pt>
                <c:pt idx="565">
                  <c:v>-183.90577114941144</c:v>
                </c:pt>
                <c:pt idx="566">
                  <c:v>-184.74326621863389</c:v>
                </c:pt>
                <c:pt idx="567">
                  <c:v>-185.59661950273076</c:v>
                </c:pt>
                <c:pt idx="568">
                  <c:v>-186.44524452192346</c:v>
                </c:pt>
                <c:pt idx="569">
                  <c:v>-187.30603937123294</c:v>
                </c:pt>
                <c:pt idx="570">
                  <c:v>-188.1620537325154</c:v>
                </c:pt>
                <c:pt idx="571">
                  <c:v>-189.03666135715511</c:v>
                </c:pt>
                <c:pt idx="572">
                  <c:v>-189.90637319320464</c:v>
                </c:pt>
                <c:pt idx="573">
                  <c:v>-190.78772505876339</c:v>
                </c:pt>
                <c:pt idx="574">
                  <c:v>-191.66415318761278</c:v>
                </c:pt>
                <c:pt idx="575">
                  <c:v>-192.55852493930576</c:v>
                </c:pt>
                <c:pt idx="576">
                  <c:v>-193.44788470192879</c:v>
                </c:pt>
                <c:pt idx="577">
                  <c:v>-197.15955235008371</c:v>
                </c:pt>
                <c:pt idx="578">
                  <c:v>-200.78960639787559</c:v>
                </c:pt>
                <c:pt idx="579">
                  <c:v>-208.49122496480194</c:v>
                </c:pt>
                <c:pt idx="580">
                  <c:v>-216.61081055006076</c:v>
                </c:pt>
                <c:pt idx="581">
                  <c:v>-225.21155628796731</c:v>
                </c:pt>
                <c:pt idx="582">
                  <c:v>-234.41861136542437</c:v>
                </c:pt>
                <c:pt idx="583">
                  <c:v>-244.41505165395913</c:v>
                </c:pt>
                <c:pt idx="584">
                  <c:v>-255.50932682819632</c:v>
                </c:pt>
                <c:pt idx="585">
                  <c:v>-268.16906943844589</c:v>
                </c:pt>
                <c:pt idx="586">
                  <c:v>-283.11774927215879</c:v>
                </c:pt>
                <c:pt idx="587">
                  <c:v>-301.34008513977545</c:v>
                </c:pt>
                <c:pt idx="588">
                  <c:v>-323.64127936608566</c:v>
                </c:pt>
                <c:pt idx="589">
                  <c:v>-169.42402858094547</c:v>
                </c:pt>
                <c:pt idx="590">
                  <c:v>-195.74314782590614</c:v>
                </c:pt>
                <c:pt idx="591">
                  <c:v>-219.67828655708556</c:v>
                </c:pt>
                <c:pt idx="592">
                  <c:v>-240.85491881973269</c:v>
                </c:pt>
                <c:pt idx="593">
                  <c:v>-260.88752704903749</c:v>
                </c:pt>
                <c:pt idx="594">
                  <c:v>-282.58190111545275</c:v>
                </c:pt>
                <c:pt idx="595">
                  <c:v>-310.79388519479198</c:v>
                </c:pt>
                <c:pt idx="596">
                  <c:v>-352.09128823609331</c:v>
                </c:pt>
                <c:pt idx="597">
                  <c:v>-219.11004960143904</c:v>
                </c:pt>
                <c:pt idx="598">
                  <c:v>-255.63266610355294</c:v>
                </c:pt>
                <c:pt idx="599">
                  <c:v>-287.47671827164993</c:v>
                </c:pt>
                <c:pt idx="600">
                  <c:v>-331.18157290023635</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1.2483358046488748</c:v>
                </c:pt>
                <c:pt idx="17">
                  <c:v>1.2685172242400555</c:v>
                </c:pt>
                <c:pt idx="18">
                  <c:v>1.2881133005356606</c:v>
                </c:pt>
                <c:pt idx="19">
                  <c:v>1.3071721911591165</c:v>
                </c:pt>
                <c:pt idx="20">
                  <c:v>1.3257357915635459</c:v>
                </c:pt>
                <c:pt idx="21">
                  <c:v>1.3438408190179407</c:v>
                </c:pt>
                <c:pt idx="22">
                  <c:v>1.3615196666490983</c:v>
                </c:pt>
                <c:pt idx="23">
                  <c:v>1.3788010844870566</c:v>
                </c:pt>
                <c:pt idx="24">
                  <c:v>1.3957107285083714</c:v>
                </c:pt>
                <c:pt idx="25">
                  <c:v>1.4122716076629453</c:v>
                </c:pt>
                <c:pt idx="26">
                  <c:v>1.4285044511378413</c:v>
                </c:pt>
                <c:pt idx="27">
                  <c:v>1.4444280125925126</c:v>
                </c:pt>
                <c:pt idx="28">
                  <c:v>1.4600593241023998</c:v>
                </c:pt>
                <c:pt idx="29">
                  <c:v>1.4754139096132999</c:v>
                </c:pt>
                <c:pt idx="30">
                  <c:v>1.4905059655278909</c:v>
                </c:pt>
                <c:pt idx="31">
                  <c:v>1.5053485144062573</c:v>
                </c:pt>
                <c:pt idx="32">
                  <c:v>1.5199535365166834</c:v>
                </c:pt>
                <c:pt idx="33">
                  <c:v>1.5343320830174387</c:v>
                </c:pt>
                <c:pt idx="34">
                  <c:v>1.5484943738104733</c:v>
                </c:pt>
                <c:pt idx="35">
                  <c:v>1.5624498825303363</c:v>
                </c:pt>
                <c:pt idx="36">
                  <c:v>1.5762074106770159</c:v>
                </c:pt>
                <c:pt idx="37">
                  <c:v>1.5897751525409309</c:v>
                </c:pt>
                <c:pt idx="38">
                  <c:v>1.6031607522804927</c:v>
                </c:pt>
                <c:pt idx="39">
                  <c:v>1.6163713542812974</c:v>
                </c:pt>
                <c:pt idx="40">
                  <c:v>1.6294136477389112</c:v>
                </c:pt>
                <c:pt idx="41">
                  <c:v>1.6422939062550048</c:v>
                </c:pt>
                <c:pt idx="42">
                  <c:v>1.6550180231120535</c:v>
                </c:pt>
                <c:pt idx="43">
                  <c:v>1.667591542789443</c:v>
                </c:pt>
                <c:pt idx="44">
                  <c:v>1.6800196891991643</c:v>
                </c:pt>
                <c:pt idx="45">
                  <c:v>1.6923073910490225</c:v>
                </c:pt>
                <c:pt idx="46">
                  <c:v>1.7044593046826408</c:v>
                </c:pt>
                <c:pt idx="47">
                  <c:v>1.7164798346964445</c:v>
                </c:pt>
                <c:pt idx="48">
                  <c:v>1.7283731525924857</c:v>
                </c:pt>
                <c:pt idx="49">
                  <c:v>1.7401432136910864</c:v>
                </c:pt>
                <c:pt idx="50">
                  <c:v>1.751793772497706</c:v>
                </c:pt>
                <c:pt idx="51">
                  <c:v>1.7633283966932765</c:v>
                </c:pt>
                <c:pt idx="52">
                  <c:v>1.7747504798957834</c:v>
                </c:pt>
                <c:pt idx="53">
                  <c:v>1.7860632533224707</c:v>
                </c:pt>
                <c:pt idx="54">
                  <c:v>1.7972697964662609</c:v>
                </c:pt>
                <c:pt idx="55">
                  <c:v>1.8083730468863553</c:v>
                </c:pt>
                <c:pt idx="56">
                  <c:v>1.8193758092012222</c:v>
                </c:pt>
                <c:pt idx="57">
                  <c:v>1.8302807633619846</c:v>
                </c:pt>
                <c:pt idx="58">
                  <c:v>1.8410904722753545</c:v>
                </c:pt>
                <c:pt idx="59">
                  <c:v>1.8518073888375464</c:v>
                </c:pt>
                <c:pt idx="60">
                  <c:v>1.8624338624338623</c:v>
                </c:pt>
                <c:pt idx="61">
                  <c:v>1.8729721449527341</c:v>
                </c:pt>
                <c:pt idx="62">
                  <c:v>1.8834243963578334</c:v>
                </c:pt>
                <c:pt idx="63">
                  <c:v>1.8937926898573034</c:v>
                </c:pt>
                <c:pt idx="64">
                  <c:v>1.9040790167051571</c:v>
                </c:pt>
                <c:pt idx="65">
                  <c:v>1.9142852906663277</c:v>
                </c:pt>
                <c:pt idx="66">
                  <c:v>1.9244133521737374</c:v>
                </c:pt>
                <c:pt idx="67">
                  <c:v>1.934464972202951</c:v>
                </c:pt>
                <c:pt idx="68">
                  <c:v>1.9444418558875183</c:v>
                </c:pt>
                <c:pt idx="69">
                  <c:v>1.9543456458959079</c:v>
                </c:pt>
                <c:pt idx="70">
                  <c:v>1.9641779255889651</c:v>
                </c:pt>
                <c:pt idx="71">
                  <c:v>1.9739402219750875</c:v>
                </c:pt>
                <c:pt idx="72">
                  <c:v>1.9836340084787285</c:v>
                </c:pt>
                <c:pt idx="73">
                  <c:v>1.9932607075364484</c:v>
                </c:pt>
                <c:pt idx="74">
                  <c:v>2.0028216930334546</c:v>
                </c:pt>
                <c:pt idx="75">
                  <c:v>2.0123182925924588</c:v>
                </c:pt>
                <c:pt idx="76">
                  <c:v>2.0217517897256405</c:v>
                </c:pt>
                <c:pt idx="77">
                  <c:v>2.031123425859592</c:v>
                </c:pt>
                <c:pt idx="78">
                  <c:v>2.0404344022422918</c:v>
                </c:pt>
                <c:pt idx="79">
                  <c:v>2.0496858817404027</c:v>
                </c:pt>
                <c:pt idx="80">
                  <c:v>2.0588789905344993</c:v>
                </c:pt>
                <c:pt idx="81">
                  <c:v>2.0680148197192274</c:v>
                </c:pt>
                <c:pt idx="82">
                  <c:v>2.0770944268148299</c:v>
                </c:pt>
                <c:pt idx="83">
                  <c:v>2.0861188371959662</c:v>
                </c:pt>
                <c:pt idx="84">
                  <c:v>2.0950890454432889</c:v>
                </c:pt>
                <c:pt idx="85">
                  <c:v>2.1040060166228254</c:v>
                </c:pt>
                <c:pt idx="86">
                  <c:v>2.1128706874978178</c:v>
                </c:pt>
                <c:pt idx="87">
                  <c:v>2.1216839676773285</c:v>
                </c:pt>
                <c:pt idx="88">
                  <c:v>2.130446740705604</c:v>
                </c:pt>
                <c:pt idx="89">
                  <c:v>2.1391598650958823</c:v>
                </c:pt>
                <c:pt idx="90">
                  <c:v>2.1478241753120706</c:v>
                </c:pt>
                <c:pt idx="91">
                  <c:v>2.1564404827014743</c:v>
                </c:pt>
                <c:pt idx="92">
                  <c:v>2.1650095763815207</c:v>
                </c:pt>
                <c:pt idx="93">
                  <c:v>2.1735322240832251</c:v>
                </c:pt>
                <c:pt idx="94">
                  <c:v>2.1820091729539541</c:v>
                </c:pt>
                <c:pt idx="95">
                  <c:v>2.1904411503218517</c:v>
                </c:pt>
                <c:pt idx="96">
                  <c:v>2.1988288644241503</c:v>
                </c:pt>
                <c:pt idx="97">
                  <c:v>2.2071730051014309</c:v>
                </c:pt>
                <c:pt idx="98">
                  <c:v>2.2154742444597515</c:v>
                </c:pt>
                <c:pt idx="99">
                  <c:v>2.2237332375024503</c:v>
                </c:pt>
                <c:pt idx="100">
                  <c:v>2.2319506227332981</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1.2483358046488748</c:v>
                </c:pt>
                <c:pt idx="17">
                  <c:v>1.2685172242400555</c:v>
                </c:pt>
                <c:pt idx="18">
                  <c:v>1.2881133005356606</c:v>
                </c:pt>
                <c:pt idx="19">
                  <c:v>1.3071721911591165</c:v>
                </c:pt>
                <c:pt idx="20">
                  <c:v>1.3257357915635459</c:v>
                </c:pt>
                <c:pt idx="21">
                  <c:v>1.3438408190179407</c:v>
                </c:pt>
                <c:pt idx="22">
                  <c:v>1.3615196666490983</c:v>
                </c:pt>
                <c:pt idx="23">
                  <c:v>1.3788010844870566</c:v>
                </c:pt>
                <c:pt idx="24">
                  <c:v>1.3957107285083714</c:v>
                </c:pt>
                <c:pt idx="25">
                  <c:v>1.4122716076629453</c:v>
                </c:pt>
                <c:pt idx="26">
                  <c:v>1.4285044511378413</c:v>
                </c:pt>
                <c:pt idx="27">
                  <c:v>1.4444280125925126</c:v>
                </c:pt>
                <c:pt idx="28">
                  <c:v>1.4600593241023998</c:v>
                </c:pt>
                <c:pt idx="29">
                  <c:v>1.4754139096132999</c:v>
                </c:pt>
                <c:pt idx="30">
                  <c:v>1.4905059655278909</c:v>
                </c:pt>
                <c:pt idx="31">
                  <c:v>1.5053485144062573</c:v>
                </c:pt>
                <c:pt idx="32">
                  <c:v>1.5199535365166834</c:v>
                </c:pt>
                <c:pt idx="33">
                  <c:v>1.5343320830174387</c:v>
                </c:pt>
                <c:pt idx="34">
                  <c:v>1.5484943738104733</c:v>
                </c:pt>
                <c:pt idx="35">
                  <c:v>1.5624498825303363</c:v>
                </c:pt>
                <c:pt idx="36">
                  <c:v>1.5762074106770159</c:v>
                </c:pt>
                <c:pt idx="37">
                  <c:v>1.5897751525409309</c:v>
                </c:pt>
                <c:pt idx="38">
                  <c:v>1.6031607522804927</c:v>
                </c:pt>
                <c:pt idx="39">
                  <c:v>1.6163713542812974</c:v>
                </c:pt>
                <c:pt idx="40">
                  <c:v>1.6294136477389112</c:v>
                </c:pt>
                <c:pt idx="41">
                  <c:v>1.6422939062550048</c:v>
                </c:pt>
                <c:pt idx="42">
                  <c:v>1.6550180231120535</c:v>
                </c:pt>
                <c:pt idx="43">
                  <c:v>1.667591542789443</c:v>
                </c:pt>
                <c:pt idx="44">
                  <c:v>1.6800196891991643</c:v>
                </c:pt>
                <c:pt idx="45">
                  <c:v>1.6923073910490225</c:v>
                </c:pt>
                <c:pt idx="46">
                  <c:v>1.7044593046826408</c:v>
                </c:pt>
                <c:pt idx="47">
                  <c:v>1.7164798346964445</c:v>
                </c:pt>
                <c:pt idx="48">
                  <c:v>1.7283731525924857</c:v>
                </c:pt>
                <c:pt idx="49">
                  <c:v>1.7401432136910864</c:v>
                </c:pt>
                <c:pt idx="50">
                  <c:v>1.751793772497706</c:v>
                </c:pt>
                <c:pt idx="51">
                  <c:v>1.7633283966932765</c:v>
                </c:pt>
                <c:pt idx="52">
                  <c:v>1.7747504798957834</c:v>
                </c:pt>
                <c:pt idx="53">
                  <c:v>1.7860632533224707</c:v>
                </c:pt>
                <c:pt idx="54">
                  <c:v>1.7972697964662609</c:v>
                </c:pt>
                <c:pt idx="55">
                  <c:v>1.8083730468863553</c:v>
                </c:pt>
                <c:pt idx="56">
                  <c:v>1.8193758092012222</c:v>
                </c:pt>
                <c:pt idx="57">
                  <c:v>1.8302807633619846</c:v>
                </c:pt>
                <c:pt idx="58">
                  <c:v>1.8410904722753545</c:v>
                </c:pt>
                <c:pt idx="59">
                  <c:v>1.8518073888375464</c:v>
                </c:pt>
                <c:pt idx="60">
                  <c:v>1.8624338624338623</c:v>
                </c:pt>
                <c:pt idx="61">
                  <c:v>1.8729721449527341</c:v>
                </c:pt>
                <c:pt idx="62">
                  <c:v>1.8834243963578334</c:v>
                </c:pt>
                <c:pt idx="63">
                  <c:v>1.8937926898573034</c:v>
                </c:pt>
                <c:pt idx="64">
                  <c:v>1.9040790167051571</c:v>
                </c:pt>
                <c:pt idx="65">
                  <c:v>1.9142852906663277</c:v>
                </c:pt>
                <c:pt idx="66">
                  <c:v>1.9244133521737374</c:v>
                </c:pt>
                <c:pt idx="67">
                  <c:v>1.934464972202951</c:v>
                </c:pt>
                <c:pt idx="68">
                  <c:v>1.9444418558875183</c:v>
                </c:pt>
                <c:pt idx="69">
                  <c:v>1.9543456458959079</c:v>
                </c:pt>
                <c:pt idx="70">
                  <c:v>1.9641779255889651</c:v>
                </c:pt>
                <c:pt idx="71">
                  <c:v>1.9739402219750875</c:v>
                </c:pt>
                <c:pt idx="72">
                  <c:v>1.9836340084787285</c:v>
                </c:pt>
                <c:pt idx="73">
                  <c:v>1.9932607075364484</c:v>
                </c:pt>
                <c:pt idx="74">
                  <c:v>2.0028216930334546</c:v>
                </c:pt>
                <c:pt idx="75">
                  <c:v>2.0123182925924588</c:v>
                </c:pt>
                <c:pt idx="76">
                  <c:v>2.0217517897256405</c:v>
                </c:pt>
                <c:pt idx="77">
                  <c:v>2.031123425859592</c:v>
                </c:pt>
                <c:pt idx="78">
                  <c:v>2.0404344022422918</c:v>
                </c:pt>
                <c:pt idx="79">
                  <c:v>2.0496858817404027</c:v>
                </c:pt>
                <c:pt idx="80">
                  <c:v>2.0588789905344993</c:v>
                </c:pt>
                <c:pt idx="81">
                  <c:v>2.0680148197192274</c:v>
                </c:pt>
                <c:pt idx="82">
                  <c:v>2.0770944268148299</c:v>
                </c:pt>
                <c:pt idx="83">
                  <c:v>2.0861188371959662</c:v>
                </c:pt>
                <c:pt idx="84">
                  <c:v>2.0950890454432889</c:v>
                </c:pt>
                <c:pt idx="85">
                  <c:v>2.1040060166228254</c:v>
                </c:pt>
                <c:pt idx="86">
                  <c:v>2.1128706874978178</c:v>
                </c:pt>
                <c:pt idx="87">
                  <c:v>2.1216839676773285</c:v>
                </c:pt>
                <c:pt idx="88">
                  <c:v>2.130446740705604</c:v>
                </c:pt>
                <c:pt idx="89">
                  <c:v>2.1391598650958823</c:v>
                </c:pt>
                <c:pt idx="90">
                  <c:v>2.1478241753120706</c:v>
                </c:pt>
                <c:pt idx="91">
                  <c:v>2.1564404827014743</c:v>
                </c:pt>
                <c:pt idx="92">
                  <c:v>2.1650095763815207</c:v>
                </c:pt>
                <c:pt idx="93">
                  <c:v>2.1735322240832251</c:v>
                </c:pt>
                <c:pt idx="94">
                  <c:v>2.1820091729539541</c:v>
                </c:pt>
                <c:pt idx="95">
                  <c:v>2.1904411503218517</c:v>
                </c:pt>
                <c:pt idx="96">
                  <c:v>2.1988288644241503</c:v>
                </c:pt>
                <c:pt idx="97">
                  <c:v>2.2071730051014309</c:v>
                </c:pt>
                <c:pt idx="98">
                  <c:v>2.2154742444597515</c:v>
                </c:pt>
                <c:pt idx="99">
                  <c:v>2.2237332375024503</c:v>
                </c:pt>
                <c:pt idx="100">
                  <c:v>2.2319506227332981</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1.2483358046488748</c:v>
                </c:pt>
                <c:pt idx="17">
                  <c:v>1.2685172242400555</c:v>
                </c:pt>
                <c:pt idx="18">
                  <c:v>1.2881133005356606</c:v>
                </c:pt>
                <c:pt idx="19">
                  <c:v>1.3071721911591165</c:v>
                </c:pt>
                <c:pt idx="20">
                  <c:v>1.3257357915635459</c:v>
                </c:pt>
                <c:pt idx="21">
                  <c:v>1.3438408190179407</c:v>
                </c:pt>
                <c:pt idx="22">
                  <c:v>1.3615196666490983</c:v>
                </c:pt>
                <c:pt idx="23">
                  <c:v>1.3788010844870566</c:v>
                </c:pt>
                <c:pt idx="24">
                  <c:v>1.3957107285083714</c:v>
                </c:pt>
                <c:pt idx="25">
                  <c:v>1.4122716076629453</c:v>
                </c:pt>
                <c:pt idx="26">
                  <c:v>1.4285044511378413</c:v>
                </c:pt>
                <c:pt idx="27">
                  <c:v>1.4444280125925126</c:v>
                </c:pt>
                <c:pt idx="28">
                  <c:v>1.4600593241023998</c:v>
                </c:pt>
                <c:pt idx="29">
                  <c:v>1.4754139096132999</c:v>
                </c:pt>
                <c:pt idx="30">
                  <c:v>1.4905059655278909</c:v>
                </c:pt>
                <c:pt idx="31">
                  <c:v>1.5053485144062573</c:v>
                </c:pt>
                <c:pt idx="32">
                  <c:v>1.5199535365166834</c:v>
                </c:pt>
                <c:pt idx="33">
                  <c:v>1.5343320830174387</c:v>
                </c:pt>
                <c:pt idx="34">
                  <c:v>1.5484943738104733</c:v>
                </c:pt>
                <c:pt idx="35">
                  <c:v>1.5624498825303363</c:v>
                </c:pt>
                <c:pt idx="36">
                  <c:v>1.5762074106770159</c:v>
                </c:pt>
                <c:pt idx="37">
                  <c:v>1.5897751525409309</c:v>
                </c:pt>
                <c:pt idx="38">
                  <c:v>1.6031607522804927</c:v>
                </c:pt>
                <c:pt idx="39">
                  <c:v>1.6163713542812974</c:v>
                </c:pt>
                <c:pt idx="40">
                  <c:v>1.6294136477389112</c:v>
                </c:pt>
                <c:pt idx="41">
                  <c:v>1.6422939062550048</c:v>
                </c:pt>
                <c:pt idx="42">
                  <c:v>1.6550180231120535</c:v>
                </c:pt>
                <c:pt idx="43">
                  <c:v>1.667591542789443</c:v>
                </c:pt>
                <c:pt idx="44">
                  <c:v>1.6800196891991643</c:v>
                </c:pt>
                <c:pt idx="45">
                  <c:v>1.6923073910490225</c:v>
                </c:pt>
                <c:pt idx="46">
                  <c:v>1.7044593046826408</c:v>
                </c:pt>
                <c:pt idx="47">
                  <c:v>1.7164798346964445</c:v>
                </c:pt>
                <c:pt idx="48">
                  <c:v>1.7283731525924857</c:v>
                </c:pt>
                <c:pt idx="49">
                  <c:v>1.7401432136910864</c:v>
                </c:pt>
                <c:pt idx="50">
                  <c:v>1.751793772497706</c:v>
                </c:pt>
                <c:pt idx="51">
                  <c:v>1.7633283966932765</c:v>
                </c:pt>
                <c:pt idx="52">
                  <c:v>1.7747504798957834</c:v>
                </c:pt>
                <c:pt idx="53">
                  <c:v>1.7860632533224707</c:v>
                </c:pt>
                <c:pt idx="54">
                  <c:v>1.7972697964662609</c:v>
                </c:pt>
                <c:pt idx="55">
                  <c:v>1.8083730468863553</c:v>
                </c:pt>
                <c:pt idx="56">
                  <c:v>1.8193758092012222</c:v>
                </c:pt>
                <c:pt idx="57">
                  <c:v>1.8302807633619846</c:v>
                </c:pt>
                <c:pt idx="58">
                  <c:v>1.8410904722753545</c:v>
                </c:pt>
                <c:pt idx="59">
                  <c:v>1.8518073888375464</c:v>
                </c:pt>
                <c:pt idx="60">
                  <c:v>1.8624338624338623</c:v>
                </c:pt>
                <c:pt idx="61">
                  <c:v>1.8729721449527341</c:v>
                </c:pt>
                <c:pt idx="62">
                  <c:v>1.8834243963578334</c:v>
                </c:pt>
                <c:pt idx="63">
                  <c:v>1.8937926898573034</c:v>
                </c:pt>
                <c:pt idx="64">
                  <c:v>1.9040790167051571</c:v>
                </c:pt>
                <c:pt idx="65">
                  <c:v>1.9142852906663277</c:v>
                </c:pt>
                <c:pt idx="66">
                  <c:v>1.9244133521737374</c:v>
                </c:pt>
                <c:pt idx="67">
                  <c:v>1.934464972202951</c:v>
                </c:pt>
                <c:pt idx="68">
                  <c:v>1.9444418558875183</c:v>
                </c:pt>
                <c:pt idx="69">
                  <c:v>1.9543456458959079</c:v>
                </c:pt>
                <c:pt idx="70">
                  <c:v>1.9641779255889651</c:v>
                </c:pt>
                <c:pt idx="71">
                  <c:v>1.9739402219750875</c:v>
                </c:pt>
                <c:pt idx="72">
                  <c:v>1.9836340084787285</c:v>
                </c:pt>
                <c:pt idx="73">
                  <c:v>1.9932607075364484</c:v>
                </c:pt>
                <c:pt idx="74">
                  <c:v>2.0028216930334546</c:v>
                </c:pt>
                <c:pt idx="75">
                  <c:v>2.0123182925924588</c:v>
                </c:pt>
                <c:pt idx="76">
                  <c:v>2.0217517897256405</c:v>
                </c:pt>
                <c:pt idx="77">
                  <c:v>2.031123425859592</c:v>
                </c:pt>
                <c:pt idx="78">
                  <c:v>2.0404344022422918</c:v>
                </c:pt>
                <c:pt idx="79">
                  <c:v>2.0496858817404027</c:v>
                </c:pt>
                <c:pt idx="80">
                  <c:v>2.0588789905344993</c:v>
                </c:pt>
                <c:pt idx="81">
                  <c:v>2.0680148197192274</c:v>
                </c:pt>
                <c:pt idx="82">
                  <c:v>2.0770944268148299</c:v>
                </c:pt>
                <c:pt idx="83">
                  <c:v>2.0861188371959662</c:v>
                </c:pt>
                <c:pt idx="84">
                  <c:v>2.0950890454432889</c:v>
                </c:pt>
                <c:pt idx="85">
                  <c:v>2.1040060166228254</c:v>
                </c:pt>
                <c:pt idx="86">
                  <c:v>2.1128706874978178</c:v>
                </c:pt>
                <c:pt idx="87">
                  <c:v>2.1216839676773285</c:v>
                </c:pt>
                <c:pt idx="88">
                  <c:v>2.130446740705604</c:v>
                </c:pt>
                <c:pt idx="89">
                  <c:v>2.1391598650958823</c:v>
                </c:pt>
                <c:pt idx="90">
                  <c:v>2.1478241753120706</c:v>
                </c:pt>
                <c:pt idx="91">
                  <c:v>2.1564404827014743</c:v>
                </c:pt>
                <c:pt idx="92">
                  <c:v>2.1650095763815207</c:v>
                </c:pt>
                <c:pt idx="93">
                  <c:v>2.1735322240832251</c:v>
                </c:pt>
                <c:pt idx="94">
                  <c:v>2.1820091729539541</c:v>
                </c:pt>
                <c:pt idx="95">
                  <c:v>2.1904411503218517</c:v>
                </c:pt>
                <c:pt idx="96">
                  <c:v>2.1988288644241503</c:v>
                </c:pt>
                <c:pt idx="97">
                  <c:v>2.2071730051014309</c:v>
                </c:pt>
                <c:pt idx="98">
                  <c:v>2.2154742444597515</c:v>
                </c:pt>
                <c:pt idx="99">
                  <c:v>2.2237332375024503</c:v>
                </c:pt>
                <c:pt idx="100">
                  <c:v>2.2319506227332981</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8.6776471730715536E-6</c:v>
                </c:pt>
                <c:pt idx="1">
                  <c:v>32.271719235738132</c:v>
                </c:pt>
                <c:pt idx="2">
                  <c:v>45.899194114107345</c:v>
                </c:pt>
                <c:pt idx="3">
                  <c:v>53.418134590047664</c:v>
                </c:pt>
                <c:pt idx="4">
                  <c:v>58.183727901360669</c:v>
                </c:pt>
                <c:pt idx="5">
                  <c:v>61.474247817718975</c:v>
                </c:pt>
                <c:pt idx="6">
                  <c:v>63.882738572532318</c:v>
                </c:pt>
                <c:pt idx="7">
                  <c:v>65.721907265966735</c:v>
                </c:pt>
                <c:pt idx="8">
                  <c:v>67.17226428247605</c:v>
                </c:pt>
                <c:pt idx="9">
                  <c:v>68.345303530401722</c:v>
                </c:pt>
                <c:pt idx="10">
                  <c:v>69.313609424590368</c:v>
                </c:pt>
                <c:pt idx="11">
                  <c:v>70.126468302378115</c:v>
                </c:pt>
                <c:pt idx="12">
                  <c:v>70.818521780842843</c:v>
                </c:pt>
                <c:pt idx="13">
                  <c:v>71.414829974164562</c:v>
                </c:pt>
                <c:pt idx="14">
                  <c:v>71.774695982461481</c:v>
                </c:pt>
                <c:pt idx="15">
                  <c:v>71.683258669313858</c:v>
                </c:pt>
                <c:pt idx="16">
                  <c:v>71.904685976237118</c:v>
                </c:pt>
                <c:pt idx="17">
                  <c:v>72.379427875745563</c:v>
                </c:pt>
                <c:pt idx="18">
                  <c:v>72.809749255820051</c:v>
                </c:pt>
                <c:pt idx="19">
                  <c:v>73.201835190646861</c:v>
                </c:pt>
                <c:pt idx="20">
                  <c:v>73.560759843930384</c:v>
                </c:pt>
                <c:pt idx="21">
                  <c:v>73.890726652390953</c:v>
                </c:pt>
                <c:pt idx="22">
                  <c:v>74.195248553287527</c:v>
                </c:pt>
                <c:pt idx="23">
                  <c:v>74.477285061630013</c:v>
                </c:pt>
                <c:pt idx="24">
                  <c:v>74.739347817130238</c:v>
                </c:pt>
                <c:pt idx="25">
                  <c:v>74.983582770921402</c:v>
                </c:pt>
                <c:pt idx="26">
                  <c:v>75.211834844698799</c:v>
                </c:pt>
                <c:pt idx="27">
                  <c:v>75.425699284883734</c:v>
                </c:pt>
                <c:pt idx="28">
                  <c:v>75.626562808355985</c:v>
                </c:pt>
                <c:pt idx="29">
                  <c:v>75.815636837637769</c:v>
                </c:pt>
                <c:pt idx="30">
                  <c:v>75.993984549572801</c:v>
                </c:pt>
                <c:pt idx="31">
                  <c:v>76.162543044268162</c:v>
                </c:pt>
                <c:pt idx="32">
                  <c:v>76.322141634234995</c:v>
                </c:pt>
                <c:pt idx="33">
                  <c:v>76.473517025688395</c:v>
                </c:pt>
                <c:pt idx="34">
                  <c:v>76.617325992930375</c:v>
                </c:pt>
                <c:pt idx="35">
                  <c:v>76.754156017249016</c:v>
                </c:pt>
                <c:pt idx="36">
                  <c:v>76.884534262891151</c:v>
                </c:pt>
                <c:pt idx="37">
                  <c:v>77.008935186559711</c:v>
                </c:pt>
                <c:pt idx="38">
                  <c:v>77.127787017861806</c:v>
                </c:pt>
                <c:pt idx="39">
                  <c:v>77.24147730202958</c:v>
                </c:pt>
                <c:pt idx="40">
                  <c:v>77.350357659980673</c:v>
                </c:pt>
                <c:pt idx="41">
                  <c:v>77.454747892091575</c:v>
                </c:pt>
                <c:pt idx="42">
                  <c:v>77.554939529212803</c:v>
                </c:pt>
                <c:pt idx="43">
                  <c:v>77.651198916159231</c:v>
                </c:pt>
                <c:pt idx="44">
                  <c:v>77.743769898179536</c:v>
                </c:pt>
                <c:pt idx="45">
                  <c:v>77.832876168985777</c:v>
                </c:pt>
                <c:pt idx="46">
                  <c:v>77.918723329227873</c:v>
                </c:pt>
                <c:pt idx="47">
                  <c:v>78.001500696371494</c:v>
                </c:pt>
                <c:pt idx="48">
                  <c:v>78.081382900433098</c:v>
                </c:pt>
                <c:pt idx="49">
                  <c:v>78.158531294661444</c:v>
                </c:pt>
                <c:pt idx="50">
                  <c:v>78.233095205813925</c:v>
                </c:pt>
                <c:pt idx="51">
                  <c:v>78.305213044985393</c:v>
                </c:pt>
                <c:pt idx="52">
                  <c:v>78.37501329686755</c:v>
                </c:pt>
                <c:pt idx="53">
                  <c:v>78.44261540273763</c:v>
                </c:pt>
                <c:pt idx="54">
                  <c:v>78.508130550309218</c:v>
                </c:pt>
                <c:pt idx="55">
                  <c:v>78.571662381749562</c:v>
                </c:pt>
                <c:pt idx="56">
                  <c:v>78.633307629623857</c:v>
                </c:pt>
                <c:pt idx="57">
                  <c:v>78.693156689214319</c:v>
                </c:pt>
                <c:pt idx="58">
                  <c:v>78.751294134546583</c:v>
                </c:pt>
                <c:pt idx="59">
                  <c:v>78.807799184503068</c:v>
                </c:pt>
                <c:pt idx="60">
                  <c:v>78.862746124588085</c:v>
                </c:pt>
                <c:pt idx="61">
                  <c:v>78.916204689209025</c:v>
                </c:pt>
                <c:pt idx="62">
                  <c:v>78.968240408736662</c:v>
                </c:pt>
                <c:pt idx="63">
                  <c:v>79.018914925087714</c:v>
                </c:pt>
                <c:pt idx="64">
                  <c:v>79.068286279124024</c:v>
                </c:pt>
                <c:pt idx="65">
                  <c:v>79.116409172773288</c:v>
                </c:pt>
                <c:pt idx="66">
                  <c:v>79.163335208438085</c:v>
                </c:pt>
                <c:pt idx="67">
                  <c:v>79.209113107965663</c:v>
                </c:pt>
                <c:pt idx="68">
                  <c:v>79.253788913193972</c:v>
                </c:pt>
                <c:pt idx="69">
                  <c:v>79.297406169864686</c:v>
                </c:pt>
                <c:pt idx="70">
                  <c:v>79.340006096497547</c:v>
                </c:pt>
                <c:pt idx="71">
                  <c:v>79.381627739647115</c:v>
                </c:pt>
                <c:pt idx="72">
                  <c:v>79.42230811681155</c:v>
                </c:pt>
                <c:pt idx="73">
                  <c:v>79.462082348128888</c:v>
                </c:pt>
                <c:pt idx="74">
                  <c:v>79.500983777878432</c:v>
                </c:pt>
                <c:pt idx="75">
                  <c:v>79.539044086699846</c:v>
                </c:pt>
                <c:pt idx="76">
                  <c:v>79.576293395350916</c:v>
                </c:pt>
                <c:pt idx="77">
                  <c:v>79.612760360741859</c:v>
                </c:pt>
                <c:pt idx="78">
                  <c:v>79.648472264911746</c:v>
                </c:pt>
                <c:pt idx="79">
                  <c:v>79.683455097547792</c:v>
                </c:pt>
                <c:pt idx="80">
                  <c:v>79.717733632589528</c:v>
                </c:pt>
                <c:pt idx="81">
                  <c:v>79.751331499409574</c:v>
                </c:pt>
                <c:pt idx="82">
                  <c:v>79.78427124901512</c:v>
                </c:pt>
                <c:pt idx="83">
                  <c:v>79.816574415674182</c:v>
                </c:pt>
                <c:pt idx="84">
                  <c:v>79.848261574332525</c:v>
                </c:pt>
                <c:pt idx="85">
                  <c:v>79.879352394154807</c:v>
                </c:pt>
                <c:pt idx="86">
                  <c:v>79.909865688492957</c:v>
                </c:pt>
                <c:pt idx="87">
                  <c:v>79.939819461558329</c:v>
                </c:pt>
                <c:pt idx="88">
                  <c:v>79.969230952049543</c:v>
                </c:pt>
                <c:pt idx="89">
                  <c:v>79.998116673966507</c:v>
                </c:pt>
                <c:pt idx="90">
                  <c:v>80.026492454820797</c:v>
                </c:pt>
                <c:pt idx="91">
                  <c:v>80.05437347143544</c:v>
                </c:pt>
                <c:pt idx="92">
                  <c:v>80.0817742835101</c:v>
                </c:pt>
                <c:pt idx="93">
                  <c:v>80.108708865113869</c:v>
                </c:pt>
                <c:pt idx="94">
                  <c:v>80.135190634253973</c:v>
                </c:pt>
                <c:pt idx="95">
                  <c:v>80.161232480656679</c:v>
                </c:pt>
                <c:pt idx="96">
                  <c:v>80.186846791886296</c:v>
                </c:pt>
                <c:pt idx="97">
                  <c:v>80.212045477917243</c:v>
                </c:pt>
                <c:pt idx="98">
                  <c:v>80.236839994265793</c:v>
                </c:pt>
                <c:pt idx="99">
                  <c:v>80.261241363779519</c:v>
                </c:pt>
                <c:pt idx="100">
                  <c:v>80.285260197174722</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71.064583035857765</c:v>
                </c:pt>
                <c:pt idx="1">
                  <c:v>75.433820472888897</c:v>
                </c:pt>
                <c:pt idx="2">
                  <c:v>79.632688412444438</c:v>
                </c:pt>
                <c:pt idx="3">
                  <c:v>83.831556352000007</c:v>
                </c:pt>
                <c:pt idx="4">
                  <c:v>88.030424291555562</c:v>
                </c:pt>
                <c:pt idx="5">
                  <c:v>92.229292231111131</c:v>
                </c:pt>
                <c:pt idx="6">
                  <c:v>96.428160170666672</c:v>
                </c:pt>
                <c:pt idx="7">
                  <c:v>100.62702811022226</c:v>
                </c:pt>
                <c:pt idx="8">
                  <c:v>104.82589604977778</c:v>
                </c:pt>
                <c:pt idx="9">
                  <c:v>109.02476398933331</c:v>
                </c:pt>
                <c:pt idx="10">
                  <c:v>113.22363192888889</c:v>
                </c:pt>
                <c:pt idx="11">
                  <c:v>117.42249986844445</c:v>
                </c:pt>
                <c:pt idx="12">
                  <c:v>121.621367808</c:v>
                </c:pt>
                <c:pt idx="13">
                  <c:v>125.82023574755557</c:v>
                </c:pt>
                <c:pt idx="14">
                  <c:v>131.26869957037854</c:v>
                </c:pt>
                <c:pt idx="15">
                  <c:v>139.99634726656876</c:v>
                </c:pt>
                <c:pt idx="16">
                  <c:v>148.86461874226922</c:v>
                </c:pt>
                <c:pt idx="17">
                  <c:v>157.92331657778041</c:v>
                </c:pt>
                <c:pt idx="18">
                  <c:v>166.9606852495177</c:v>
                </c:pt>
                <c:pt idx="19">
                  <c:v>175.97732618500334</c:v>
                </c:pt>
                <c:pt idx="20">
                  <c:v>184.97379262298398</c:v>
                </c:pt>
                <c:pt idx="21">
                  <c:v>193.95059572552549</c:v>
                </c:pt>
                <c:pt idx="22">
                  <c:v>202.90820965668041</c:v>
                </c:pt>
                <c:pt idx="23">
                  <c:v>211.84707584212373</c:v>
                </c:pt>
                <c:pt idx="24">
                  <c:v>220.76760657216494</c:v>
                </c:pt>
                <c:pt idx="25">
                  <c:v>229.67018807283134</c:v>
                </c:pt>
                <c:pt idx="26">
                  <c:v>238.55518314193753</c:v>
                </c:pt>
                <c:pt idx="27">
                  <c:v>247.42293342630759</c:v>
                </c:pt>
                <c:pt idx="28">
                  <c:v>256.27376140062296</c:v>
                </c:pt>
                <c:pt idx="29">
                  <c:v>265.10797209636104</c:v>
                </c:pt>
                <c:pt idx="30">
                  <c:v>273.92585461999789</c:v>
                </c:pt>
                <c:pt idx="31">
                  <c:v>282.727683492398</c:v>
                </c:pt>
                <c:pt idx="32">
                  <c:v>291.51371983559136</c:v>
                </c:pt>
                <c:pt idx="33">
                  <c:v>300.28421242859673</c:v>
                </c:pt>
                <c:pt idx="34">
                  <c:v>309.03939865030316</c:v>
                </c:pt>
                <c:pt idx="35">
                  <c:v>317.77950532448688</c:v>
                </c:pt>
                <c:pt idx="36">
                  <c:v>326.50474947964847</c:v>
                </c:pt>
                <c:pt idx="37">
                  <c:v>335.21533903440269</c:v>
                </c:pt>
                <c:pt idx="38">
                  <c:v>343.91147341754532</c:v>
                </c:pt>
                <c:pt idx="39">
                  <c:v>352.59334413059196</c:v>
                </c:pt>
                <c:pt idx="40">
                  <c:v>361.26113525947073</c:v>
                </c:pt>
                <c:pt idx="41">
                  <c:v>369.91502394113587</c:v>
                </c:pt>
                <c:pt idx="42">
                  <c:v>378.5551807900772</c:v>
                </c:pt>
                <c:pt idx="43">
                  <c:v>387.18177028905592</c:v>
                </c:pt>
                <c:pt idx="44">
                  <c:v>395.79495114783259</c:v>
                </c:pt>
                <c:pt idx="45">
                  <c:v>404.39487663318306</c:v>
                </c:pt>
                <c:pt idx="46">
                  <c:v>412.98169487308934</c:v>
                </c:pt>
                <c:pt idx="47">
                  <c:v>421.55554913764837</c:v>
                </c:pt>
                <c:pt idx="48">
                  <c:v>430.116578098942</c:v>
                </c:pt>
                <c:pt idx="49">
                  <c:v>438.66491607184923</c:v>
                </c:pt>
                <c:pt idx="50">
                  <c:v>447.20069323756292</c:v>
                </c:pt>
                <c:pt idx="51">
                  <c:v>455.7240358513759</c:v>
                </c:pt>
                <c:pt idx="52">
                  <c:v>464.23506643613126</c:v>
                </c:pt>
                <c:pt idx="53">
                  <c:v>472.73390396258395</c:v>
                </c:pt>
                <c:pt idx="54">
                  <c:v>481.22066401779136</c:v>
                </c:pt>
                <c:pt idx="55">
                  <c:v>489.69545896253601</c:v>
                </c:pt>
                <c:pt idx="56">
                  <c:v>498.15839807867985</c:v>
                </c:pt>
                <c:pt idx="57">
                  <c:v>506.60958770726614</c:v>
                </c:pt>
                <c:pt idx="58">
                  <c:v>515.04913137810058</c:v>
                </c:pt>
                <c:pt idx="59">
                  <c:v>523.47712993147798</c:v>
                </c:pt>
                <c:pt idx="60">
                  <c:v>531.89368163265294</c:v>
                </c:pt>
                <c:pt idx="61">
                  <c:v>540.29888227960578</c:v>
                </c:pt>
                <c:pt idx="62">
                  <c:v>548.69282530459577</c:v>
                </c:pt>
                <c:pt idx="63">
                  <c:v>557.07560186995943</c:v>
                </c:pt>
                <c:pt idx="64">
                  <c:v>565.4473009585621</c:v>
                </c:pt>
                <c:pt idx="65">
                  <c:v>573.80800945928218</c:v>
                </c:pt>
                <c:pt idx="66">
                  <c:v>582.15781224787634</c:v>
                </c:pt>
                <c:pt idx="67">
                  <c:v>590.49679226353487</c:v>
                </c:pt>
                <c:pt idx="68">
                  <c:v>598.82503058142697</c:v>
                </c:pt>
                <c:pt idx="69">
                  <c:v>607.14260648149286</c:v>
                </c:pt>
                <c:pt idx="70">
                  <c:v>615.44959751373574</c:v>
                </c:pt>
                <c:pt idx="71">
                  <c:v>623.74607956023692</c:v>
                </c:pt>
                <c:pt idx="72">
                  <c:v>632.03212689410054</c:v>
                </c:pt>
                <c:pt idx="73">
                  <c:v>640.30781223552367</c:v>
                </c:pt>
                <c:pt idx="74">
                  <c:v>648.57320680516989</c:v>
                </c:pt>
                <c:pt idx="75">
                  <c:v>656.8283803750063</c:v>
                </c:pt>
                <c:pt idx="76">
                  <c:v>665.07340131676142</c:v>
                </c:pt>
                <c:pt idx="77">
                  <c:v>673.30833664814384</c:v>
                </c:pt>
                <c:pt idx="78">
                  <c:v>681.53325207695411</c:v>
                </c:pt>
                <c:pt idx="79">
                  <c:v>689.74821204320619</c:v>
                </c:pt>
                <c:pt idx="80">
                  <c:v>697.95327975938199</c:v>
                </c:pt>
                <c:pt idx="81">
                  <c:v>706.14851724891571</c:v>
                </c:pt>
                <c:pt idx="82">
                  <c:v>714.33398538300992</c:v>
                </c:pt>
                <c:pt idx="83">
                  <c:v>722.50974391587749</c:v>
                </c:pt>
                <c:pt idx="84">
                  <c:v>730.67585151848948</c:v>
                </c:pt>
                <c:pt idx="85">
                  <c:v>738.83236581091444</c:v>
                </c:pt>
                <c:pt idx="86">
                  <c:v>746.97934339332335</c:v>
                </c:pt>
                <c:pt idx="87">
                  <c:v>755.11683987572508</c:v>
                </c:pt>
                <c:pt idx="88">
                  <c:v>763.24490990650463</c:v>
                </c:pt>
                <c:pt idx="89">
                  <c:v>771.36360719982395</c:v>
                </c:pt>
                <c:pt idx="90">
                  <c:v>779.47298456193835</c:v>
                </c:pt>
                <c:pt idx="91">
                  <c:v>787.57309391649085</c:v>
                </c:pt>
                <c:pt idx="92">
                  <c:v>795.66398632882658</c:v>
                </c:pt>
                <c:pt idx="93">
                  <c:v>803.74571202938432</c:v>
                </c:pt>
                <c:pt idx="94">
                  <c:v>811.81832043619863</c:v>
                </c:pt>
                <c:pt idx="95">
                  <c:v>819.88186017657142</c:v>
                </c:pt>
                <c:pt idx="96">
                  <c:v>827.93637910793166</c:v>
                </c:pt>
                <c:pt idx="97">
                  <c:v>835.98192433794202</c:v>
                </c:pt>
                <c:pt idx="98">
                  <c:v>844.0185422438725</c:v>
                </c:pt>
                <c:pt idx="99">
                  <c:v>852.0462784912819</c:v>
                </c:pt>
                <c:pt idx="100">
                  <c:v>860.06517805203828</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11.649034451885328</c:v>
                </c:pt>
                <c:pt idx="1">
                  <c:v>17.559985295118391</c:v>
                </c:pt>
                <c:pt idx="2">
                  <c:v>28.160491987394973</c:v>
                </c:pt>
                <c:pt idx="3">
                  <c:v>38.76152011530079</c:v>
                </c:pt>
                <c:pt idx="4">
                  <c:v>49.363069717310701</c:v>
                </c:pt>
                <c:pt idx="5">
                  <c:v>59.965140831903291</c:v>
                </c:pt>
                <c:pt idx="6">
                  <c:v>70.567733497560965</c:v>
                </c:pt>
                <c:pt idx="7">
                  <c:v>81.170847752769944</c:v>
                </c:pt>
                <c:pt idx="8">
                  <c:v>91.77448363602015</c:v>
                </c:pt>
                <c:pt idx="9">
                  <c:v>102.37864118580541</c:v>
                </c:pt>
                <c:pt idx="10">
                  <c:v>112.98332044062319</c:v>
                </c:pt>
                <c:pt idx="11">
                  <c:v>123.58852143897491</c:v>
                </c:pt>
                <c:pt idx="12">
                  <c:v>134.19424421936566</c:v>
                </c:pt>
                <c:pt idx="13">
                  <c:v>144.80048882030437</c:v>
                </c:pt>
                <c:pt idx="14">
                  <c:v>155.91507763065877</c:v>
                </c:pt>
                <c:pt idx="15">
                  <c:v>168.52824131316686</c:v>
                </c:pt>
                <c:pt idx="16">
                  <c:v>175.71650230505034</c:v>
                </c:pt>
                <c:pt idx="17">
                  <c:v>177.65770525917077</c:v>
                </c:pt>
                <c:pt idx="18">
                  <c:v>179.55978347923048</c:v>
                </c:pt>
                <c:pt idx="19">
                  <c:v>181.4264393698526</c:v>
                </c:pt>
                <c:pt idx="20">
                  <c:v>183.26088215638691</c:v>
                </c:pt>
                <c:pt idx="21">
                  <c:v>185.06591414762104</c:v>
                </c:pt>
                <c:pt idx="22">
                  <c:v>186.84399859436181</c:v>
                </c:pt>
                <c:pt idx="23">
                  <c:v>188.59731371846539</c:v>
                </c:pt>
                <c:pt idx="24">
                  <c:v>190.32779620213995</c:v>
                </c:pt>
                <c:pt idx="25">
                  <c:v>192.0371765415268</c:v>
                </c:pt>
                <c:pt idx="26">
                  <c:v>193.72700804690979</c:v>
                </c:pt>
                <c:pt idx="27">
                  <c:v>195.39869082854739</c:v>
                </c:pt>
                <c:pt idx="28">
                  <c:v>197.05349178626611</c:v>
                </c:pt>
                <c:pt idx="29">
                  <c:v>198.69256138560951</c:v>
                </c:pt>
                <c:pt idx="30">
                  <c:v>200.31694782856556</c:v>
                </c:pt>
                <c:pt idx="31">
                  <c:v>201.92760909562739</c:v>
                </c:pt>
                <c:pt idx="32">
                  <c:v>203.525423236297</c:v>
                </c:pt>
                <c:pt idx="33">
                  <c:v>205.11119720876272</c:v>
                </c:pt>
                <c:pt idx="34">
                  <c:v>206.68567451039743</c:v>
                </c:pt>
                <c:pt idx="35">
                  <c:v>208.24954179462983</c:v>
                </c:pt>
                <c:pt idx="36">
                  <c:v>209.80343463349564</c:v>
                </c:pt>
                <c:pt idx="37">
                  <c:v>211.34794255645741</c:v>
                </c:pt>
                <c:pt idx="38">
                  <c:v>212.88361347317129</c:v>
                </c:pt>
                <c:pt idx="39">
                  <c:v>214.41095756947962</c:v>
                </c:pt>
                <c:pt idx="40">
                  <c:v>215.93045075103876</c:v>
                </c:pt>
                <c:pt idx="41">
                  <c:v>217.44253769690712</c:v>
                </c:pt>
                <c:pt idx="42">
                  <c:v>218.94763457553802</c:v>
                </c:pt>
                <c:pt idx="43">
                  <c:v>220.44613146750527</c:v>
                </c:pt>
                <c:pt idx="44">
                  <c:v>221.93839453258778</c:v>
                </c:pt>
                <c:pt idx="45">
                  <c:v>223.42476795327511</c:v>
                </c:pt>
                <c:pt idx="46">
                  <c:v>224.90557568212304</c:v>
                </c:pt>
                <c:pt idx="47">
                  <c:v>226.38112301650631</c:v>
                </c:pt>
                <c:pt idx="48">
                  <c:v>227.85169802105594</c:v>
                </c:pt>
                <c:pt idx="49">
                  <c:v>229.31757281531623</c:v>
                </c:pt>
                <c:pt idx="50">
                  <c:v>230.77900474182547</c:v>
                </c:pt>
                <c:pt idx="51">
                  <c:v>232.23623742784568</c:v>
                </c:pt>
                <c:pt idx="52">
                  <c:v>233.68950175227414</c:v>
                </c:pt>
                <c:pt idx="53">
                  <c:v>235.13901672782703</c:v>
                </c:pt>
                <c:pt idx="54">
                  <c:v>236.58499030734276</c:v>
                </c:pt>
                <c:pt idx="55">
                  <c:v>238.02762012198517</c:v>
                </c:pt>
                <c:pt idx="56">
                  <c:v>239.46709415820325</c:v>
                </c:pt>
                <c:pt idx="57">
                  <c:v>240.90359137950662</c:v>
                </c:pt>
                <c:pt idx="58">
                  <c:v>242.33728229842163</c:v>
                </c:pt>
                <c:pt idx="59">
                  <c:v>243.76832950338917</c:v>
                </c:pt>
                <c:pt idx="60">
                  <c:v>245.19688814483993</c:v>
                </c:pt>
                <c:pt idx="61">
                  <c:v>246.62310638421945</c:v>
                </c:pt>
                <c:pt idx="62">
                  <c:v>248.0471258093342</c:v>
                </c:pt>
                <c:pt idx="63">
                  <c:v>249.46908181903231</c:v>
                </c:pt>
                <c:pt idx="64">
                  <c:v>250.88910397992288</c:v>
                </c:pt>
                <c:pt idx="65">
                  <c:v>252.30731635755748</c:v>
                </c:pt>
                <c:pt idx="66">
                  <c:v>253.72383782425928</c:v>
                </c:pt>
                <c:pt idx="67">
                  <c:v>255.13878234556381</c:v>
                </c:pt>
                <c:pt idx="68">
                  <c:v>256.55225924704592</c:v>
                </c:pt>
                <c:pt idx="69">
                  <c:v>257.96437346313769</c:v>
                </c:pt>
                <c:pt idx="70">
                  <c:v>259.3752257693875</c:v>
                </c:pt>
                <c:pt idx="71">
                  <c:v>260.78491299947729</c:v>
                </c:pt>
                <c:pt idx="72">
                  <c:v>262.19352824819157</c:v>
                </c:pt>
                <c:pt idx="73">
                  <c:v>263.6011610614255</c:v>
                </c:pt>
                <c:pt idx="74">
                  <c:v>265.0078976142193</c:v>
                </c:pt>
                <c:pt idx="75">
                  <c:v>266.41382087772075</c:v>
                </c:pt>
                <c:pt idx="76">
                  <c:v>267.81901077589924</c:v>
                </c:pt>
                <c:pt idx="77">
                  <c:v>269.22354433276041</c:v>
                </c:pt>
                <c:pt idx="78">
                  <c:v>270.6274958107511</c:v>
                </c:pt>
                <c:pt idx="79">
                  <c:v>272.03093684098457</c:v>
                </c:pt>
                <c:pt idx="80">
                  <c:v>273.43393654586123</c:v>
                </c:pt>
                <c:pt idx="81">
                  <c:v>274.83656165461821</c:v>
                </c:pt>
                <c:pt idx="82">
                  <c:v>276.23887661229196</c:v>
                </c:pt>
                <c:pt idx="83">
                  <c:v>277.64094368254501</c:v>
                </c:pt>
                <c:pt idx="84">
                  <c:v>279.04282304476772</c:v>
                </c:pt>
                <c:pt idx="85">
                  <c:v>280.44457288583686</c:v>
                </c:pt>
                <c:pt idx="86">
                  <c:v>281.84624948688133</c:v>
                </c:pt>
                <c:pt idx="87">
                  <c:v>283.24790730538035</c:v>
                </c:pt>
                <c:pt idx="88">
                  <c:v>284.64959905289362</c:v>
                </c:pt>
                <c:pt idx="89">
                  <c:v>286.05137576870078</c:v>
                </c:pt>
                <c:pt idx="90">
                  <c:v>287.45328688960763</c:v>
                </c:pt>
                <c:pt idx="91">
                  <c:v>288.85538031615738</c:v>
                </c:pt>
                <c:pt idx="92">
                  <c:v>290.25770247546808</c:v>
                </c:pt>
                <c:pt idx="93">
                  <c:v>291.66029838090077</c:v>
                </c:pt>
                <c:pt idx="94">
                  <c:v>293.06321168875064</c:v>
                </c:pt>
                <c:pt idx="95">
                  <c:v>294.46648475213749</c:v>
                </c:pt>
                <c:pt idx="96">
                  <c:v>295.87015867226012</c:v>
                </c:pt>
                <c:pt idx="97">
                  <c:v>297.27427334717078</c:v>
                </c:pt>
                <c:pt idx="98">
                  <c:v>298.67886751821095</c:v>
                </c:pt>
                <c:pt idx="99">
                  <c:v>300.08397881424224</c:v>
                </c:pt>
                <c:pt idx="100">
                  <c:v>301.48964379379981</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32.524982708716259</c:v>
                </c:pt>
                <c:pt idx="1">
                  <c:v>32.927494432061408</c:v>
                </c:pt>
                <c:pt idx="2">
                  <c:v>33.649318354441341</c:v>
                </c:pt>
                <c:pt idx="3">
                  <c:v>34.371142484545267</c:v>
                </c:pt>
                <c:pt idx="4">
                  <c:v>35.092966822371494</c:v>
                </c:pt>
                <c:pt idx="5">
                  <c:v>35.814791367918311</c:v>
                </c:pt>
                <c:pt idx="6">
                  <c:v>36.536616121184053</c:v>
                </c:pt>
                <c:pt idx="7">
                  <c:v>37.258441082166996</c:v>
                </c:pt>
                <c:pt idx="8">
                  <c:v>37.980266250865462</c:v>
                </c:pt>
                <c:pt idx="9">
                  <c:v>38.702091627277731</c:v>
                </c:pt>
                <c:pt idx="10">
                  <c:v>39.423917211402141</c:v>
                </c:pt>
                <c:pt idx="11">
                  <c:v>40.14574300323698</c:v>
                </c:pt>
                <c:pt idx="12">
                  <c:v>40.86756900278057</c:v>
                </c:pt>
                <c:pt idx="13">
                  <c:v>41.589395210031171</c:v>
                </c:pt>
                <c:pt idx="14">
                  <c:v>43.145108908432995</c:v>
                </c:pt>
                <c:pt idx="15">
                  <c:v>46.998690784336596</c:v>
                </c:pt>
                <c:pt idx="16">
                  <c:v>50.519626513497947</c:v>
                </c:pt>
                <c:pt idx="17">
                  <c:v>53.65918623853058</c:v>
                </c:pt>
                <c:pt idx="18">
                  <c:v>56.797371311292927</c:v>
                </c:pt>
                <c:pt idx="19">
                  <c:v>59.934239743759761</c:v>
                </c:pt>
                <c:pt idx="20">
                  <c:v>63.069844839473113</c:v>
                </c:pt>
                <c:pt idx="21">
                  <c:v>66.204235792952659</c:v>
                </c:pt>
                <c:pt idx="22">
                  <c:v>69.337458187593796</c:v>
                </c:pt>
                <c:pt idx="23">
                  <c:v>72.469554413132443</c:v>
                </c:pt>
                <c:pt idx="24">
                  <c:v>75.600564018640881</c:v>
                </c:pt>
                <c:pt idx="25">
                  <c:v>78.730524013310088</c:v>
                </c:pt>
                <c:pt idx="26">
                  <c:v>81.859469124541917</c:v>
                </c:pt>
                <c:pt idx="27">
                  <c:v>84.987432020833822</c:v>
                </c:pt>
                <c:pt idx="28">
                  <c:v>88.114443505396324</c:v>
                </c:pt>
                <c:pt idx="29">
                  <c:v>91.240532685263133</c:v>
                </c:pt>
                <c:pt idx="30">
                  <c:v>94.365727119739944</c:v>
                </c:pt>
                <c:pt idx="31">
                  <c:v>97.490052951326291</c:v>
                </c:pt>
                <c:pt idx="32">
                  <c:v>100.61353502168163</c:v>
                </c:pt>
                <c:pt idx="33">
                  <c:v>103.73619697476218</c:v>
                </c:pt>
                <c:pt idx="34">
                  <c:v>106.85806134889414</c:v>
                </c:pt>
                <c:pt idx="35">
                  <c:v>109.97914965926415</c:v>
                </c:pt>
                <c:pt idx="36">
                  <c:v>113.09948247207011</c:v>
                </c:pt>
                <c:pt idx="37">
                  <c:v>116.21907947138487</c:v>
                </c:pt>
                <c:pt idx="38">
                  <c:v>119.33795951962759</c:v>
                </c:pt>
                <c:pt idx="39">
                  <c:v>122.4561407124073</c:v>
                </c:pt>
                <c:pt idx="40">
                  <c:v>125.57364042839248</c:v>
                </c:pt>
                <c:pt idx="41">
                  <c:v>128.69047537477306</c:v>
                </c:pt>
                <c:pt idx="42">
                  <c:v>131.80666162880107</c:v>
                </c:pt>
                <c:pt idx="43">
                  <c:v>134.92221467583488</c:v>
                </c:pt>
                <c:pt idx="44">
                  <c:v>138.03714944425599</c:v>
                </c:pt>
                <c:pt idx="45">
                  <c:v>141.15148033758024</c:v>
                </c:pt>
                <c:pt idx="46">
                  <c:v>144.26522126404686</c:v>
                </c:pt>
                <c:pt idx="47">
                  <c:v>147.37838566393393</c:v>
                </c:pt>
                <c:pt idx="48">
                  <c:v>150.49098653482</c:v>
                </c:pt>
                <c:pt idx="49">
                  <c:v>153.60303645498513</c:v>
                </c:pt>
                <c:pt idx="50">
                  <c:v>156.71454760512492</c:v>
                </c:pt>
                <c:pt idx="51">
                  <c:v>159.82553178852933</c:v>
                </c:pt>
                <c:pt idx="52">
                  <c:v>162.93600044986346</c:v>
                </c:pt>
                <c:pt idx="53">
                  <c:v>166.04596469267159</c:v>
                </c:pt>
                <c:pt idx="54">
                  <c:v>169.15543529571488</c:v>
                </c:pt>
                <c:pt idx="55">
                  <c:v>172.26442272823971</c:v>
                </c:pt>
                <c:pt idx="56">
                  <c:v>175.3729371642645</c:v>
                </c:pt>
                <c:pt idx="57">
                  <c:v>178.48098849596573</c:v>
                </c:pt>
                <c:pt idx="58">
                  <c:v>181.58858634623363</c:v>
                </c:pt>
                <c:pt idx="59">
                  <c:v>184.69574008046348</c:v>
                </c:pt>
                <c:pt idx="60">
                  <c:v>187.80245881763997</c:v>
                </c:pt>
                <c:pt idx="61">
                  <c:v>190.90875144076935</c:v>
                </c:pt>
                <c:pt idx="62">
                  <c:v>194.0146266067068</c:v>
                </c:pt>
                <c:pt idx="63">
                  <c:v>197.12009275542391</c:v>
                </c:pt>
                <c:pt idx="64">
                  <c:v>200.22515811875675</c:v>
                </c:pt>
                <c:pt idx="65">
                  <c:v>203.32983072866983</c:v>
                </c:pt>
                <c:pt idx="66">
                  <c:v>206.43411842507192</c:v>
                </c:pt>
                <c:pt idx="67">
                  <c:v>209.5380288632123</c:v>
                </c:pt>
                <c:pt idx="68">
                  <c:v>212.6415695206878</c:v>
                </c:pt>
                <c:pt idx="69">
                  <c:v>215.74474770408537</c:v>
                </c:pt>
                <c:pt idx="70">
                  <c:v>218.84757055528391</c:v>
                </c:pt>
                <c:pt idx="71">
                  <c:v>221.95004505743864</c:v>
                </c:pt>
                <c:pt idx="72">
                  <c:v>225.052178040667</c:v>
                </c:pt>
                <c:pt idx="73">
                  <c:v>228.1539761874557</c:v>
                </c:pt>
                <c:pt idx="74">
                  <c:v>231.25544603780622</c:v>
                </c:pt>
                <c:pt idx="75">
                  <c:v>234.35659399413385</c:v>
                </c:pt>
                <c:pt idx="76">
                  <c:v>237.45742632593604</c:v>
                </c:pt>
                <c:pt idx="77">
                  <c:v>240.55794917424421</c:v>
                </c:pt>
                <c:pt idx="78">
                  <c:v>243.65816855587079</c:v>
                </c:pt>
                <c:pt idx="79">
                  <c:v>246.75809036746261</c:v>
                </c:pt>
                <c:pt idx="80">
                  <c:v>249.85772038937515</c:v>
                </c:pt>
                <c:pt idx="81">
                  <c:v>252.95706428937424</c:v>
                </c:pt>
                <c:pt idx="82">
                  <c:v>256.05612762617511</c:v>
                </c:pt>
                <c:pt idx="83">
                  <c:v>259.15491585283206</c:v>
                </c:pt>
                <c:pt idx="84">
                  <c:v>262.25343431997959</c:v>
                </c:pt>
                <c:pt idx="85">
                  <c:v>265.35168827894029</c:v>
                </c:pt>
                <c:pt idx="86">
                  <c:v>268.44968288470227</c:v>
                </c:pt>
                <c:pt idx="87">
                  <c:v>271.5474231987742</c:v>
                </c:pt>
                <c:pt idx="88">
                  <c:v>274.64491419192331</c:v>
                </c:pt>
                <c:pt idx="89">
                  <c:v>277.74216074680618</c:v>
                </c:pt>
                <c:pt idx="90">
                  <c:v>280.83916766049117</c:v>
                </c:pt>
                <c:pt idx="91">
                  <c:v>283.93593964688489</c:v>
                </c:pt>
                <c:pt idx="92">
                  <c:v>287.03248133906237</c:v>
                </c:pt>
                <c:pt idx="93">
                  <c:v>290.12879729150899</c:v>
                </c:pt>
                <c:pt idx="94">
                  <c:v>293.22489198227555</c:v>
                </c:pt>
                <c:pt idx="95">
                  <c:v>296.3207698150548</c:v>
                </c:pt>
                <c:pt idx="96">
                  <c:v>299.41643512117673</c:v>
                </c:pt>
                <c:pt idx="97">
                  <c:v>302.51189216153449</c:v>
                </c:pt>
                <c:pt idx="98">
                  <c:v>305.60714512843748</c:v>
                </c:pt>
                <c:pt idx="99">
                  <c:v>308.70219814739755</c:v>
                </c:pt>
                <c:pt idx="100">
                  <c:v>311.79705527885329</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23</c:v>
                </c:pt>
                <c:pt idx="1">
                  <c:v>23.02</c:v>
                </c:pt>
                <c:pt idx="2">
                  <c:v>23.04</c:v>
                </c:pt>
                <c:pt idx="3">
                  <c:v>23.06</c:v>
                </c:pt>
                <c:pt idx="4">
                  <c:v>23.08</c:v>
                </c:pt>
                <c:pt idx="5">
                  <c:v>23.1</c:v>
                </c:pt>
                <c:pt idx="6">
                  <c:v>23.12</c:v>
                </c:pt>
                <c:pt idx="7">
                  <c:v>23.14</c:v>
                </c:pt>
                <c:pt idx="8">
                  <c:v>23.16</c:v>
                </c:pt>
                <c:pt idx="9">
                  <c:v>23.18</c:v>
                </c:pt>
                <c:pt idx="10">
                  <c:v>23.2</c:v>
                </c:pt>
                <c:pt idx="11">
                  <c:v>23.22</c:v>
                </c:pt>
                <c:pt idx="12">
                  <c:v>23.24</c:v>
                </c:pt>
                <c:pt idx="13">
                  <c:v>23.26</c:v>
                </c:pt>
                <c:pt idx="14">
                  <c:v>23.28</c:v>
                </c:pt>
                <c:pt idx="15">
                  <c:v>23.3</c:v>
                </c:pt>
                <c:pt idx="16">
                  <c:v>23.32</c:v>
                </c:pt>
                <c:pt idx="17">
                  <c:v>23.34</c:v>
                </c:pt>
                <c:pt idx="18">
                  <c:v>23.36</c:v>
                </c:pt>
                <c:pt idx="19">
                  <c:v>23.38</c:v>
                </c:pt>
                <c:pt idx="20">
                  <c:v>23.4</c:v>
                </c:pt>
                <c:pt idx="21">
                  <c:v>23.42</c:v>
                </c:pt>
                <c:pt idx="22">
                  <c:v>23.44</c:v>
                </c:pt>
                <c:pt idx="23">
                  <c:v>23.46</c:v>
                </c:pt>
                <c:pt idx="24">
                  <c:v>23.48</c:v>
                </c:pt>
                <c:pt idx="25">
                  <c:v>23.5</c:v>
                </c:pt>
                <c:pt idx="26">
                  <c:v>23.52</c:v>
                </c:pt>
                <c:pt idx="27">
                  <c:v>23.54</c:v>
                </c:pt>
                <c:pt idx="28">
                  <c:v>23.56</c:v>
                </c:pt>
                <c:pt idx="29">
                  <c:v>23.58</c:v>
                </c:pt>
                <c:pt idx="30">
                  <c:v>23.6</c:v>
                </c:pt>
                <c:pt idx="31">
                  <c:v>23.62</c:v>
                </c:pt>
                <c:pt idx="32">
                  <c:v>23.64</c:v>
                </c:pt>
                <c:pt idx="33">
                  <c:v>23.66</c:v>
                </c:pt>
                <c:pt idx="34">
                  <c:v>23.68</c:v>
                </c:pt>
                <c:pt idx="35">
                  <c:v>23.7</c:v>
                </c:pt>
                <c:pt idx="36">
                  <c:v>23.72</c:v>
                </c:pt>
                <c:pt idx="37">
                  <c:v>23.74</c:v>
                </c:pt>
                <c:pt idx="38">
                  <c:v>23.76</c:v>
                </c:pt>
                <c:pt idx="39">
                  <c:v>23.78</c:v>
                </c:pt>
                <c:pt idx="40">
                  <c:v>23.8</c:v>
                </c:pt>
                <c:pt idx="41">
                  <c:v>23.82</c:v>
                </c:pt>
                <c:pt idx="42">
                  <c:v>23.84</c:v>
                </c:pt>
                <c:pt idx="43">
                  <c:v>23.86</c:v>
                </c:pt>
                <c:pt idx="44">
                  <c:v>23.88</c:v>
                </c:pt>
                <c:pt idx="45">
                  <c:v>23.9</c:v>
                </c:pt>
                <c:pt idx="46">
                  <c:v>23.92</c:v>
                </c:pt>
                <c:pt idx="47">
                  <c:v>23.94</c:v>
                </c:pt>
                <c:pt idx="48">
                  <c:v>23.96</c:v>
                </c:pt>
                <c:pt idx="49">
                  <c:v>23.98</c:v>
                </c:pt>
                <c:pt idx="50">
                  <c:v>24</c:v>
                </c:pt>
                <c:pt idx="51">
                  <c:v>24.02</c:v>
                </c:pt>
                <c:pt idx="52">
                  <c:v>24.04</c:v>
                </c:pt>
                <c:pt idx="53">
                  <c:v>24.06</c:v>
                </c:pt>
                <c:pt idx="54">
                  <c:v>24.08</c:v>
                </c:pt>
                <c:pt idx="55">
                  <c:v>24.1</c:v>
                </c:pt>
                <c:pt idx="56">
                  <c:v>24.12</c:v>
                </c:pt>
                <c:pt idx="57">
                  <c:v>24.14</c:v>
                </c:pt>
                <c:pt idx="58">
                  <c:v>24.16</c:v>
                </c:pt>
                <c:pt idx="59">
                  <c:v>24.18</c:v>
                </c:pt>
                <c:pt idx="60">
                  <c:v>24.2</c:v>
                </c:pt>
                <c:pt idx="61">
                  <c:v>24.22</c:v>
                </c:pt>
                <c:pt idx="62">
                  <c:v>24.24</c:v>
                </c:pt>
                <c:pt idx="63">
                  <c:v>24.26</c:v>
                </c:pt>
                <c:pt idx="64">
                  <c:v>24.28</c:v>
                </c:pt>
                <c:pt idx="65">
                  <c:v>24.3</c:v>
                </c:pt>
                <c:pt idx="66">
                  <c:v>24.32</c:v>
                </c:pt>
                <c:pt idx="67">
                  <c:v>24.34</c:v>
                </c:pt>
                <c:pt idx="68">
                  <c:v>24.36</c:v>
                </c:pt>
                <c:pt idx="69">
                  <c:v>24.38</c:v>
                </c:pt>
                <c:pt idx="70">
                  <c:v>24.4</c:v>
                </c:pt>
                <c:pt idx="71">
                  <c:v>24.42</c:v>
                </c:pt>
                <c:pt idx="72">
                  <c:v>24.44</c:v>
                </c:pt>
                <c:pt idx="73">
                  <c:v>24.46</c:v>
                </c:pt>
                <c:pt idx="74">
                  <c:v>24.48</c:v>
                </c:pt>
                <c:pt idx="75">
                  <c:v>24.5</c:v>
                </c:pt>
                <c:pt idx="76">
                  <c:v>24.52</c:v>
                </c:pt>
                <c:pt idx="77">
                  <c:v>24.54</c:v>
                </c:pt>
                <c:pt idx="78">
                  <c:v>24.56</c:v>
                </c:pt>
                <c:pt idx="79">
                  <c:v>24.58</c:v>
                </c:pt>
                <c:pt idx="80">
                  <c:v>24.6</c:v>
                </c:pt>
                <c:pt idx="81">
                  <c:v>24.62</c:v>
                </c:pt>
                <c:pt idx="82">
                  <c:v>24.64</c:v>
                </c:pt>
                <c:pt idx="83">
                  <c:v>24.66</c:v>
                </c:pt>
                <c:pt idx="84">
                  <c:v>24.68</c:v>
                </c:pt>
                <c:pt idx="85">
                  <c:v>24.7</c:v>
                </c:pt>
                <c:pt idx="86">
                  <c:v>24.72</c:v>
                </c:pt>
                <c:pt idx="87">
                  <c:v>24.74</c:v>
                </c:pt>
                <c:pt idx="88">
                  <c:v>24.76</c:v>
                </c:pt>
                <c:pt idx="89">
                  <c:v>24.78</c:v>
                </c:pt>
                <c:pt idx="90">
                  <c:v>24.8</c:v>
                </c:pt>
                <c:pt idx="91">
                  <c:v>24.82</c:v>
                </c:pt>
                <c:pt idx="92">
                  <c:v>24.84</c:v>
                </c:pt>
                <c:pt idx="93">
                  <c:v>24.86</c:v>
                </c:pt>
                <c:pt idx="94">
                  <c:v>24.88</c:v>
                </c:pt>
                <c:pt idx="95">
                  <c:v>24.9</c:v>
                </c:pt>
                <c:pt idx="96">
                  <c:v>24.92</c:v>
                </c:pt>
                <c:pt idx="97">
                  <c:v>24.94</c:v>
                </c:pt>
                <c:pt idx="98">
                  <c:v>24.96</c:v>
                </c:pt>
                <c:pt idx="99">
                  <c:v>24.98</c:v>
                </c:pt>
                <c:pt idx="100">
                  <c:v>25</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2.8699999999999993E-3</c:v>
                </c:pt>
                <c:pt idx="1">
                  <c:v>5.4065040650406503E-3</c:v>
                </c:pt>
                <c:pt idx="2">
                  <c:v>1.0813008130081301E-2</c:v>
                </c:pt>
                <c:pt idx="3">
                  <c:v>1.6219512195121952E-2</c:v>
                </c:pt>
                <c:pt idx="4">
                  <c:v>2.1626016260162601E-2</c:v>
                </c:pt>
                <c:pt idx="5">
                  <c:v>2.7032520325203251E-2</c:v>
                </c:pt>
                <c:pt idx="6">
                  <c:v>3.2439024390243903E-2</c:v>
                </c:pt>
                <c:pt idx="7">
                  <c:v>3.7845528455284549E-2</c:v>
                </c:pt>
                <c:pt idx="8">
                  <c:v>4.3252032520325202E-2</c:v>
                </c:pt>
                <c:pt idx="9">
                  <c:v>4.8658536585365848E-2</c:v>
                </c:pt>
                <c:pt idx="10">
                  <c:v>5.4065040650406501E-2</c:v>
                </c:pt>
                <c:pt idx="11">
                  <c:v>5.9471544715447147E-2</c:v>
                </c:pt>
                <c:pt idx="12">
                  <c:v>6.4878048780487807E-2</c:v>
                </c:pt>
                <c:pt idx="13">
                  <c:v>7.0284552845528453E-2</c:v>
                </c:pt>
                <c:pt idx="14">
                  <c:v>7.5868457092525862E-2</c:v>
                </c:pt>
                <c:pt idx="15">
                  <c:v>8.4140693485706658E-2</c:v>
                </c:pt>
                <c:pt idx="16">
                  <c:v>8.9697709069661763E-2</c:v>
                </c:pt>
                <c:pt idx="17">
                  <c:v>9.2458282217534646E-2</c:v>
                </c:pt>
                <c:pt idx="18">
                  <c:v>9.5138787510083866E-2</c:v>
                </c:pt>
                <c:pt idx="19">
                  <c:v>9.7745812325441828E-2</c:v>
                </c:pt>
                <c:pt idx="20">
                  <c:v>0.10028508745288153</c:v>
                </c:pt>
                <c:pt idx="21">
                  <c:v>0.10276163536896299</c:v>
                </c:pt>
                <c:pt idx="22">
                  <c:v>0.10517988706009959</c:v>
                </c:pt>
                <c:pt idx="23">
                  <c:v>0.10754377518130426</c:v>
                </c:pt>
                <c:pt idx="24">
                  <c:v>0.10985680915864303</c:v>
                </c:pt>
                <c:pt idx="25">
                  <c:v>0.11212213633707721</c:v>
                </c:pt>
                <c:pt idx="26">
                  <c:v>0.11434259221769347</c:v>
                </c:pt>
                <c:pt idx="27">
                  <c:v>0.11652074207338937</c:v>
                </c:pt>
                <c:pt idx="28">
                  <c:v>0.1186589156852739</c:v>
                </c:pt>
                <c:pt idx="29">
                  <c:v>0.12075923654063297</c:v>
                </c:pt>
                <c:pt idx="30">
                  <c:v>0.12282364653497367</c:v>
                </c:pt>
                <c:pt idx="31">
                  <c:v>0.12485392699638947</c:v>
                </c:pt>
                <c:pt idx="32">
                  <c:v>0.12685171668011183</c:v>
                </c:pt>
                <c:pt idx="33">
                  <c:v>0.12881852725040357</c:v>
                </c:pt>
                <c:pt idx="34">
                  <c:v>0.13075575666575665</c:v>
                </c:pt>
                <c:pt idx="35">
                  <c:v>0.13266470080434423</c:v>
                </c:pt>
                <c:pt idx="36">
                  <c:v>0.1345465636044926</c:v>
                </c:pt>
                <c:pt idx="37">
                  <c:v>0.13640246594563232</c:v>
                </c:pt>
                <c:pt idx="38">
                  <c:v>0.13823345345581506</c:v>
                </c:pt>
                <c:pt idx="39">
                  <c:v>0.14004050340023985</c:v>
                </c:pt>
                <c:pt idx="40">
                  <c:v>0.14182453077963697</c:v>
                </c:pt>
                <c:pt idx="41">
                  <c:v>0.14358639374653784</c:v>
                </c:pt>
                <c:pt idx="42">
                  <c:v>0.14532689843042618</c:v>
                </c:pt>
                <c:pt idx="43">
                  <c:v>0.14704680324875821</c:v>
                </c:pt>
                <c:pt idx="44">
                  <c:v>0.14874682276926326</c:v>
                </c:pt>
                <c:pt idx="45">
                  <c:v>0.15042763117932231</c:v>
                </c:pt>
                <c:pt idx="46">
                  <c:v>0.15208986541020353</c:v>
                </c:pt>
                <c:pt idx="47">
                  <c:v>0.15373412795721525</c:v>
                </c:pt>
                <c:pt idx="48">
                  <c:v>0.15536098943118584</c:v>
                </c:pt>
                <c:pt idx="49">
                  <c:v>0.15697099087190805</c:v>
                </c:pt>
                <c:pt idx="50">
                  <c:v>0.15856464585013974</c:v>
                </c:pt>
                <c:pt idx="51">
                  <c:v>0.16014244238131206</c:v>
                </c:pt>
                <c:pt idx="52">
                  <c:v>0.16170484467115839</c:v>
                </c:pt>
                <c:pt idx="53">
                  <c:v>0.16325229471096284</c:v>
                </c:pt>
                <c:pt idx="54">
                  <c:v>0.16478521373796456</c:v>
                </c:pt>
                <c:pt idx="55">
                  <c:v>0.16630400357459307</c:v>
                </c:pt>
                <c:pt idx="56">
                  <c:v>0.16780904785859993</c:v>
                </c:pt>
                <c:pt idx="57">
                  <c:v>0.16930071317475742</c:v>
                </c:pt>
                <c:pt idx="58">
                  <c:v>0.17077935009758377</c:v>
                </c:pt>
                <c:pt idx="59">
                  <c:v>0.17224529415349696</c:v>
                </c:pt>
                <c:pt idx="60">
                  <c:v>0.17369886670987897</c:v>
                </c:pt>
                <c:pt idx="61">
                  <c:v>0.17514037579772376</c:v>
                </c:pt>
                <c:pt idx="62">
                  <c:v>0.17657011687383428</c:v>
                </c:pt>
                <c:pt idx="63">
                  <c:v>0.1779883735279108</c:v>
                </c:pt>
                <c:pt idx="64">
                  <c:v>0.17939541813932353</c:v>
                </c:pt>
                <c:pt idx="65">
                  <c:v>0.18079151248787739</c:v>
                </c:pt>
                <c:pt idx="66">
                  <c:v>0.18217690832244882</c:v>
                </c:pt>
                <c:pt idx="67">
                  <c:v>0.18355184789099108</c:v>
                </c:pt>
                <c:pt idx="68">
                  <c:v>0.18491656443506929</c:v>
                </c:pt>
                <c:pt idx="69">
                  <c:v>0.1862712826517838</c:v>
                </c:pt>
                <c:pt idx="70">
                  <c:v>0.18761621912567245</c:v>
                </c:pt>
                <c:pt idx="71">
                  <c:v>0.18895158273294235</c:v>
                </c:pt>
                <c:pt idx="72">
                  <c:v>0.19027757502016773</c:v>
                </c:pt>
                <c:pt idx="73">
                  <c:v>0.19159439055939809</c:v>
                </c:pt>
                <c:pt idx="74">
                  <c:v>0.19290221728144744</c:v>
                </c:pt>
                <c:pt idx="75">
                  <c:v>0.19420123678898224</c:v>
                </c:pt>
                <c:pt idx="76">
                  <c:v>0.19549162465088366</c:v>
                </c:pt>
                <c:pt idx="77">
                  <c:v>0.19677355067923527</c:v>
                </c:pt>
                <c:pt idx="78">
                  <c:v>0.19804717919017475</c:v>
                </c:pt>
                <c:pt idx="79">
                  <c:v>0.19931266924974134</c:v>
                </c:pt>
                <c:pt idx="80">
                  <c:v>0.20057017490576307</c:v>
                </c:pt>
                <c:pt idx="81">
                  <c:v>0.20181984540673895</c:v>
                </c:pt>
                <c:pt idx="82">
                  <c:v>0.20306182540859719</c:v>
                </c:pt>
                <c:pt idx="83">
                  <c:v>0.20429625517014063</c:v>
                </c:pt>
                <c:pt idx="84">
                  <c:v>0.20552327073792598</c:v>
                </c:pt>
                <c:pt idx="85">
                  <c:v>0.20674300412126748</c:v>
                </c:pt>
                <c:pt idx="86">
                  <c:v>0.207955583458002</c:v>
                </c:pt>
                <c:pt idx="87">
                  <c:v>0.20916113317160442</c:v>
                </c:pt>
                <c:pt idx="88">
                  <c:v>0.21035977412019918</c:v>
                </c:pt>
                <c:pt idx="89">
                  <c:v>0.21155162373797287</c:v>
                </c:pt>
                <c:pt idx="90">
                  <c:v>0.21273679616945546</c:v>
                </c:pt>
                <c:pt idx="91">
                  <c:v>0.21391540239710663</c:v>
                </c:pt>
                <c:pt idx="92">
                  <c:v>0.21508755036260852</c:v>
                </c:pt>
                <c:pt idx="93">
                  <c:v>0.21625334508224206</c:v>
                </c:pt>
                <c:pt idx="94">
                  <c:v>0.21741288875669459</c:v>
                </c:pt>
                <c:pt idx="95">
                  <c:v>0.21856628087562474</c:v>
                </c:pt>
                <c:pt idx="96">
                  <c:v>0.21971361831728606</c:v>
                </c:pt>
                <c:pt idx="97">
                  <c:v>0.22085499544349382</c:v>
                </c:pt>
                <c:pt idx="98">
                  <c:v>0.22199050419019567</c:v>
                </c:pt>
                <c:pt idx="99">
                  <c:v>0.22312023415389495</c:v>
                </c:pt>
                <c:pt idx="100">
                  <c:v>0.22424427267415442</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2.9947826086956521E-3</c:v>
                </c:pt>
                <c:pt idx="1">
                  <c:v>5.6415694591728533E-3</c:v>
                </c:pt>
                <c:pt idx="2">
                  <c:v>1.1283138918345707E-2</c:v>
                </c:pt>
                <c:pt idx="3">
                  <c:v>1.6924708377518562E-2</c:v>
                </c:pt>
                <c:pt idx="4">
                  <c:v>2.2566277836691413E-2</c:v>
                </c:pt>
                <c:pt idx="5">
                  <c:v>2.8207847295864265E-2</c:v>
                </c:pt>
                <c:pt idx="6">
                  <c:v>3.3849416755037123E-2</c:v>
                </c:pt>
                <c:pt idx="7">
                  <c:v>3.9490986214209975E-2</c:v>
                </c:pt>
                <c:pt idx="8">
                  <c:v>4.5132555673382826E-2</c:v>
                </c:pt>
                <c:pt idx="9">
                  <c:v>5.0774125132555678E-2</c:v>
                </c:pt>
                <c:pt idx="10">
                  <c:v>5.641569459172853E-2</c:v>
                </c:pt>
                <c:pt idx="11">
                  <c:v>6.2057264050901381E-2</c:v>
                </c:pt>
                <c:pt idx="12">
                  <c:v>6.7698833510074247E-2</c:v>
                </c:pt>
                <c:pt idx="13">
                  <c:v>7.3340402969247098E-2</c:v>
                </c:pt>
                <c:pt idx="14">
                  <c:v>7.898197242841995E-2</c:v>
                </c:pt>
                <c:pt idx="15">
                  <c:v>8.4623541887592788E-2</c:v>
                </c:pt>
                <c:pt idx="16">
                  <c:v>8.879448883594665E-2</c:v>
                </c:pt>
                <c:pt idx="17">
                  <c:v>9.1527264110834033E-2</c:v>
                </c:pt>
                <c:pt idx="18">
                  <c:v>9.4180777781836589E-2</c:v>
                </c:pt>
                <c:pt idx="19">
                  <c:v>9.676155089481045E-2</c:v>
                </c:pt>
                <c:pt idx="20">
                  <c:v>9.9275256532261422E-2</c:v>
                </c:pt>
                <c:pt idx="21">
                  <c:v>0.10172686659640917</c:v>
                </c:pt>
                <c:pt idx="22">
                  <c:v>0.1041207674553974</c:v>
                </c:pt>
                <c:pt idx="23">
                  <c:v>0.10646085216396806</c:v>
                </c:pt>
                <c:pt idx="24">
                  <c:v>0.10875059480966336</c:v>
                </c:pt>
                <c:pt idx="25">
                  <c:v>0.1109931110449333</c:v>
                </c:pt>
                <c:pt idx="26">
                  <c:v>0.11319120781849715</c:v>
                </c:pt>
                <c:pt idx="27">
                  <c:v>0.11534742457197528</c:v>
                </c:pt>
                <c:pt idx="28">
                  <c:v>0.11746406762650799</c:v>
                </c:pt>
                <c:pt idx="29">
                  <c:v>0.11954323908670937</c:v>
                </c:pt>
                <c:pt idx="30">
                  <c:v>0.12158686129397152</c:v>
                </c:pt>
                <c:pt idx="31">
                  <c:v>0.12359669763912295</c:v>
                </c:pt>
                <c:pt idx="32">
                  <c:v>0.12557437037578209</c:v>
                </c:pt>
                <c:pt idx="33">
                  <c:v>0.12752137594635429</c:v>
                </c:pt>
                <c:pt idx="34">
                  <c:v>0.12943909823244573</c:v>
                </c:pt>
                <c:pt idx="35">
                  <c:v>0.13132882006325208</c:v>
                </c:pt>
                <c:pt idx="36">
                  <c:v>0.13319173325391995</c:v>
                </c:pt>
                <c:pt idx="37">
                  <c:v>0.13502894739706992</c:v>
                </c:pt>
                <c:pt idx="38">
                  <c:v>0.13684149759169545</c:v>
                </c:pt>
                <c:pt idx="39">
                  <c:v>0.13863035126232393</c:v>
                </c:pt>
                <c:pt idx="40">
                  <c:v>0.1403964141959923</c:v>
                </c:pt>
                <c:pt idx="41">
                  <c:v>0.14214053590397757</c:v>
                </c:pt>
                <c:pt idx="42">
                  <c:v>0.14386351439836043</c:v>
                </c:pt>
                <c:pt idx="43">
                  <c:v>0.14556610045963508</c:v>
                </c:pt>
                <c:pt idx="44">
                  <c:v>0.14724900146011821</c:v>
                </c:pt>
                <c:pt idx="45">
                  <c:v>0.14891288479839213</c:v>
                </c:pt>
                <c:pt idx="46">
                  <c:v>0.15055838099208069</c:v>
                </c:pt>
                <c:pt idx="47">
                  <c:v>0.15218608646960419</c:v>
                </c:pt>
                <c:pt idx="48">
                  <c:v>0.15379656609596704</c:v>
                </c:pt>
                <c:pt idx="49">
                  <c:v>0.15539035546290658</c:v>
                </c:pt>
                <c:pt idx="50">
                  <c:v>0.15696796296972762</c:v>
                </c:pt>
                <c:pt idx="51">
                  <c:v>0.15852987171774002</c:v>
                </c:pt>
                <c:pt idx="52">
                  <c:v>0.16007654123831019</c:v>
                </c:pt>
                <c:pt idx="53">
                  <c:v>0.16160840907204591</c:v>
                </c:pt>
                <c:pt idx="54">
                  <c:v>0.16312589221449503</c:v>
                </c:pt>
                <c:pt idx="55">
                  <c:v>0.16462938844189504</c:v>
                </c:pt>
                <c:pt idx="56">
                  <c:v>0.166119277528918</c:v>
                </c:pt>
                <c:pt idx="57">
                  <c:v>0.1675959223689735</c:v>
                </c:pt>
                <c:pt idx="58">
                  <c:v>0.16905967000643382</c:v>
                </c:pt>
                <c:pt idx="59">
                  <c:v>0.17051085258909954</c:v>
                </c:pt>
                <c:pt idx="60">
                  <c:v>0.17194978824831084</c:v>
                </c:pt>
                <c:pt idx="61">
                  <c:v>0.17337678191331232</c:v>
                </c:pt>
                <c:pt idx="62">
                  <c:v>0.17479212606577441</c:v>
                </c:pt>
                <c:pt idx="63">
                  <c:v>0.17619610143976194</c:v>
                </c:pt>
                <c:pt idx="64">
                  <c:v>0.1775889776718933</c:v>
                </c:pt>
                <c:pt idx="65">
                  <c:v>0.17897101390595496</c:v>
                </c:pt>
                <c:pt idx="66">
                  <c:v>0.18034245935581236</c:v>
                </c:pt>
                <c:pt idx="67">
                  <c:v>0.18170355383007825</c:v>
                </c:pt>
                <c:pt idx="68">
                  <c:v>0.18305452822166807</c:v>
                </c:pt>
                <c:pt idx="69">
                  <c:v>0.18439560496507168</c:v>
                </c:pt>
                <c:pt idx="70">
                  <c:v>0.18572699846390694</c:v>
                </c:pt>
                <c:pt idx="71">
                  <c:v>0.1870489154910806</c:v>
                </c:pt>
                <c:pt idx="72">
                  <c:v>0.18836155556367318</c:v>
                </c:pt>
                <c:pt idx="73">
                  <c:v>0.18966511129447094</c:v>
                </c:pt>
                <c:pt idx="74">
                  <c:v>0.19095976872189957</c:v>
                </c:pt>
                <c:pt idx="75">
                  <c:v>0.19224570761995879</c:v>
                </c:pt>
                <c:pt idx="76">
                  <c:v>0.1935231017896209</c:v>
                </c:pt>
                <c:pt idx="77">
                  <c:v>0.19479211933302981</c:v>
                </c:pt>
                <c:pt idx="78">
                  <c:v>0.1960529229117246</c:v>
                </c:pt>
                <c:pt idx="79">
                  <c:v>0.19730566999001309</c:v>
                </c:pt>
                <c:pt idx="80">
                  <c:v>0.19855051306452284</c:v>
                </c:pt>
                <c:pt idx="81">
                  <c:v>0.19978759988087993</c:v>
                </c:pt>
                <c:pt idx="82">
                  <c:v>0.20101707363838497</c:v>
                </c:pt>
                <c:pt idx="83">
                  <c:v>0.20223907318349044</c:v>
                </c:pt>
                <c:pt idx="84">
                  <c:v>0.20345373319281834</c:v>
                </c:pt>
                <c:pt idx="85">
                  <c:v>0.20466118434640174</c:v>
                </c:pt>
                <c:pt idx="86">
                  <c:v>0.20586155349178037</c:v>
                </c:pt>
                <c:pt idx="87">
                  <c:v>0.20705496379953431</c:v>
                </c:pt>
                <c:pt idx="88">
                  <c:v>0.20824153491079481</c:v>
                </c:pt>
                <c:pt idx="89">
                  <c:v>0.20942138307723282</c:v>
                </c:pt>
                <c:pt idx="90">
                  <c:v>0.21059462129398845</c:v>
                </c:pt>
                <c:pt idx="91">
                  <c:v>0.21176135942597207</c:v>
                </c:pt>
                <c:pt idx="92">
                  <c:v>0.21292170432793611</c:v>
                </c:pt>
                <c:pt idx="93">
                  <c:v>0.21407575995868933</c:v>
                </c:pt>
                <c:pt idx="94">
                  <c:v>0.21522362748979884</c:v>
                </c:pt>
                <c:pt idx="95">
                  <c:v>0.21636540540910182</c:v>
                </c:pt>
                <c:pt idx="96">
                  <c:v>0.21750118961932671</c:v>
                </c:pt>
                <c:pt idx="97">
                  <c:v>0.21863107353210251</c:v>
                </c:pt>
                <c:pt idx="98">
                  <c:v>0.21975514815761865</c:v>
                </c:pt>
                <c:pt idx="99">
                  <c:v>0.22087350219017732</c:v>
                </c:pt>
                <c:pt idx="100">
                  <c:v>0.2219862220898666</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2.7551999999999997E-3</c:v>
                </c:pt>
                <c:pt idx="1">
                  <c:v>5.1902439024390243E-3</c:v>
                </c:pt>
                <c:pt idx="2">
                  <c:v>1.0380487804878049E-2</c:v>
                </c:pt>
                <c:pt idx="3">
                  <c:v>1.5570731707317076E-2</c:v>
                </c:pt>
                <c:pt idx="4">
                  <c:v>2.0760975609756097E-2</c:v>
                </c:pt>
                <c:pt idx="5">
                  <c:v>2.5951219512195121E-2</c:v>
                </c:pt>
                <c:pt idx="6">
                  <c:v>3.1141463414634151E-2</c:v>
                </c:pt>
                <c:pt idx="7">
                  <c:v>3.6331707317073171E-2</c:v>
                </c:pt>
                <c:pt idx="8">
                  <c:v>4.1521951219512195E-2</c:v>
                </c:pt>
                <c:pt idx="9">
                  <c:v>4.6712195121951218E-2</c:v>
                </c:pt>
                <c:pt idx="10">
                  <c:v>5.1902439024390241E-2</c:v>
                </c:pt>
                <c:pt idx="11">
                  <c:v>5.7092682926829265E-2</c:v>
                </c:pt>
                <c:pt idx="12">
                  <c:v>6.2282926829268302E-2</c:v>
                </c:pt>
                <c:pt idx="13">
                  <c:v>6.7473170731707333E-2</c:v>
                </c:pt>
                <c:pt idx="14">
                  <c:v>7.2663414634146342E-2</c:v>
                </c:pt>
                <c:pt idx="15">
                  <c:v>7.7853658536585366E-2</c:v>
                </c:pt>
                <c:pt idx="16">
                  <c:v>8.169092972907091E-2</c:v>
                </c:pt>
                <c:pt idx="17">
                  <c:v>8.4205082981967327E-2</c:v>
                </c:pt>
                <c:pt idx="18">
                  <c:v>8.6646315559289658E-2</c:v>
                </c:pt>
                <c:pt idx="19">
                  <c:v>8.9020626823225646E-2</c:v>
                </c:pt>
                <c:pt idx="20">
                  <c:v>9.1333236009680491E-2</c:v>
                </c:pt>
                <c:pt idx="21">
                  <c:v>9.3588717268696442E-2</c:v>
                </c:pt>
                <c:pt idx="22">
                  <c:v>9.5791106058965625E-2</c:v>
                </c:pt>
                <c:pt idx="23">
                  <c:v>9.7943983990850622E-2</c:v>
                </c:pt>
                <c:pt idx="24">
                  <c:v>0.10005054722489028</c:v>
                </c:pt>
                <c:pt idx="25">
                  <c:v>0.10211366216133863</c:v>
                </c:pt>
                <c:pt idx="26">
                  <c:v>0.10413591119301739</c:v>
                </c:pt>
                <c:pt idx="27">
                  <c:v>0.10611963060621725</c:v>
                </c:pt>
                <c:pt idx="28">
                  <c:v>0.10806694221638735</c:v>
                </c:pt>
                <c:pt idx="29">
                  <c:v>0.10997977995977261</c:v>
                </c:pt>
                <c:pt idx="30">
                  <c:v>0.1118599123904538</c:v>
                </c:pt>
                <c:pt idx="31">
                  <c:v>0.11370896182799314</c:v>
                </c:pt>
                <c:pt idx="32">
                  <c:v>0.11552842074571952</c:v>
                </c:pt>
                <c:pt idx="33">
                  <c:v>0.11731966587064596</c:v>
                </c:pt>
                <c:pt idx="34">
                  <c:v>0.11908397037385006</c:v>
                </c:pt>
                <c:pt idx="35">
                  <c:v>0.12082251445819193</c:v>
                </c:pt>
                <c:pt idx="36">
                  <c:v>0.12253639459360637</c:v>
                </c:pt>
                <c:pt idx="37">
                  <c:v>0.12422663160530435</c:v>
                </c:pt>
                <c:pt idx="38">
                  <c:v>0.12589417778435982</c:v>
                </c:pt>
                <c:pt idx="39">
                  <c:v>0.127539923161338</c:v>
                </c:pt>
                <c:pt idx="40">
                  <c:v>0.12916470106031291</c:v>
                </c:pt>
                <c:pt idx="41">
                  <c:v>0.13076929303165938</c:v>
                </c:pt>
                <c:pt idx="42">
                  <c:v>0.13235443324649157</c:v>
                </c:pt>
                <c:pt idx="43">
                  <c:v>0.1339208124228643</c:v>
                </c:pt>
                <c:pt idx="44">
                  <c:v>0.13546908134330873</c:v>
                </c:pt>
                <c:pt idx="45">
                  <c:v>0.13699985401452075</c:v>
                </c:pt>
                <c:pt idx="46">
                  <c:v>0.13851371051271424</c:v>
                </c:pt>
                <c:pt idx="47">
                  <c:v>0.14001119955203584</c:v>
                </c:pt>
                <c:pt idx="48">
                  <c:v>0.14149284080828967</c:v>
                </c:pt>
                <c:pt idx="49">
                  <c:v>0.14295912702587407</c:v>
                </c:pt>
                <c:pt idx="50">
                  <c:v>0.14441052593214943</c:v>
                </c:pt>
                <c:pt idx="51">
                  <c:v>0.1458474819803208</c:v>
                </c:pt>
                <c:pt idx="52">
                  <c:v>0.14727041793924536</c:v>
                </c:pt>
                <c:pt idx="53">
                  <c:v>0.14867973634628226</c:v>
                </c:pt>
                <c:pt idx="54">
                  <c:v>0.15007582083733545</c:v>
                </c:pt>
                <c:pt idx="55">
                  <c:v>0.15145903736654345</c:v>
                </c:pt>
                <c:pt idx="56">
                  <c:v>0.15282973532660457</c:v>
                </c:pt>
                <c:pt idx="57">
                  <c:v>0.15418824857945562</c:v>
                </c:pt>
                <c:pt idx="58">
                  <c:v>0.15553489640591917</c:v>
                </c:pt>
                <c:pt idx="59">
                  <c:v>0.15686998438197158</c:v>
                </c:pt>
                <c:pt idx="60">
                  <c:v>0.15819380518844597</c:v>
                </c:pt>
                <c:pt idx="61">
                  <c:v>0.15950663936024734</c:v>
                </c:pt>
                <c:pt idx="62">
                  <c:v>0.16080875598051247</c:v>
                </c:pt>
                <c:pt idx="63">
                  <c:v>0.162100413324581</c:v>
                </c:pt>
                <c:pt idx="64">
                  <c:v>0.16338185945814182</c:v>
                </c:pt>
                <c:pt idx="65">
                  <c:v>0.16465333279347855</c:v>
                </c:pt>
                <c:pt idx="66">
                  <c:v>0.16591506260734737</c:v>
                </c:pt>
                <c:pt idx="67">
                  <c:v>0.16716726952367197</c:v>
                </c:pt>
                <c:pt idx="68">
                  <c:v>0.16841016596393465</c:v>
                </c:pt>
                <c:pt idx="69">
                  <c:v>0.16964395656786599</c:v>
                </c:pt>
                <c:pt idx="70">
                  <c:v>0.17086883858679436</c:v>
                </c:pt>
                <c:pt idx="71">
                  <c:v>0.17208500225179416</c:v>
                </c:pt>
                <c:pt idx="72">
                  <c:v>0.17329263111857932</c:v>
                </c:pt>
                <c:pt idx="73">
                  <c:v>0.17449190239091325</c:v>
                </c:pt>
                <c:pt idx="74">
                  <c:v>0.1756829872241476</c:v>
                </c:pt>
                <c:pt idx="75">
                  <c:v>0.1768660510103621</c:v>
                </c:pt>
                <c:pt idx="76">
                  <c:v>0.17804125364645129</c:v>
                </c:pt>
                <c:pt idx="77">
                  <c:v>0.17920874978638743</c:v>
                </c:pt>
                <c:pt idx="78">
                  <c:v>0.18036868907878661</c:v>
                </c:pt>
                <c:pt idx="79">
                  <c:v>0.18152121639081201</c:v>
                </c:pt>
                <c:pt idx="80">
                  <c:v>0.18266647201936098</c:v>
                </c:pt>
                <c:pt idx="81">
                  <c:v>0.18380459189040954</c:v>
                </c:pt>
                <c:pt idx="82">
                  <c:v>0.18493570774731416</c:v>
                </c:pt>
                <c:pt idx="83">
                  <c:v>0.18605994732881123</c:v>
                </c:pt>
                <c:pt idx="84">
                  <c:v>0.18717743453739288</c:v>
                </c:pt>
                <c:pt idx="85">
                  <c:v>0.1882882895986896</c:v>
                </c:pt>
                <c:pt idx="86">
                  <c:v>0.18939262921243794</c:v>
                </c:pt>
                <c:pt idx="87">
                  <c:v>0.19049056669557157</c:v>
                </c:pt>
                <c:pt idx="88">
                  <c:v>0.19158221211793125</c:v>
                </c:pt>
                <c:pt idx="89">
                  <c:v>0.19266767243105418</c:v>
                </c:pt>
                <c:pt idx="90">
                  <c:v>0.1937470515904694</c:v>
                </c:pt>
                <c:pt idx="91">
                  <c:v>0.1948204506718943</c:v>
                </c:pt>
                <c:pt idx="92">
                  <c:v>0.19588796798170124</c:v>
                </c:pt>
                <c:pt idx="93">
                  <c:v>0.1969496991619942</c:v>
                </c:pt>
                <c:pt idx="94">
                  <c:v>0.19800573729061494</c:v>
                </c:pt>
                <c:pt idx="95">
                  <c:v>0.19905617297637365</c:v>
                </c:pt>
                <c:pt idx="96">
                  <c:v>0.20010109444978055</c:v>
                </c:pt>
                <c:pt idx="97">
                  <c:v>0.20114058764953432</c:v>
                </c:pt>
                <c:pt idx="98">
                  <c:v>0.20217473630500918</c:v>
                </c:pt>
                <c:pt idx="99">
                  <c:v>0.20320362201496311</c:v>
                </c:pt>
                <c:pt idx="100">
                  <c:v>0.20422732432267726</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Single'!$CD$5:$CD$105</c:f>
              <c:numCache>
                <c:formatCode>0.00</c:formatCode>
                <c:ptCount val="101"/>
                <c:pt idx="0">
                  <c:v>4.4857987549690894E-6</c:v>
                </c:pt>
                <c:pt idx="1">
                  <c:v>29.338241750828754</c:v>
                </c:pt>
                <c:pt idx="2">
                  <c:v>42.515388215831734</c:v>
                </c:pt>
                <c:pt idx="3">
                  <c:v>50.001266315057777</c:v>
                </c:pt>
                <c:pt idx="4">
                  <c:v>54.828112609537705</c:v>
                </c:pt>
                <c:pt idx="5">
                  <c:v>58.198970478309661</c:v>
                </c:pt>
                <c:pt idx="6">
                  <c:v>60.686255197511066</c:v>
                </c:pt>
                <c:pt idx="7">
                  <c:v>62.597091345636677</c:v>
                </c:pt>
                <c:pt idx="8">
                  <c:v>64.111043687924166</c:v>
                </c:pt>
                <c:pt idx="9">
                  <c:v>65.340112782852472</c:v>
                </c:pt>
                <c:pt idx="10">
                  <c:v>66.357780457266529</c:v>
                </c:pt>
                <c:pt idx="11">
                  <c:v>67.214257789421552</c:v>
                </c:pt>
                <c:pt idx="12">
                  <c:v>67.945021222772581</c:v>
                </c:pt>
                <c:pt idx="13">
                  <c:v>68.575848063755998</c:v>
                </c:pt>
                <c:pt idx="14">
                  <c:v>69.085339153097337</c:v>
                </c:pt>
                <c:pt idx="15">
                  <c:v>68.982025436215608</c:v>
                </c:pt>
                <c:pt idx="16">
                  <c:v>69.226381602872749</c:v>
                </c:pt>
                <c:pt idx="17">
                  <c:v>69.753159368677231</c:v>
                </c:pt>
                <c:pt idx="18">
                  <c:v>70.231462678173486</c:v>
                </c:pt>
                <c:pt idx="19">
                  <c:v>70.667933885201279</c:v>
                </c:pt>
                <c:pt idx="20">
                  <c:v>71.068039947542502</c:v>
                </c:pt>
                <c:pt idx="21">
                  <c:v>71.436323034791883</c:v>
                </c:pt>
                <c:pt idx="22">
                  <c:v>71.776589392582295</c:v>
                </c:pt>
                <c:pt idx="23">
                  <c:v>72.092053557059359</c:v>
                </c:pt>
                <c:pt idx="24">
                  <c:v>72.385449800437826</c:v>
                </c:pt>
                <c:pt idx="25">
                  <c:v>72.659119200855926</c:v>
                </c:pt>
                <c:pt idx="26">
                  <c:v>72.915078354803526</c:v>
                </c:pt>
                <c:pt idx="27">
                  <c:v>73.155074106760452</c:v>
                </c:pt>
                <c:pt idx="28">
                  <c:v>73.380627516123056</c:v>
                </c:pt>
                <c:pt idx="29">
                  <c:v>73.593069459306776</c:v>
                </c:pt>
                <c:pt idx="30">
                  <c:v>73.793569671947964</c:v>
                </c:pt>
                <c:pt idx="31">
                  <c:v>73.983160603430306</c:v>
                </c:pt>
                <c:pt idx="32">
                  <c:v>74.162757136746635</c:v>
                </c:pt>
                <c:pt idx="33">
                  <c:v>74.333172988800484</c:v>
                </c:pt>
                <c:pt idx="34">
                  <c:v>74.495134427249042</c:v>
                </c:pt>
                <c:pt idx="35">
                  <c:v>74.649291804099022</c:v>
                </c:pt>
                <c:pt idx="36">
                  <c:v>74.796229302238075</c:v>
                </c:pt>
                <c:pt idx="37">
                  <c:v>74.93647321081805</c:v>
                </c:pt>
                <c:pt idx="38">
                  <c:v>75.070498983011674</c:v>
                </c:pt>
                <c:pt idx="39">
                  <c:v>75.19873728082311</c:v>
                </c:pt>
                <c:pt idx="40">
                  <c:v>75.321579173144286</c:v>
                </c:pt>
                <c:pt idx="41">
                  <c:v>75.439380622730695</c:v>
                </c:pt>
                <c:pt idx="42">
                  <c:v>75.552466373424721</c:v>
                </c:pt>
                <c:pt idx="43">
                  <c:v>75.661133329424715</c:v>
                </c:pt>
                <c:pt idx="44">
                  <c:v>75.76565350264643</c:v>
                </c:pt>
                <c:pt idx="45">
                  <c:v>75.866276591453783</c:v>
                </c:pt>
                <c:pt idx="46">
                  <c:v>75.963232243633087</c:v>
                </c:pt>
                <c:pt idx="47">
                  <c:v>76.056732047970826</c:v>
                </c:pt>
                <c:pt idx="48">
                  <c:v>76.146971291795921</c:v>
                </c:pt>
                <c:pt idx="49">
                  <c:v>76.234130516067921</c:v>
                </c:pt>
                <c:pt idx="50">
                  <c:v>76.318376894802967</c:v>
                </c:pt>
                <c:pt idx="51">
                  <c:v>76.399865461642037</c:v>
                </c:pt>
                <c:pt idx="52">
                  <c:v>76.478740203035713</c:v>
                </c:pt>
                <c:pt idx="53">
                  <c:v>76.555135034728195</c:v>
                </c:pt>
                <c:pt idx="54">
                  <c:v>76.629174675873955</c:v>
                </c:pt>
                <c:pt idx="55">
                  <c:v>76.700975433138353</c:v>
                </c:pt>
                <c:pt idx="56">
                  <c:v>76.770645905454771</c:v>
                </c:pt>
                <c:pt idx="57">
                  <c:v>76.838287618684959</c:v>
                </c:pt>
                <c:pt idx="58">
                  <c:v>76.903995598214692</c:v>
                </c:pt>
                <c:pt idx="59">
                  <c:v>76.967858886479192</c:v>
                </c:pt>
                <c:pt idx="60">
                  <c:v>77.029961011523909</c:v>
                </c:pt>
                <c:pt idx="61">
                  <c:v>77.090380411942235</c:v>
                </c:pt>
                <c:pt idx="62">
                  <c:v>77.1491908228748</c:v>
                </c:pt>
                <c:pt idx="63">
                  <c:v>77.206461627186485</c:v>
                </c:pt>
                <c:pt idx="64">
                  <c:v>77.262258175446647</c:v>
                </c:pt>
                <c:pt idx="65">
                  <c:v>77.316642077911609</c:v>
                </c:pt>
                <c:pt idx="66">
                  <c:v>77.369671471337384</c:v>
                </c:pt>
                <c:pt idx="67">
                  <c:v>77.421401263129184</c:v>
                </c:pt>
                <c:pt idx="68">
                  <c:v>77.471883355050579</c:v>
                </c:pt>
                <c:pt idx="69">
                  <c:v>77.521166848470159</c:v>
                </c:pt>
                <c:pt idx="70">
                  <c:v>77.569298232906164</c:v>
                </c:pt>
                <c:pt idx="71">
                  <c:v>77.616321559440365</c:v>
                </c:pt>
                <c:pt idx="72">
                  <c:v>77.662278600404946</c:v>
                </c:pt>
                <c:pt idx="73">
                  <c:v>77.707208996599093</c:v>
                </c:pt>
                <c:pt idx="74">
                  <c:v>77.75115039316141</c:v>
                </c:pt>
                <c:pt idx="75">
                  <c:v>77.794138565109705</c:v>
                </c:pt>
                <c:pt idx="76">
                  <c:v>77.836207533457241</c:v>
                </c:pt>
                <c:pt idx="77">
                  <c:v>77.877389672724036</c:v>
                </c:pt>
                <c:pt idx="78">
                  <c:v>77.917715810581527</c:v>
                </c:pt>
                <c:pt idx="79">
                  <c:v>77.957215320296697</c:v>
                </c:pt>
                <c:pt idx="80">
                  <c:v>77.995916206578642</c:v>
                </c:pt>
                <c:pt idx="81">
                  <c:v>78.033845185372456</c:v>
                </c:pt>
                <c:pt idx="82">
                  <c:v>78.071027758094885</c:v>
                </c:pt>
                <c:pt idx="83">
                  <c:v>78.107488280760577</c:v>
                </c:pt>
                <c:pt idx="84">
                  <c:v>78.143250028405902</c:v>
                </c:pt>
                <c:pt idx="85">
                  <c:v>78.178335255181665</c:v>
                </c:pt>
                <c:pt idx="86">
                  <c:v>78.21276525045154</c:v>
                </c:pt>
                <c:pt idx="87">
                  <c:v>78.246560391204767</c:v>
                </c:pt>
                <c:pt idx="88">
                  <c:v>78.279740191063169</c:v>
                </c:pt>
                <c:pt idx="89">
                  <c:v>78.312323346139507</c:v>
                </c:pt>
                <c:pt idx="90">
                  <c:v>78.344327777981917</c:v>
                </c:pt>
                <c:pt idx="91">
                  <c:v>78.375770673818693</c:v>
                </c:pt>
                <c:pt idx="92">
                  <c:v>78.406668524300812</c:v>
                </c:pt>
                <c:pt idx="93">
                  <c:v>78.437037158922422</c:v>
                </c:pt>
                <c:pt idx="94">
                  <c:v>78.466891779285291</c:v>
                </c:pt>
                <c:pt idx="95">
                  <c:v>78.496246990359282</c:v>
                </c:pt>
                <c:pt idx="96">
                  <c:v>78.52511682987911</c:v>
                </c:pt>
                <c:pt idx="97">
                  <c:v>78.553514796006553</c:v>
                </c:pt>
                <c:pt idx="98">
                  <c:v>78.581453873376574</c:v>
                </c:pt>
                <c:pt idx="99">
                  <c:v>78.608946557637282</c:v>
                </c:pt>
                <c:pt idx="100">
                  <c:v>78.636004878584771</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68.298565977733347</c:v>
                </c:pt>
                <c:pt idx="1">
                  <c:v>71.944827377777784</c:v>
                </c:pt>
                <c:pt idx="2">
                  <c:v>75.394508088888884</c:v>
                </c:pt>
                <c:pt idx="3">
                  <c:v>78.844188799999998</c:v>
                </c:pt>
                <c:pt idx="4">
                  <c:v>82.293869511111112</c:v>
                </c:pt>
                <c:pt idx="5">
                  <c:v>85.74355022222224</c:v>
                </c:pt>
                <c:pt idx="6">
                  <c:v>89.193230933333339</c:v>
                </c:pt>
                <c:pt idx="7">
                  <c:v>92.642911644444482</c:v>
                </c:pt>
                <c:pt idx="8">
                  <c:v>96.092592355555567</c:v>
                </c:pt>
                <c:pt idx="9">
                  <c:v>99.542273066666638</c:v>
                </c:pt>
                <c:pt idx="10">
                  <c:v>102.99195377777777</c:v>
                </c:pt>
                <c:pt idx="11">
                  <c:v>106.44163448888888</c:v>
                </c:pt>
                <c:pt idx="12">
                  <c:v>109.89131520000001</c:v>
                </c:pt>
                <c:pt idx="13">
                  <c:v>113.34099591111112</c:v>
                </c:pt>
                <c:pt idx="14">
                  <c:v>117.07558389022768</c:v>
                </c:pt>
                <c:pt idx="15">
                  <c:v>124.82819653770915</c:v>
                </c:pt>
                <c:pt idx="16">
                  <c:v>132.71303073263635</c:v>
                </c:pt>
                <c:pt idx="17">
                  <c:v>140.77691336486419</c:v>
                </c:pt>
                <c:pt idx="18">
                  <c:v>148.82074124497447</c:v>
                </c:pt>
                <c:pt idx="19">
                  <c:v>156.84507986536096</c:v>
                </c:pt>
                <c:pt idx="20">
                  <c:v>164.85044940890737</c:v>
                </c:pt>
                <c:pt idx="21">
                  <c:v>172.83733049588719</c:v>
                </c:pt>
                <c:pt idx="22">
                  <c:v>180.8061689591816</c:v>
                </c:pt>
                <c:pt idx="23">
                  <c:v>188.75737984940307</c:v>
                </c:pt>
                <c:pt idx="24">
                  <c:v>196.69135082262869</c:v>
                </c:pt>
                <c:pt idx="25">
                  <c:v>204.60844502798724</c:v>
                </c:pt>
                <c:pt idx="26">
                  <c:v>212.50900358622383</c:v>
                </c:pt>
                <c:pt idx="27">
                  <c:v>220.39334773085886</c:v>
                </c:pt>
                <c:pt idx="28">
                  <c:v>228.26178066880064</c:v>
                </c:pt>
                <c:pt idx="29">
                  <c:v>236.1145892059798</c:v>
                </c:pt>
                <c:pt idx="30">
                  <c:v>243.95204517484015</c:v>
                </c:pt>
                <c:pt idx="31">
                  <c:v>251.77440669369994</c:v>
                </c:pt>
                <c:pt idx="32">
                  <c:v>259.58191928262028</c:v>
                </c:pt>
                <c:pt idx="33">
                  <c:v>267.37481685614176</c:v>
                </c:pt>
                <c:pt idx="34">
                  <c:v>275.15332260983058</c:v>
                </c:pt>
                <c:pt idx="35">
                  <c:v>282.91764981480463</c:v>
                </c:pt>
                <c:pt idx="36">
                  <c:v>290.66800253217139</c:v>
                </c:pt>
                <c:pt idx="37">
                  <c:v>298.40457625746575</c:v>
                </c:pt>
                <c:pt idx="38">
                  <c:v>306.12755850366813</c:v>
                </c:pt>
                <c:pt idx="39">
                  <c:v>313.83712933013089</c:v>
                </c:pt>
                <c:pt idx="40">
                  <c:v>321.53346182369921</c:v>
                </c:pt>
                <c:pt idx="41">
                  <c:v>329.21672253744276</c:v>
                </c:pt>
                <c:pt idx="42">
                  <c:v>336.88707189168264</c:v>
                </c:pt>
                <c:pt idx="43">
                  <c:v>344.5446645413806</c:v>
                </c:pt>
                <c:pt idx="44">
                  <c:v>352.18964971343257</c:v>
                </c:pt>
                <c:pt idx="45">
                  <c:v>359.82217151696699</c:v>
                </c:pt>
                <c:pt idx="46">
                  <c:v>367.44236922935954</c:v>
                </c:pt>
                <c:pt idx="47">
                  <c:v>375.05037756035858</c:v>
                </c:pt>
                <c:pt idx="48">
                  <c:v>382.6463268964273</c:v>
                </c:pt>
                <c:pt idx="49">
                  <c:v>390.23034352716724</c:v>
                </c:pt>
                <c:pt idx="50">
                  <c:v>397.80254985548152</c:v>
                </c:pt>
                <c:pt idx="51">
                  <c:v>405.36306459294372</c:v>
                </c:pt>
                <c:pt idx="52">
                  <c:v>412.91200294169079</c:v>
                </c:pt>
                <c:pt idx="53">
                  <c:v>420.44947676400784</c:v>
                </c:pt>
                <c:pt idx="54">
                  <c:v>427.97559474065747</c:v>
                </c:pt>
                <c:pt idx="55">
                  <c:v>435.49046251889661</c:v>
                </c:pt>
                <c:pt idx="56">
                  <c:v>442.99418285102587</c:v>
                </c:pt>
                <c:pt idx="57">
                  <c:v>450.48685572424057</c:v>
                </c:pt>
                <c:pt idx="58">
                  <c:v>457.96857848246901</c:v>
                </c:pt>
                <c:pt idx="59">
                  <c:v>465.43944594082632</c:v>
                </c:pt>
                <c:pt idx="60">
                  <c:v>472.89955049324493</c:v>
                </c:pt>
                <c:pt idx="61">
                  <c:v>480.34898221380223</c:v>
                </c:pt>
                <c:pt idx="62">
                  <c:v>487.78782895220627</c:v>
                </c:pt>
                <c:pt idx="63">
                  <c:v>495.21617642386866</c:v>
                </c:pt>
                <c:pt idx="64">
                  <c:v>502.63410829495325</c:v>
                </c:pt>
                <c:pt idx="65">
                  <c:v>510.04170626275157</c:v>
                </c:pt>
                <c:pt idx="66">
                  <c:v>517.43905013171752</c:v>
                </c:pt>
                <c:pt idx="67">
                  <c:v>524.82621788544793</c:v>
                </c:pt>
                <c:pt idx="68">
                  <c:v>532.20328575489248</c:v>
                </c:pt>
                <c:pt idx="69">
                  <c:v>539.57032828303682</c:v>
                </c:pt>
                <c:pt idx="70">
                  <c:v>546.92741838629308</c:v>
                </c:pt>
                <c:pt idx="71">
                  <c:v>554.27462741280885</c:v>
                </c:pt>
                <c:pt idx="72">
                  <c:v>561.61202519789094</c:v>
                </c:pt>
                <c:pt idx="73">
                  <c:v>568.9396801167253</c:v>
                </c:pt>
                <c:pt idx="74">
                  <c:v>576.25765913455939</c:v>
                </c:pt>
                <c:pt idx="75">
                  <c:v>583.56602785450502</c:v>
                </c:pt>
                <c:pt idx="76">
                  <c:v>590.8648505630988</c:v>
                </c:pt>
                <c:pt idx="77">
                  <c:v>598.15419027375981</c:v>
                </c:pt>
                <c:pt idx="78">
                  <c:v>605.43410876826533</c:v>
                </c:pt>
                <c:pt idx="79">
                  <c:v>612.70466663635636</c:v>
                </c:pt>
                <c:pt idx="80">
                  <c:v>619.9659233135867</c:v>
                </c:pt>
                <c:pt idx="81">
                  <c:v>627.21793711750718</c:v>
                </c:pt>
                <c:pt idx="82">
                  <c:v>634.46076528228286</c:v>
                </c:pt>
                <c:pt idx="83">
                  <c:v>641.69446399182902</c:v>
                </c:pt>
                <c:pt idx="84">
                  <c:v>648.91908841154191</c:v>
                </c:pt>
                <c:pt idx="85">
                  <c:v>656.13469271870747</c:v>
                </c:pt>
                <c:pt idx="86">
                  <c:v>663.3413301316516</c:v>
                </c:pt>
                <c:pt idx="87">
                  <c:v>670.53905293770049</c:v>
                </c:pt>
                <c:pt idx="88">
                  <c:v>677.72791252001343</c:v>
                </c:pt>
                <c:pt idx="89">
                  <c:v>684.90795938334588</c:v>
                </c:pt>
                <c:pt idx="90">
                  <c:v>692.0792431787944</c:v>
                </c:pt>
                <c:pt idx="91">
                  <c:v>699.24181272757789</c:v>
                </c:pt>
                <c:pt idx="92">
                  <c:v>706.39571604390164</c:v>
                </c:pt>
                <c:pt idx="93">
                  <c:v>713.54100035694898</c:v>
                </c:pt>
                <c:pt idx="94">
                  <c:v>720.67771213204173</c:v>
                </c:pt>
                <c:pt idx="95">
                  <c:v>727.80589709101253</c:v>
                </c:pt>
                <c:pt idx="96">
                  <c:v>734.92560023182318</c:v>
                </c:pt>
                <c:pt idx="97">
                  <c:v>742.03686584746572</c:v>
                </c:pt>
                <c:pt idx="98">
                  <c:v>749.13973754418168</c:v>
                </c:pt>
                <c:pt idx="99">
                  <c:v>756.23425825902518</c:v>
                </c:pt>
                <c:pt idx="100">
                  <c:v>763.32047027680767</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12.586853585506015</c:v>
                </c:pt>
                <c:pt idx="1">
                  <c:v>17.559985295118391</c:v>
                </c:pt>
                <c:pt idx="2">
                  <c:v>28.160491987394973</c:v>
                </c:pt>
                <c:pt idx="3">
                  <c:v>38.76152011530079</c:v>
                </c:pt>
                <c:pt idx="4">
                  <c:v>49.363069717310701</c:v>
                </c:pt>
                <c:pt idx="5">
                  <c:v>59.965140831903291</c:v>
                </c:pt>
                <c:pt idx="6">
                  <c:v>70.567733497560965</c:v>
                </c:pt>
                <c:pt idx="7">
                  <c:v>81.170847752769944</c:v>
                </c:pt>
                <c:pt idx="8">
                  <c:v>91.77448363602015</c:v>
                </c:pt>
                <c:pt idx="9">
                  <c:v>102.37864118580541</c:v>
                </c:pt>
                <c:pt idx="10">
                  <c:v>112.98332044062319</c:v>
                </c:pt>
                <c:pt idx="11">
                  <c:v>123.58852143897491</c:v>
                </c:pt>
                <c:pt idx="12">
                  <c:v>134.19424421936566</c:v>
                </c:pt>
                <c:pt idx="13">
                  <c:v>144.80048882030437</c:v>
                </c:pt>
                <c:pt idx="14">
                  <c:v>155.52794705126183</c:v>
                </c:pt>
                <c:pt idx="15">
                  <c:v>168.09483042840466</c:v>
                </c:pt>
                <c:pt idx="16">
                  <c:v>175.25017272680913</c:v>
                </c:pt>
                <c:pt idx="17">
                  <c:v>177.17265363208924</c:v>
                </c:pt>
                <c:pt idx="18">
                  <c:v>179.05616936815645</c:v>
                </c:pt>
                <c:pt idx="19">
                  <c:v>180.90439827448998</c:v>
                </c:pt>
                <c:pt idx="20">
                  <c:v>182.72052889427414</c:v>
                </c:pt>
                <c:pt idx="21">
                  <c:v>184.50734563173194</c:v>
                </c:pt>
                <c:pt idx="22">
                  <c:v>186.26729613607847</c:v>
                </c:pt>
                <c:pt idx="23">
                  <c:v>188.00254495392494</c:v>
                </c:pt>
                <c:pt idx="24">
                  <c:v>189.7150167164499</c:v>
                </c:pt>
                <c:pt idx="25">
                  <c:v>191.40643124820954</c:v>
                </c:pt>
                <c:pt idx="26">
                  <c:v>193.07833236724971</c:v>
                </c:pt>
                <c:pt idx="27">
                  <c:v>194.73211170601081</c:v>
                </c:pt>
                <c:pt idx="28">
                  <c:v>196.36902856394971</c:v>
                </c:pt>
                <c:pt idx="29">
                  <c:v>197.99022656913701</c:v>
                </c:pt>
                <c:pt idx="30">
                  <c:v>199.59674775256372</c:v>
                </c:pt>
                <c:pt idx="31">
                  <c:v>201.18954450855495</c:v>
                </c:pt>
                <c:pt idx="32">
                  <c:v>202.76948981575126</c:v>
                </c:pt>
                <c:pt idx="33">
                  <c:v>204.33738601727907</c:v>
                </c:pt>
                <c:pt idx="34">
                  <c:v>205.89397240006718</c:v>
                </c:pt>
                <c:pt idx="35">
                  <c:v>207.43993176749672</c:v>
                </c:pt>
                <c:pt idx="36">
                  <c:v>208.97589616358155</c:v>
                </c:pt>
                <c:pt idx="37">
                  <c:v>210.50245187835898</c:v>
                </c:pt>
                <c:pt idx="38">
                  <c:v>212.02014384142427</c:v>
                </c:pt>
                <c:pt idx="39">
                  <c:v>213.52947949226822</c:v>
                </c:pt>
                <c:pt idx="40">
                  <c:v>215.03093220131382</c:v>
                </c:pt>
                <c:pt idx="41">
                  <c:v>216.52494430354801</c:v>
                </c:pt>
                <c:pt idx="42">
                  <c:v>218.01192979683191</c:v>
                </c:pt>
                <c:pt idx="43">
                  <c:v>219.49227674891389</c:v>
                </c:pt>
                <c:pt idx="44">
                  <c:v>220.96634945051332</c:v>
                </c:pt>
                <c:pt idx="45">
                  <c:v>222.43449034631919</c:v>
                </c:pt>
                <c:pt idx="46">
                  <c:v>223.89702177114432</c:v>
                </c:pt>
                <c:pt idx="47">
                  <c:v>225.35424751462381</c:v>
                </c:pt>
                <c:pt idx="48">
                  <c:v>226.80645423460601</c:v>
                </c:pt>
                <c:pt idx="49">
                  <c:v>228.25391273665312</c:v>
                </c:pt>
                <c:pt idx="50">
                  <c:v>229.69687913475335</c:v>
                </c:pt>
                <c:pt idx="51">
                  <c:v>231.13559590637891</c:v>
                </c:pt>
                <c:pt idx="52">
                  <c:v>232.57029285334775</c:v>
                </c:pt>
                <c:pt idx="53">
                  <c:v>234.00118797850959</c:v>
                </c:pt>
                <c:pt idx="54">
                  <c:v>235.42848828704538</c:v>
                </c:pt>
                <c:pt idx="55">
                  <c:v>236.85239052010829</c:v>
                </c:pt>
                <c:pt idx="56">
                  <c:v>238.2730818276174</c:v>
                </c:pt>
                <c:pt idx="57">
                  <c:v>239.69074038622333</c:v>
                </c:pt>
                <c:pt idx="58">
                  <c:v>241.10553596777365</c:v>
                </c:pt>
                <c:pt idx="59">
                  <c:v>242.51763046301059</c:v>
                </c:pt>
                <c:pt idx="60">
                  <c:v>243.92717836470459</c:v>
                </c:pt>
                <c:pt idx="61">
                  <c:v>245.33432721397585</c:v>
                </c:pt>
                <c:pt idx="62">
                  <c:v>246.73921801314933</c:v>
                </c:pt>
                <c:pt idx="63">
                  <c:v>248.14198560813932</c:v>
                </c:pt>
                <c:pt idx="64">
                  <c:v>249.54275904304814</c:v>
                </c:pt>
                <c:pt idx="65">
                  <c:v>250.94166188938877</c:v>
                </c:pt>
                <c:pt idx="66">
                  <c:v>252.33881255210056</c:v>
                </c:pt>
                <c:pt idx="67">
                  <c:v>253.73432455431043</c:v>
                </c:pt>
                <c:pt idx="68">
                  <c:v>255.12830680260345</c:v>
                </c:pt>
                <c:pt idx="69">
                  <c:v>256.52086383439416</c:v>
                </c:pt>
                <c:pt idx="70">
                  <c:v>257.91209604884386</c:v>
                </c:pt>
                <c:pt idx="71">
                  <c:v>259.30209992262843</c:v>
                </c:pt>
                <c:pt idx="72">
                  <c:v>260.69096821174486</c:v>
                </c:pt>
                <c:pt idx="73">
                  <c:v>262.07879014043664</c:v>
                </c:pt>
                <c:pt idx="74">
                  <c:v>263.4656515782176</c:v>
                </c:pt>
                <c:pt idx="75">
                  <c:v>264.85163520589305</c:v>
                </c:pt>
                <c:pt idx="76">
                  <c:v>266.23682067139214</c:v>
                </c:pt>
                <c:pt idx="77">
                  <c:v>267.62128473616013</c:v>
                </c:pt>
                <c:pt idx="78">
                  <c:v>269.00510141279455</c:v>
                </c:pt>
                <c:pt idx="79">
                  <c:v>270.38834209454774</c:v>
                </c:pt>
                <c:pt idx="80">
                  <c:v>271.77107567727461</c:v>
                </c:pt>
                <c:pt idx="81">
                  <c:v>273.15336867434695</c:v>
                </c:pt>
                <c:pt idx="82">
                  <c:v>274.53528532502423</c:v>
                </c:pt>
                <c:pt idx="83">
                  <c:v>275.91688769672169</c:v>
                </c:pt>
                <c:pt idx="84">
                  <c:v>277.29823578158857</c:v>
                </c:pt>
                <c:pt idx="85">
                  <c:v>278.67938758777444</c:v>
                </c:pt>
                <c:pt idx="86">
                  <c:v>280.06039922573206</c:v>
                </c:pt>
                <c:pt idx="87">
                  <c:v>281.44132498987943</c:v>
                </c:pt>
                <c:pt idx="88">
                  <c:v>282.82221743591987</c:v>
                </c:pt>
                <c:pt idx="89">
                  <c:v>284.2031274540945</c:v>
                </c:pt>
                <c:pt idx="90">
                  <c:v>285.58410433862429</c:v>
                </c:pt>
                <c:pt idx="91">
                  <c:v>286.96519585357714</c:v>
                </c:pt>
                <c:pt idx="92">
                  <c:v>288.34644829538087</c:v>
                </c:pt>
                <c:pt idx="93">
                  <c:v>289.72790655218506</c:v>
                </c:pt>
                <c:pt idx="94">
                  <c:v>291.10961416026271</c:v>
                </c:pt>
                <c:pt idx="95">
                  <c:v>292.49161335762665</c:v>
                </c:pt>
                <c:pt idx="96">
                  <c:v>293.87394513502625</c:v>
                </c:pt>
                <c:pt idx="97">
                  <c:v>295.25664928447594</c:v>
                </c:pt>
                <c:pt idx="98">
                  <c:v>296.63976444546</c:v>
                </c:pt>
                <c:pt idx="99">
                  <c:v>298.02332814894424</c:v>
                </c:pt>
                <c:pt idx="100">
                  <c:v>299.40737685932038</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30.577444662922655</c:v>
                </c:pt>
                <c:pt idx="1">
                  <c:v>30.921214982928138</c:v>
                </c:pt>
                <c:pt idx="2">
                  <c:v>31.653954131882927</c:v>
                </c:pt>
                <c:pt idx="3">
                  <c:v>32.386693386774141</c:v>
                </c:pt>
                <c:pt idx="4">
                  <c:v>33.119432747601174</c:v>
                </c:pt>
                <c:pt idx="5">
                  <c:v>33.852172214363378</c:v>
                </c:pt>
                <c:pt idx="6">
                  <c:v>34.584911787060179</c:v>
                </c:pt>
                <c:pt idx="7">
                  <c:v>35.317651465690915</c:v>
                </c:pt>
                <c:pt idx="8">
                  <c:v>36.050391250254982</c:v>
                </c:pt>
                <c:pt idx="9">
                  <c:v>36.783131140751777</c:v>
                </c:pt>
                <c:pt idx="10">
                  <c:v>37.515871137180667</c:v>
                </c:pt>
                <c:pt idx="11">
                  <c:v>38.248611239541049</c:v>
                </c:pt>
                <c:pt idx="12">
                  <c:v>38.981351447832303</c:v>
                </c:pt>
                <c:pt idx="13">
                  <c:v>39.714091762053805</c:v>
                </c:pt>
                <c:pt idx="14">
                  <c:v>40.636048658398011</c:v>
                </c:pt>
                <c:pt idx="15">
                  <c:v>44.316721732609579</c:v>
                </c:pt>
                <c:pt idx="16">
                  <c:v>47.665592205936498</c:v>
                </c:pt>
                <c:pt idx="17">
                  <c:v>50.633229385591264</c:v>
                </c:pt>
                <c:pt idx="18">
                  <c:v>53.600031030719641</c:v>
                </c:pt>
                <c:pt idx="19">
                  <c:v>56.566037781779158</c:v>
                </c:pt>
                <c:pt idx="20">
                  <c:v>59.531286988123234</c:v>
                </c:pt>
                <c:pt idx="21">
                  <c:v>62.495813126866786</c:v>
                </c:pt>
                <c:pt idx="22">
                  <c:v>65.459648150824009</c:v>
                </c:pt>
                <c:pt idx="23">
                  <c:v>68.422821780245357</c:v>
                </c:pt>
                <c:pt idx="24">
                  <c:v>71.385361749507993</c:v>
                </c:pt>
                <c:pt idx="25">
                  <c:v>74.347294017322241</c:v>
                </c:pt>
                <c:pt idx="26">
                  <c:v>77.308642947107501</c:v>
                </c:pt>
                <c:pt idx="27">
                  <c:v>80.269431462766576</c:v>
                </c:pt>
                <c:pt idx="28">
                  <c:v>83.229681184008072</c:v>
                </c:pt>
                <c:pt idx="29">
                  <c:v>86.189412544543259</c:v>
                </c:pt>
                <c:pt idx="30">
                  <c:v>89.148644895844654</c:v>
                </c:pt>
                <c:pt idx="31">
                  <c:v>92.10739659865618</c:v>
                </c:pt>
                <c:pt idx="32">
                  <c:v>95.065685104052079</c:v>
                </c:pt>
                <c:pt idx="33">
                  <c:v>98.023527025529489</c:v>
                </c:pt>
                <c:pt idx="34">
                  <c:v>100.9809382033698</c:v>
                </c:pt>
                <c:pt idx="35">
                  <c:v>103.93793376230235</c:v>
                </c:pt>
                <c:pt idx="36">
                  <c:v>106.89452816334</c:v>
                </c:pt>
                <c:pt idx="37">
                  <c:v>109.85073525052148</c:v>
                </c:pt>
                <c:pt idx="38">
                  <c:v>112.80656829318642</c:v>
                </c:pt>
                <c:pt idx="39">
                  <c:v>115.76204002431641</c:v>
                </c:pt>
                <c:pt idx="40">
                  <c:v>118.71716267540033</c:v>
                </c:pt>
                <c:pt idx="41">
                  <c:v>121.67194800821838</c:v>
                </c:pt>
                <c:pt idx="42">
                  <c:v>124.62640734388553</c:v>
                </c:pt>
                <c:pt idx="43">
                  <c:v>127.58055158945118</c:v>
                </c:pt>
                <c:pt idx="44">
                  <c:v>130.53439126231217</c:v>
                </c:pt>
                <c:pt idx="45">
                  <c:v>133.48793651266587</c:v>
                </c:pt>
                <c:pt idx="46">
                  <c:v>136.44119714419875</c:v>
                </c:pt>
                <c:pt idx="47">
                  <c:v>139.39418263318714</c:v>
                </c:pt>
                <c:pt idx="48">
                  <c:v>142.34690214616117</c:v>
                </c:pt>
                <c:pt idx="49">
                  <c:v>145.29936455626853</c:v>
                </c:pt>
                <c:pt idx="50">
                  <c:v>148.25157845845939</c:v>
                </c:pt>
                <c:pt idx="51">
                  <c:v>151.20355218359683</c:v>
                </c:pt>
                <c:pt idx="52">
                  <c:v>154.15529381159121</c:v>
                </c:pt>
                <c:pt idx="53">
                  <c:v>157.10681118364144</c:v>
                </c:pt>
                <c:pt idx="54">
                  <c:v>160.05811191366067</c:v>
                </c:pt>
                <c:pt idx="55">
                  <c:v>163.00920339895484</c:v>
                </c:pt>
                <c:pt idx="56">
                  <c:v>165.96009283021431</c:v>
                </c:pt>
                <c:pt idx="57">
                  <c:v>168.91078720087665</c:v>
                </c:pt>
                <c:pt idx="58">
                  <c:v>171.86129331590814</c:v>
                </c:pt>
                <c:pt idx="59">
                  <c:v>174.81161780005124</c:v>
                </c:pt>
                <c:pt idx="60">
                  <c:v>177.76176710557718</c:v>
                </c:pt>
                <c:pt idx="61">
                  <c:v>180.71174751958358</c:v>
                </c:pt>
                <c:pt idx="62">
                  <c:v>183.66156517086839</c:v>
                </c:pt>
                <c:pt idx="63">
                  <c:v>186.6112260364124</c:v>
                </c:pt>
                <c:pt idx="64">
                  <c:v>189.56073594749884</c:v>
                </c:pt>
                <c:pt idx="65">
                  <c:v>192.51010059549424</c:v>
                </c:pt>
                <c:pt idx="66">
                  <c:v>195.45932553731629</c:v>
                </c:pt>
                <c:pt idx="67">
                  <c:v>198.40841620060795</c:v>
                </c:pt>
                <c:pt idx="68">
                  <c:v>201.35737788863938</c:v>
                </c:pt>
                <c:pt idx="69">
                  <c:v>204.30621578495516</c:v>
                </c:pt>
                <c:pt idx="70">
                  <c:v>207.25493495778323</c:v>
                </c:pt>
                <c:pt idx="71">
                  <c:v>210.20354036422208</c:v>
                </c:pt>
                <c:pt idx="72">
                  <c:v>213.15203685421827</c:v>
                </c:pt>
                <c:pt idx="73">
                  <c:v>216.10042917435018</c:v>
                </c:pt>
                <c:pt idx="74">
                  <c:v>219.04872197142797</c:v>
                </c:pt>
                <c:pt idx="75">
                  <c:v>221.99691979592151</c:v>
                </c:pt>
                <c:pt idx="76">
                  <c:v>224.94502710522707</c:v>
                </c:pt>
                <c:pt idx="77">
                  <c:v>227.89304826678213</c:v>
                </c:pt>
                <c:pt idx="78">
                  <c:v>230.84098756103742</c:v>
                </c:pt>
                <c:pt idx="79">
                  <c:v>233.78884918429355</c:v>
                </c:pt>
                <c:pt idx="80">
                  <c:v>236.73663725141185</c:v>
                </c:pt>
                <c:pt idx="81">
                  <c:v>239.68435579840482</c:v>
                </c:pt>
                <c:pt idx="82">
                  <c:v>242.63200878491327</c:v>
                </c:pt>
                <c:pt idx="83">
                  <c:v>245.57960009657768</c:v>
                </c:pt>
                <c:pt idx="84">
                  <c:v>248.52713354730759</c:v>
                </c:pt>
                <c:pt idx="85">
                  <c:v>251.47461288145584</c:v>
                </c:pt>
                <c:pt idx="86">
                  <c:v>254.42204177590298</c:v>
                </c:pt>
                <c:pt idx="87">
                  <c:v>257.36942384205503</c:v>
                </c:pt>
                <c:pt idx="88">
                  <c:v>260.31676262776011</c:v>
                </c:pt>
                <c:pt idx="89">
                  <c:v>263.2640616191502</c:v>
                </c:pt>
                <c:pt idx="90">
                  <c:v>266.21132424240579</c:v>
                </c:pt>
                <c:pt idx="91">
                  <c:v>269.15855386545508</c:v>
                </c:pt>
                <c:pt idx="92">
                  <c:v>272.10575379960466</c:v>
                </c:pt>
                <c:pt idx="93">
                  <c:v>275.05292730110949</c:v>
                </c:pt>
                <c:pt idx="94">
                  <c:v>278.0000775726806</c:v>
                </c:pt>
                <c:pt idx="95">
                  <c:v>280.94720776493892</c:v>
                </c:pt>
                <c:pt idx="96">
                  <c:v>283.89432097781287</c:v>
                </c:pt>
                <c:pt idx="97">
                  <c:v>286.84142026188562</c:v>
                </c:pt>
                <c:pt idx="98">
                  <c:v>289.788508619693</c:v>
                </c:pt>
                <c:pt idx="99">
                  <c:v>292.73558900697373</c:v>
                </c:pt>
                <c:pt idx="100">
                  <c:v>295.68266433387669</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8.6776471730715536E-6</c:v>
                </c:pt>
                <c:pt idx="1">
                  <c:v>32.271719235738132</c:v>
                </c:pt>
                <c:pt idx="2">
                  <c:v>45.899194114107345</c:v>
                </c:pt>
                <c:pt idx="3">
                  <c:v>53.418134590047664</c:v>
                </c:pt>
                <c:pt idx="4">
                  <c:v>58.183727901360669</c:v>
                </c:pt>
                <c:pt idx="5">
                  <c:v>61.474247817718975</c:v>
                </c:pt>
                <c:pt idx="6">
                  <c:v>63.882738572532318</c:v>
                </c:pt>
                <c:pt idx="7">
                  <c:v>65.721907265966735</c:v>
                </c:pt>
                <c:pt idx="8">
                  <c:v>67.17226428247605</c:v>
                </c:pt>
                <c:pt idx="9">
                  <c:v>68.345303530401722</c:v>
                </c:pt>
                <c:pt idx="10">
                  <c:v>69.313609424590368</c:v>
                </c:pt>
                <c:pt idx="11">
                  <c:v>70.126468302378115</c:v>
                </c:pt>
                <c:pt idx="12">
                  <c:v>70.818521780842843</c:v>
                </c:pt>
                <c:pt idx="13">
                  <c:v>71.414829974164562</c:v>
                </c:pt>
                <c:pt idx="14">
                  <c:v>71.774695982461481</c:v>
                </c:pt>
                <c:pt idx="15">
                  <c:v>71.683258669313858</c:v>
                </c:pt>
                <c:pt idx="16">
                  <c:v>71.904685976237118</c:v>
                </c:pt>
                <c:pt idx="17">
                  <c:v>72.379427875745563</c:v>
                </c:pt>
                <c:pt idx="18">
                  <c:v>72.809749255820051</c:v>
                </c:pt>
                <c:pt idx="19">
                  <c:v>73.201835190646861</c:v>
                </c:pt>
                <c:pt idx="20">
                  <c:v>73.560759843930384</c:v>
                </c:pt>
                <c:pt idx="21">
                  <c:v>73.890726652390953</c:v>
                </c:pt>
                <c:pt idx="22">
                  <c:v>74.195248553287527</c:v>
                </c:pt>
                <c:pt idx="23">
                  <c:v>74.477285061630013</c:v>
                </c:pt>
                <c:pt idx="24">
                  <c:v>74.739347817130238</c:v>
                </c:pt>
                <c:pt idx="25">
                  <c:v>74.983582770921402</c:v>
                </c:pt>
                <c:pt idx="26">
                  <c:v>75.211834844698799</c:v>
                </c:pt>
                <c:pt idx="27">
                  <c:v>75.425699284883734</c:v>
                </c:pt>
                <c:pt idx="28">
                  <c:v>75.626562808355985</c:v>
                </c:pt>
                <c:pt idx="29">
                  <c:v>75.815636837637769</c:v>
                </c:pt>
                <c:pt idx="30">
                  <c:v>75.993984549572801</c:v>
                </c:pt>
                <c:pt idx="31">
                  <c:v>76.162543044268162</c:v>
                </c:pt>
                <c:pt idx="32">
                  <c:v>76.322141634234995</c:v>
                </c:pt>
                <c:pt idx="33">
                  <c:v>76.473517025688395</c:v>
                </c:pt>
                <c:pt idx="34">
                  <c:v>76.617325992930375</c:v>
                </c:pt>
                <c:pt idx="35">
                  <c:v>76.754156017249016</c:v>
                </c:pt>
                <c:pt idx="36">
                  <c:v>76.884534262891151</c:v>
                </c:pt>
                <c:pt idx="37">
                  <c:v>77.008935186559711</c:v>
                </c:pt>
                <c:pt idx="38">
                  <c:v>77.127787017861806</c:v>
                </c:pt>
                <c:pt idx="39">
                  <c:v>77.24147730202958</c:v>
                </c:pt>
                <c:pt idx="40">
                  <c:v>77.350357659980673</c:v>
                </c:pt>
                <c:pt idx="41">
                  <c:v>77.454747892091575</c:v>
                </c:pt>
                <c:pt idx="42">
                  <c:v>77.554939529212803</c:v>
                </c:pt>
                <c:pt idx="43">
                  <c:v>77.651198916159231</c:v>
                </c:pt>
                <c:pt idx="44">
                  <c:v>77.743769898179536</c:v>
                </c:pt>
                <c:pt idx="45">
                  <c:v>77.832876168985777</c:v>
                </c:pt>
                <c:pt idx="46">
                  <c:v>77.918723329227873</c:v>
                </c:pt>
                <c:pt idx="47">
                  <c:v>78.001500696371494</c:v>
                </c:pt>
                <c:pt idx="48">
                  <c:v>78.081382900433098</c:v>
                </c:pt>
                <c:pt idx="49">
                  <c:v>78.158531294661444</c:v>
                </c:pt>
                <c:pt idx="50">
                  <c:v>78.233095205813925</c:v>
                </c:pt>
                <c:pt idx="51">
                  <c:v>78.305213044985393</c:v>
                </c:pt>
                <c:pt idx="52">
                  <c:v>78.37501329686755</c:v>
                </c:pt>
                <c:pt idx="53">
                  <c:v>78.44261540273763</c:v>
                </c:pt>
                <c:pt idx="54">
                  <c:v>78.508130550309218</c:v>
                </c:pt>
                <c:pt idx="55">
                  <c:v>78.571662381749562</c:v>
                </c:pt>
                <c:pt idx="56">
                  <c:v>78.633307629623857</c:v>
                </c:pt>
                <c:pt idx="57">
                  <c:v>78.693156689214319</c:v>
                </c:pt>
                <c:pt idx="58">
                  <c:v>78.751294134546583</c:v>
                </c:pt>
                <c:pt idx="59">
                  <c:v>78.807799184503068</c:v>
                </c:pt>
                <c:pt idx="60">
                  <c:v>78.862746124588085</c:v>
                </c:pt>
                <c:pt idx="61">
                  <c:v>78.916204689209025</c:v>
                </c:pt>
                <c:pt idx="62">
                  <c:v>78.968240408736662</c:v>
                </c:pt>
                <c:pt idx="63">
                  <c:v>79.018914925087714</c:v>
                </c:pt>
                <c:pt idx="64">
                  <c:v>79.068286279124024</c:v>
                </c:pt>
                <c:pt idx="65">
                  <c:v>79.116409172773288</c:v>
                </c:pt>
                <c:pt idx="66">
                  <c:v>79.163335208438085</c:v>
                </c:pt>
                <c:pt idx="67">
                  <c:v>79.209113107965663</c:v>
                </c:pt>
                <c:pt idx="68">
                  <c:v>79.253788913193972</c:v>
                </c:pt>
                <c:pt idx="69">
                  <c:v>79.297406169864686</c:v>
                </c:pt>
                <c:pt idx="70">
                  <c:v>79.340006096497547</c:v>
                </c:pt>
                <c:pt idx="71">
                  <c:v>79.381627739647115</c:v>
                </c:pt>
                <c:pt idx="72">
                  <c:v>79.42230811681155</c:v>
                </c:pt>
                <c:pt idx="73">
                  <c:v>79.462082348128888</c:v>
                </c:pt>
                <c:pt idx="74">
                  <c:v>79.500983777878432</c:v>
                </c:pt>
                <c:pt idx="75">
                  <c:v>79.539044086699846</c:v>
                </c:pt>
                <c:pt idx="76">
                  <c:v>79.576293395350916</c:v>
                </c:pt>
                <c:pt idx="77">
                  <c:v>79.612760360741859</c:v>
                </c:pt>
                <c:pt idx="78">
                  <c:v>79.648472264911746</c:v>
                </c:pt>
                <c:pt idx="79">
                  <c:v>79.683455097547792</c:v>
                </c:pt>
                <c:pt idx="80">
                  <c:v>79.717733632589528</c:v>
                </c:pt>
                <c:pt idx="81">
                  <c:v>79.751331499409574</c:v>
                </c:pt>
                <c:pt idx="82">
                  <c:v>79.78427124901512</c:v>
                </c:pt>
                <c:pt idx="83">
                  <c:v>79.816574415674182</c:v>
                </c:pt>
                <c:pt idx="84">
                  <c:v>79.848261574332525</c:v>
                </c:pt>
                <c:pt idx="85">
                  <c:v>79.879352394154807</c:v>
                </c:pt>
                <c:pt idx="86">
                  <c:v>79.909865688492957</c:v>
                </c:pt>
                <c:pt idx="87">
                  <c:v>79.939819461558329</c:v>
                </c:pt>
                <c:pt idx="88">
                  <c:v>79.969230952049543</c:v>
                </c:pt>
                <c:pt idx="89">
                  <c:v>79.998116673966507</c:v>
                </c:pt>
                <c:pt idx="90">
                  <c:v>80.026492454820797</c:v>
                </c:pt>
                <c:pt idx="91">
                  <c:v>80.05437347143544</c:v>
                </c:pt>
                <c:pt idx="92">
                  <c:v>80.0817742835101</c:v>
                </c:pt>
                <c:pt idx="93">
                  <c:v>80.108708865113869</c:v>
                </c:pt>
                <c:pt idx="94">
                  <c:v>80.135190634253973</c:v>
                </c:pt>
                <c:pt idx="95">
                  <c:v>80.161232480656679</c:v>
                </c:pt>
                <c:pt idx="96">
                  <c:v>80.186846791886296</c:v>
                </c:pt>
                <c:pt idx="97">
                  <c:v>80.212045477917243</c:v>
                </c:pt>
                <c:pt idx="98">
                  <c:v>80.236839994265793</c:v>
                </c:pt>
                <c:pt idx="99">
                  <c:v>80.261241363779519</c:v>
                </c:pt>
                <c:pt idx="100">
                  <c:v>80.285260197174722</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71.064583035857765</c:v>
                </c:pt>
                <c:pt idx="1">
                  <c:v>75.433820472888897</c:v>
                </c:pt>
                <c:pt idx="2">
                  <c:v>79.632688412444438</c:v>
                </c:pt>
                <c:pt idx="3">
                  <c:v>83.831556352000007</c:v>
                </c:pt>
                <c:pt idx="4">
                  <c:v>88.030424291555562</c:v>
                </c:pt>
                <c:pt idx="5">
                  <c:v>92.229292231111131</c:v>
                </c:pt>
                <c:pt idx="6">
                  <c:v>96.428160170666672</c:v>
                </c:pt>
                <c:pt idx="7">
                  <c:v>100.62702811022226</c:v>
                </c:pt>
                <c:pt idx="8">
                  <c:v>104.82589604977778</c:v>
                </c:pt>
                <c:pt idx="9">
                  <c:v>109.02476398933331</c:v>
                </c:pt>
                <c:pt idx="10">
                  <c:v>113.22363192888889</c:v>
                </c:pt>
                <c:pt idx="11">
                  <c:v>117.42249986844445</c:v>
                </c:pt>
                <c:pt idx="12">
                  <c:v>121.621367808</c:v>
                </c:pt>
                <c:pt idx="13">
                  <c:v>125.82023574755557</c:v>
                </c:pt>
                <c:pt idx="14">
                  <c:v>131.26869957037854</c:v>
                </c:pt>
                <c:pt idx="15">
                  <c:v>139.99634726656876</c:v>
                </c:pt>
                <c:pt idx="16">
                  <c:v>148.86461874226922</c:v>
                </c:pt>
                <c:pt idx="17">
                  <c:v>157.92331657778041</c:v>
                </c:pt>
                <c:pt idx="18">
                  <c:v>166.9606852495177</c:v>
                </c:pt>
                <c:pt idx="19">
                  <c:v>175.97732618500334</c:v>
                </c:pt>
                <c:pt idx="20">
                  <c:v>184.97379262298398</c:v>
                </c:pt>
                <c:pt idx="21">
                  <c:v>193.95059572552549</c:v>
                </c:pt>
                <c:pt idx="22">
                  <c:v>202.90820965668041</c:v>
                </c:pt>
                <c:pt idx="23">
                  <c:v>211.84707584212373</c:v>
                </c:pt>
                <c:pt idx="24">
                  <c:v>220.76760657216494</c:v>
                </c:pt>
                <c:pt idx="25">
                  <c:v>229.67018807283134</c:v>
                </c:pt>
                <c:pt idx="26">
                  <c:v>238.55518314193753</c:v>
                </c:pt>
                <c:pt idx="27">
                  <c:v>247.42293342630759</c:v>
                </c:pt>
                <c:pt idx="28">
                  <c:v>256.27376140062296</c:v>
                </c:pt>
                <c:pt idx="29">
                  <c:v>265.10797209636104</c:v>
                </c:pt>
                <c:pt idx="30">
                  <c:v>273.92585461999789</c:v>
                </c:pt>
                <c:pt idx="31">
                  <c:v>282.727683492398</c:v>
                </c:pt>
                <c:pt idx="32">
                  <c:v>291.51371983559136</c:v>
                </c:pt>
                <c:pt idx="33">
                  <c:v>300.28421242859673</c:v>
                </c:pt>
                <c:pt idx="34">
                  <c:v>309.03939865030316</c:v>
                </c:pt>
                <c:pt idx="35">
                  <c:v>317.77950532448688</c:v>
                </c:pt>
                <c:pt idx="36">
                  <c:v>326.50474947964847</c:v>
                </c:pt>
                <c:pt idx="37">
                  <c:v>335.21533903440269</c:v>
                </c:pt>
                <c:pt idx="38">
                  <c:v>343.91147341754532</c:v>
                </c:pt>
                <c:pt idx="39">
                  <c:v>352.59334413059196</c:v>
                </c:pt>
                <c:pt idx="40">
                  <c:v>361.26113525947073</c:v>
                </c:pt>
                <c:pt idx="41">
                  <c:v>369.91502394113587</c:v>
                </c:pt>
                <c:pt idx="42">
                  <c:v>378.5551807900772</c:v>
                </c:pt>
                <c:pt idx="43">
                  <c:v>387.18177028905592</c:v>
                </c:pt>
                <c:pt idx="44">
                  <c:v>395.79495114783259</c:v>
                </c:pt>
                <c:pt idx="45">
                  <c:v>404.39487663318306</c:v>
                </c:pt>
                <c:pt idx="46">
                  <c:v>412.98169487308934</c:v>
                </c:pt>
                <c:pt idx="47">
                  <c:v>421.55554913764837</c:v>
                </c:pt>
                <c:pt idx="48">
                  <c:v>430.116578098942</c:v>
                </c:pt>
                <c:pt idx="49">
                  <c:v>438.66491607184923</c:v>
                </c:pt>
                <c:pt idx="50">
                  <c:v>447.20069323756292</c:v>
                </c:pt>
                <c:pt idx="51">
                  <c:v>455.7240358513759</c:v>
                </c:pt>
                <c:pt idx="52">
                  <c:v>464.23506643613126</c:v>
                </c:pt>
                <c:pt idx="53">
                  <c:v>472.73390396258395</c:v>
                </c:pt>
                <c:pt idx="54">
                  <c:v>481.22066401779136</c:v>
                </c:pt>
                <c:pt idx="55">
                  <c:v>489.69545896253601</c:v>
                </c:pt>
                <c:pt idx="56">
                  <c:v>498.15839807867985</c:v>
                </c:pt>
                <c:pt idx="57">
                  <c:v>506.60958770726614</c:v>
                </c:pt>
                <c:pt idx="58">
                  <c:v>515.04913137810058</c:v>
                </c:pt>
                <c:pt idx="59">
                  <c:v>523.47712993147798</c:v>
                </c:pt>
                <c:pt idx="60">
                  <c:v>531.89368163265294</c:v>
                </c:pt>
                <c:pt idx="61">
                  <c:v>540.29888227960578</c:v>
                </c:pt>
                <c:pt idx="62">
                  <c:v>548.69282530459577</c:v>
                </c:pt>
                <c:pt idx="63">
                  <c:v>557.07560186995943</c:v>
                </c:pt>
                <c:pt idx="64">
                  <c:v>565.4473009585621</c:v>
                </c:pt>
                <c:pt idx="65">
                  <c:v>573.80800945928218</c:v>
                </c:pt>
                <c:pt idx="66">
                  <c:v>582.15781224787634</c:v>
                </c:pt>
                <c:pt idx="67">
                  <c:v>590.49679226353487</c:v>
                </c:pt>
                <c:pt idx="68">
                  <c:v>598.82503058142697</c:v>
                </c:pt>
                <c:pt idx="69">
                  <c:v>607.14260648149286</c:v>
                </c:pt>
                <c:pt idx="70">
                  <c:v>615.44959751373574</c:v>
                </c:pt>
                <c:pt idx="71">
                  <c:v>623.74607956023692</c:v>
                </c:pt>
                <c:pt idx="72">
                  <c:v>632.03212689410054</c:v>
                </c:pt>
                <c:pt idx="73">
                  <c:v>640.30781223552367</c:v>
                </c:pt>
                <c:pt idx="74">
                  <c:v>648.57320680516989</c:v>
                </c:pt>
                <c:pt idx="75">
                  <c:v>656.8283803750063</c:v>
                </c:pt>
                <c:pt idx="76">
                  <c:v>665.07340131676142</c:v>
                </c:pt>
                <c:pt idx="77">
                  <c:v>673.30833664814384</c:v>
                </c:pt>
                <c:pt idx="78">
                  <c:v>681.53325207695411</c:v>
                </c:pt>
                <c:pt idx="79">
                  <c:v>689.74821204320619</c:v>
                </c:pt>
                <c:pt idx="80">
                  <c:v>697.95327975938199</c:v>
                </c:pt>
                <c:pt idx="81">
                  <c:v>706.14851724891571</c:v>
                </c:pt>
                <c:pt idx="82">
                  <c:v>714.33398538300992</c:v>
                </c:pt>
                <c:pt idx="83">
                  <c:v>722.50974391587749</c:v>
                </c:pt>
                <c:pt idx="84">
                  <c:v>730.67585151848948</c:v>
                </c:pt>
                <c:pt idx="85">
                  <c:v>738.83236581091444</c:v>
                </c:pt>
                <c:pt idx="86">
                  <c:v>746.97934339332335</c:v>
                </c:pt>
                <c:pt idx="87">
                  <c:v>755.11683987572508</c:v>
                </c:pt>
                <c:pt idx="88">
                  <c:v>763.24490990650463</c:v>
                </c:pt>
                <c:pt idx="89">
                  <c:v>771.36360719982395</c:v>
                </c:pt>
                <c:pt idx="90">
                  <c:v>779.47298456193835</c:v>
                </c:pt>
                <c:pt idx="91">
                  <c:v>787.57309391649085</c:v>
                </c:pt>
                <c:pt idx="92">
                  <c:v>795.66398632882658</c:v>
                </c:pt>
                <c:pt idx="93">
                  <c:v>803.74571202938432</c:v>
                </c:pt>
                <c:pt idx="94">
                  <c:v>811.81832043619863</c:v>
                </c:pt>
                <c:pt idx="95">
                  <c:v>819.88186017657142</c:v>
                </c:pt>
                <c:pt idx="96">
                  <c:v>827.93637910793166</c:v>
                </c:pt>
                <c:pt idx="97">
                  <c:v>835.98192433794202</c:v>
                </c:pt>
                <c:pt idx="98">
                  <c:v>844.0185422438725</c:v>
                </c:pt>
                <c:pt idx="99">
                  <c:v>852.0462784912819</c:v>
                </c:pt>
                <c:pt idx="100">
                  <c:v>860.06517805203828</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11.649034451885328</c:v>
                </c:pt>
                <c:pt idx="1">
                  <c:v>17.559985295118391</c:v>
                </c:pt>
                <c:pt idx="2">
                  <c:v>28.160491987394973</c:v>
                </c:pt>
                <c:pt idx="3">
                  <c:v>38.76152011530079</c:v>
                </c:pt>
                <c:pt idx="4">
                  <c:v>49.363069717310701</c:v>
                </c:pt>
                <c:pt idx="5">
                  <c:v>59.965140831903291</c:v>
                </c:pt>
                <c:pt idx="6">
                  <c:v>70.567733497560965</c:v>
                </c:pt>
                <c:pt idx="7">
                  <c:v>81.170847752769944</c:v>
                </c:pt>
                <c:pt idx="8">
                  <c:v>91.77448363602015</c:v>
                </c:pt>
                <c:pt idx="9">
                  <c:v>102.37864118580541</c:v>
                </c:pt>
                <c:pt idx="10">
                  <c:v>112.98332044062319</c:v>
                </c:pt>
                <c:pt idx="11">
                  <c:v>123.58852143897491</c:v>
                </c:pt>
                <c:pt idx="12">
                  <c:v>134.19424421936566</c:v>
                </c:pt>
                <c:pt idx="13">
                  <c:v>144.80048882030437</c:v>
                </c:pt>
                <c:pt idx="14">
                  <c:v>155.91507763065877</c:v>
                </c:pt>
                <c:pt idx="15">
                  <c:v>168.52824131316686</c:v>
                </c:pt>
                <c:pt idx="16">
                  <c:v>175.71650230505034</c:v>
                </c:pt>
                <c:pt idx="17">
                  <c:v>177.65770525917077</c:v>
                </c:pt>
                <c:pt idx="18">
                  <c:v>179.55978347923048</c:v>
                </c:pt>
                <c:pt idx="19">
                  <c:v>181.4264393698526</c:v>
                </c:pt>
                <c:pt idx="20">
                  <c:v>183.26088215638691</c:v>
                </c:pt>
                <c:pt idx="21">
                  <c:v>185.06591414762104</c:v>
                </c:pt>
                <c:pt idx="22">
                  <c:v>186.84399859436181</c:v>
                </c:pt>
                <c:pt idx="23">
                  <c:v>188.59731371846539</c:v>
                </c:pt>
                <c:pt idx="24">
                  <c:v>190.32779620213995</c:v>
                </c:pt>
                <c:pt idx="25">
                  <c:v>192.0371765415268</c:v>
                </c:pt>
                <c:pt idx="26">
                  <c:v>193.72700804690979</c:v>
                </c:pt>
                <c:pt idx="27">
                  <c:v>195.39869082854739</c:v>
                </c:pt>
                <c:pt idx="28">
                  <c:v>197.05349178626611</c:v>
                </c:pt>
                <c:pt idx="29">
                  <c:v>198.69256138560951</c:v>
                </c:pt>
                <c:pt idx="30">
                  <c:v>200.31694782856556</c:v>
                </c:pt>
                <c:pt idx="31">
                  <c:v>201.92760909562739</c:v>
                </c:pt>
                <c:pt idx="32">
                  <c:v>203.525423236297</c:v>
                </c:pt>
                <c:pt idx="33">
                  <c:v>205.11119720876272</c:v>
                </c:pt>
                <c:pt idx="34">
                  <c:v>206.68567451039743</c:v>
                </c:pt>
                <c:pt idx="35">
                  <c:v>208.24954179462983</c:v>
                </c:pt>
                <c:pt idx="36">
                  <c:v>209.80343463349564</c:v>
                </c:pt>
                <c:pt idx="37">
                  <c:v>211.34794255645741</c:v>
                </c:pt>
                <c:pt idx="38">
                  <c:v>212.88361347317129</c:v>
                </c:pt>
                <c:pt idx="39">
                  <c:v>214.41095756947962</c:v>
                </c:pt>
                <c:pt idx="40">
                  <c:v>215.93045075103876</c:v>
                </c:pt>
                <c:pt idx="41">
                  <c:v>217.44253769690712</c:v>
                </c:pt>
                <c:pt idx="42">
                  <c:v>218.94763457553802</c:v>
                </c:pt>
                <c:pt idx="43">
                  <c:v>220.44613146750527</c:v>
                </c:pt>
                <c:pt idx="44">
                  <c:v>221.93839453258778</c:v>
                </c:pt>
                <c:pt idx="45">
                  <c:v>223.42476795327511</c:v>
                </c:pt>
                <c:pt idx="46">
                  <c:v>224.90557568212304</c:v>
                </c:pt>
                <c:pt idx="47">
                  <c:v>226.38112301650631</c:v>
                </c:pt>
                <c:pt idx="48">
                  <c:v>227.85169802105594</c:v>
                </c:pt>
                <c:pt idx="49">
                  <c:v>229.31757281531623</c:v>
                </c:pt>
                <c:pt idx="50">
                  <c:v>230.77900474182547</c:v>
                </c:pt>
                <c:pt idx="51">
                  <c:v>232.23623742784568</c:v>
                </c:pt>
                <c:pt idx="52">
                  <c:v>233.68950175227414</c:v>
                </c:pt>
                <c:pt idx="53">
                  <c:v>235.13901672782703</c:v>
                </c:pt>
                <c:pt idx="54">
                  <c:v>236.58499030734276</c:v>
                </c:pt>
                <c:pt idx="55">
                  <c:v>238.02762012198517</c:v>
                </c:pt>
                <c:pt idx="56">
                  <c:v>239.46709415820325</c:v>
                </c:pt>
                <c:pt idx="57">
                  <c:v>240.90359137950662</c:v>
                </c:pt>
                <c:pt idx="58">
                  <c:v>242.33728229842163</c:v>
                </c:pt>
                <c:pt idx="59">
                  <c:v>243.76832950338917</c:v>
                </c:pt>
                <c:pt idx="60">
                  <c:v>245.19688814483993</c:v>
                </c:pt>
                <c:pt idx="61">
                  <c:v>246.62310638421945</c:v>
                </c:pt>
                <c:pt idx="62">
                  <c:v>248.0471258093342</c:v>
                </c:pt>
                <c:pt idx="63">
                  <c:v>249.46908181903231</c:v>
                </c:pt>
                <c:pt idx="64">
                  <c:v>250.88910397992288</c:v>
                </c:pt>
                <c:pt idx="65">
                  <c:v>252.30731635755748</c:v>
                </c:pt>
                <c:pt idx="66">
                  <c:v>253.72383782425928</c:v>
                </c:pt>
                <c:pt idx="67">
                  <c:v>255.13878234556381</c:v>
                </c:pt>
                <c:pt idx="68">
                  <c:v>256.55225924704592</c:v>
                </c:pt>
                <c:pt idx="69">
                  <c:v>257.96437346313769</c:v>
                </c:pt>
                <c:pt idx="70">
                  <c:v>259.3752257693875</c:v>
                </c:pt>
                <c:pt idx="71">
                  <c:v>260.78491299947729</c:v>
                </c:pt>
                <c:pt idx="72">
                  <c:v>262.19352824819157</c:v>
                </c:pt>
                <c:pt idx="73">
                  <c:v>263.6011610614255</c:v>
                </c:pt>
                <c:pt idx="74">
                  <c:v>265.0078976142193</c:v>
                </c:pt>
                <c:pt idx="75">
                  <c:v>266.41382087772075</c:v>
                </c:pt>
                <c:pt idx="76">
                  <c:v>267.81901077589924</c:v>
                </c:pt>
                <c:pt idx="77">
                  <c:v>269.22354433276041</c:v>
                </c:pt>
                <c:pt idx="78">
                  <c:v>270.6274958107511</c:v>
                </c:pt>
                <c:pt idx="79">
                  <c:v>272.03093684098457</c:v>
                </c:pt>
                <c:pt idx="80">
                  <c:v>273.43393654586123</c:v>
                </c:pt>
                <c:pt idx="81">
                  <c:v>274.83656165461821</c:v>
                </c:pt>
                <c:pt idx="82">
                  <c:v>276.23887661229196</c:v>
                </c:pt>
                <c:pt idx="83">
                  <c:v>277.64094368254501</c:v>
                </c:pt>
                <c:pt idx="84">
                  <c:v>279.04282304476772</c:v>
                </c:pt>
                <c:pt idx="85">
                  <c:v>280.44457288583686</c:v>
                </c:pt>
                <c:pt idx="86">
                  <c:v>281.84624948688133</c:v>
                </c:pt>
                <c:pt idx="87">
                  <c:v>283.24790730538035</c:v>
                </c:pt>
                <c:pt idx="88">
                  <c:v>284.64959905289362</c:v>
                </c:pt>
                <c:pt idx="89">
                  <c:v>286.05137576870078</c:v>
                </c:pt>
                <c:pt idx="90">
                  <c:v>287.45328688960763</c:v>
                </c:pt>
                <c:pt idx="91">
                  <c:v>288.85538031615738</c:v>
                </c:pt>
                <c:pt idx="92">
                  <c:v>290.25770247546808</c:v>
                </c:pt>
                <c:pt idx="93">
                  <c:v>291.66029838090077</c:v>
                </c:pt>
                <c:pt idx="94">
                  <c:v>293.06321168875064</c:v>
                </c:pt>
                <c:pt idx="95">
                  <c:v>294.46648475213749</c:v>
                </c:pt>
                <c:pt idx="96">
                  <c:v>295.87015867226012</c:v>
                </c:pt>
                <c:pt idx="97">
                  <c:v>297.27427334717078</c:v>
                </c:pt>
                <c:pt idx="98">
                  <c:v>298.67886751821095</c:v>
                </c:pt>
                <c:pt idx="99">
                  <c:v>300.08397881424224</c:v>
                </c:pt>
                <c:pt idx="100">
                  <c:v>301.48964379379981</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32.524982708716259</c:v>
                </c:pt>
                <c:pt idx="1">
                  <c:v>32.927494432061408</c:v>
                </c:pt>
                <c:pt idx="2">
                  <c:v>33.649318354441341</c:v>
                </c:pt>
                <c:pt idx="3">
                  <c:v>34.371142484545267</c:v>
                </c:pt>
                <c:pt idx="4">
                  <c:v>35.092966822371494</c:v>
                </c:pt>
                <c:pt idx="5">
                  <c:v>35.814791367918311</c:v>
                </c:pt>
                <c:pt idx="6">
                  <c:v>36.536616121184053</c:v>
                </c:pt>
                <c:pt idx="7">
                  <c:v>37.258441082166996</c:v>
                </c:pt>
                <c:pt idx="8">
                  <c:v>37.980266250865462</c:v>
                </c:pt>
                <c:pt idx="9">
                  <c:v>38.702091627277731</c:v>
                </c:pt>
                <c:pt idx="10">
                  <c:v>39.423917211402141</c:v>
                </c:pt>
                <c:pt idx="11">
                  <c:v>40.14574300323698</c:v>
                </c:pt>
                <c:pt idx="12">
                  <c:v>40.86756900278057</c:v>
                </c:pt>
                <c:pt idx="13">
                  <c:v>41.589395210031171</c:v>
                </c:pt>
                <c:pt idx="14">
                  <c:v>43.145108908432995</c:v>
                </c:pt>
                <c:pt idx="15">
                  <c:v>46.998690784336596</c:v>
                </c:pt>
                <c:pt idx="16">
                  <c:v>50.519626513497947</c:v>
                </c:pt>
                <c:pt idx="17">
                  <c:v>53.65918623853058</c:v>
                </c:pt>
                <c:pt idx="18">
                  <c:v>56.797371311292927</c:v>
                </c:pt>
                <c:pt idx="19">
                  <c:v>59.934239743759761</c:v>
                </c:pt>
                <c:pt idx="20">
                  <c:v>63.069844839473113</c:v>
                </c:pt>
                <c:pt idx="21">
                  <c:v>66.204235792952659</c:v>
                </c:pt>
                <c:pt idx="22">
                  <c:v>69.337458187593796</c:v>
                </c:pt>
                <c:pt idx="23">
                  <c:v>72.469554413132443</c:v>
                </c:pt>
                <c:pt idx="24">
                  <c:v>75.600564018640881</c:v>
                </c:pt>
                <c:pt idx="25">
                  <c:v>78.730524013310088</c:v>
                </c:pt>
                <c:pt idx="26">
                  <c:v>81.859469124541917</c:v>
                </c:pt>
                <c:pt idx="27">
                  <c:v>84.987432020833822</c:v>
                </c:pt>
                <c:pt idx="28">
                  <c:v>88.114443505396324</c:v>
                </c:pt>
                <c:pt idx="29">
                  <c:v>91.240532685263133</c:v>
                </c:pt>
                <c:pt idx="30">
                  <c:v>94.365727119739944</c:v>
                </c:pt>
                <c:pt idx="31">
                  <c:v>97.490052951326291</c:v>
                </c:pt>
                <c:pt idx="32">
                  <c:v>100.61353502168163</c:v>
                </c:pt>
                <c:pt idx="33">
                  <c:v>103.73619697476218</c:v>
                </c:pt>
                <c:pt idx="34">
                  <c:v>106.85806134889414</c:v>
                </c:pt>
                <c:pt idx="35">
                  <c:v>109.97914965926415</c:v>
                </c:pt>
                <c:pt idx="36">
                  <c:v>113.09948247207011</c:v>
                </c:pt>
                <c:pt idx="37">
                  <c:v>116.21907947138487</c:v>
                </c:pt>
                <c:pt idx="38">
                  <c:v>119.33795951962759</c:v>
                </c:pt>
                <c:pt idx="39">
                  <c:v>122.4561407124073</c:v>
                </c:pt>
                <c:pt idx="40">
                  <c:v>125.57364042839248</c:v>
                </c:pt>
                <c:pt idx="41">
                  <c:v>128.69047537477306</c:v>
                </c:pt>
                <c:pt idx="42">
                  <c:v>131.80666162880107</c:v>
                </c:pt>
                <c:pt idx="43">
                  <c:v>134.92221467583488</c:v>
                </c:pt>
                <c:pt idx="44">
                  <c:v>138.03714944425599</c:v>
                </c:pt>
                <c:pt idx="45">
                  <c:v>141.15148033758024</c:v>
                </c:pt>
                <c:pt idx="46">
                  <c:v>144.26522126404686</c:v>
                </c:pt>
                <c:pt idx="47">
                  <c:v>147.37838566393393</c:v>
                </c:pt>
                <c:pt idx="48">
                  <c:v>150.49098653482</c:v>
                </c:pt>
                <c:pt idx="49">
                  <c:v>153.60303645498513</c:v>
                </c:pt>
                <c:pt idx="50">
                  <c:v>156.71454760512492</c:v>
                </c:pt>
                <c:pt idx="51">
                  <c:v>159.82553178852933</c:v>
                </c:pt>
                <c:pt idx="52">
                  <c:v>162.93600044986346</c:v>
                </c:pt>
                <c:pt idx="53">
                  <c:v>166.04596469267159</c:v>
                </c:pt>
                <c:pt idx="54">
                  <c:v>169.15543529571488</c:v>
                </c:pt>
                <c:pt idx="55">
                  <c:v>172.26442272823971</c:v>
                </c:pt>
                <c:pt idx="56">
                  <c:v>175.3729371642645</c:v>
                </c:pt>
                <c:pt idx="57">
                  <c:v>178.48098849596573</c:v>
                </c:pt>
                <c:pt idx="58">
                  <c:v>181.58858634623363</c:v>
                </c:pt>
                <c:pt idx="59">
                  <c:v>184.69574008046348</c:v>
                </c:pt>
                <c:pt idx="60">
                  <c:v>187.80245881763997</c:v>
                </c:pt>
                <c:pt idx="61">
                  <c:v>190.90875144076935</c:v>
                </c:pt>
                <c:pt idx="62">
                  <c:v>194.0146266067068</c:v>
                </c:pt>
                <c:pt idx="63">
                  <c:v>197.12009275542391</c:v>
                </c:pt>
                <c:pt idx="64">
                  <c:v>200.22515811875675</c:v>
                </c:pt>
                <c:pt idx="65">
                  <c:v>203.32983072866983</c:v>
                </c:pt>
                <c:pt idx="66">
                  <c:v>206.43411842507192</c:v>
                </c:pt>
                <c:pt idx="67">
                  <c:v>209.5380288632123</c:v>
                </c:pt>
                <c:pt idx="68">
                  <c:v>212.6415695206878</c:v>
                </c:pt>
                <c:pt idx="69">
                  <c:v>215.74474770408537</c:v>
                </c:pt>
                <c:pt idx="70">
                  <c:v>218.84757055528391</c:v>
                </c:pt>
                <c:pt idx="71">
                  <c:v>221.95004505743864</c:v>
                </c:pt>
                <c:pt idx="72">
                  <c:v>225.052178040667</c:v>
                </c:pt>
                <c:pt idx="73">
                  <c:v>228.1539761874557</c:v>
                </c:pt>
                <c:pt idx="74">
                  <c:v>231.25544603780622</c:v>
                </c:pt>
                <c:pt idx="75">
                  <c:v>234.35659399413385</c:v>
                </c:pt>
                <c:pt idx="76">
                  <c:v>237.45742632593604</c:v>
                </c:pt>
                <c:pt idx="77">
                  <c:v>240.55794917424421</c:v>
                </c:pt>
                <c:pt idx="78">
                  <c:v>243.65816855587079</c:v>
                </c:pt>
                <c:pt idx="79">
                  <c:v>246.75809036746261</c:v>
                </c:pt>
                <c:pt idx="80">
                  <c:v>249.85772038937515</c:v>
                </c:pt>
                <c:pt idx="81">
                  <c:v>252.95706428937424</c:v>
                </c:pt>
                <c:pt idx="82">
                  <c:v>256.05612762617511</c:v>
                </c:pt>
                <c:pt idx="83">
                  <c:v>259.15491585283206</c:v>
                </c:pt>
                <c:pt idx="84">
                  <c:v>262.25343431997959</c:v>
                </c:pt>
                <c:pt idx="85">
                  <c:v>265.35168827894029</c:v>
                </c:pt>
                <c:pt idx="86">
                  <c:v>268.44968288470227</c:v>
                </c:pt>
                <c:pt idx="87">
                  <c:v>271.5474231987742</c:v>
                </c:pt>
                <c:pt idx="88">
                  <c:v>274.64491419192331</c:v>
                </c:pt>
                <c:pt idx="89">
                  <c:v>277.74216074680618</c:v>
                </c:pt>
                <c:pt idx="90">
                  <c:v>280.83916766049117</c:v>
                </c:pt>
                <c:pt idx="91">
                  <c:v>283.93593964688489</c:v>
                </c:pt>
                <c:pt idx="92">
                  <c:v>287.03248133906237</c:v>
                </c:pt>
                <c:pt idx="93">
                  <c:v>290.12879729150899</c:v>
                </c:pt>
                <c:pt idx="94">
                  <c:v>293.22489198227555</c:v>
                </c:pt>
                <c:pt idx="95">
                  <c:v>296.3207698150548</c:v>
                </c:pt>
                <c:pt idx="96">
                  <c:v>299.41643512117673</c:v>
                </c:pt>
                <c:pt idx="97">
                  <c:v>302.51189216153449</c:v>
                </c:pt>
                <c:pt idx="98">
                  <c:v>305.60714512843748</c:v>
                </c:pt>
                <c:pt idx="99">
                  <c:v>308.70219814739755</c:v>
                </c:pt>
                <c:pt idx="100">
                  <c:v>311.79705527885329</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0.83358091560276437</c:v>
                </c:pt>
                <c:pt idx="17">
                  <c:v>0.85923554063231955</c:v>
                </c:pt>
                <c:pt idx="18">
                  <c:v>0.88414607713560878</c:v>
                </c:pt>
                <c:pt idx="19">
                  <c:v>0.90837374309413921</c:v>
                </c:pt>
                <c:pt idx="20">
                  <c:v>0.93197179601714808</c:v>
                </c:pt>
                <c:pt idx="21">
                  <c:v>0.95498691090506582</c:v>
                </c:pt>
                <c:pt idx="22">
                  <c:v>0.97746026590781254</c:v>
                </c:pt>
                <c:pt idx="23">
                  <c:v>0.99942840806990418</c:v>
                </c:pt>
                <c:pt idx="24">
                  <c:v>1.0209239512743906</c:v>
                </c:pt>
                <c:pt idx="25">
                  <c:v>1.0419761445034554</c:v>
                </c:pt>
                <c:pt idx="26">
                  <c:v>1.0626113387042591</c:v>
                </c:pt>
                <c:pt idx="27">
                  <c:v>1.0828533735328292</c:v>
                </c:pt>
                <c:pt idx="28">
                  <c:v>1.1027239001672178</c:v>
                </c:pt>
                <c:pt idx="29">
                  <c:v>1.122242652650741</c:v>
                </c:pt>
                <c:pt idx="30">
                  <c:v>1.1414276774536103</c:v>
                </c:pt>
                <c:pt idx="31">
                  <c:v>1.1602955288570729</c:v>
                </c:pt>
                <c:pt idx="32">
                  <c:v>1.1788614361808116</c:v>
                </c:pt>
                <c:pt idx="33">
                  <c:v>1.1971394476596524</c:v>
                </c:pt>
                <c:pt idx="34">
                  <c:v>1.2151425548352048</c:v>
                </c:pt>
                <c:pt idx="35">
                  <c:v>1.2328828005937953</c:v>
                </c:pt>
                <c:pt idx="36">
                  <c:v>1.2503713734041466</c:v>
                </c:pt>
                <c:pt idx="37">
                  <c:v>1.2676186898500443</c:v>
                </c:pt>
                <c:pt idx="38">
                  <c:v>1.2846344671873453</c:v>
                </c:pt>
                <c:pt idx="39">
                  <c:v>1.3014277873605919</c:v>
                </c:pt>
                <c:pt idx="40">
                  <c:v>1.3180071536766624</c:v>
                </c:pt>
                <c:pt idx="41">
                  <c:v>1.3343805411393814</c:v>
                </c:pt>
                <c:pt idx="42">
                  <c:v>1.3505554412907306</c:v>
                </c:pt>
                <c:pt idx="43">
                  <c:v>1.3665389022741254</c:v>
                </c:pt>
                <c:pt idx="44">
                  <c:v>1.3823375647276404</c:v>
                </c:pt>
                <c:pt idx="45">
                  <c:v>1.3979576940257221</c:v>
                </c:pt>
                <c:pt idx="46">
                  <c:v>1.4134052093134106</c:v>
                </c:pt>
                <c:pt idx="47">
                  <c:v>1.4286857097146515</c:v>
                </c:pt>
                <c:pt idx="48">
                  <c:v>1.4438044980437721</c:v>
                </c:pt>
                <c:pt idx="49">
                  <c:v>1.4587666023048376</c:v>
                </c:pt>
                <c:pt idx="50">
                  <c:v>1.4735767952260146</c:v>
                </c:pt>
                <c:pt idx="51">
                  <c:v>1.4882396120440899</c:v>
                </c:pt>
                <c:pt idx="52">
                  <c:v>1.5027593667269936</c:v>
                </c:pt>
                <c:pt idx="53">
                  <c:v>1.5171401667987985</c:v>
                </c:pt>
                <c:pt idx="54">
                  <c:v>1.5313859269115861</c:v>
                </c:pt>
                <c:pt idx="55">
                  <c:v>1.5455003812912598</c:v>
                </c:pt>
                <c:pt idx="56">
                  <c:v>1.5594870951694344</c:v>
                </c:pt>
                <c:pt idx="57">
                  <c:v>1.5733494753005677</c:v>
                </c:pt>
                <c:pt idx="58">
                  <c:v>1.5870907796522362</c:v>
                </c:pt>
                <c:pt idx="59">
                  <c:v>1.6007141263466487</c:v>
                </c:pt>
                <c:pt idx="60">
                  <c:v>1.6142225019229182</c:v>
                </c:pt>
                <c:pt idx="61">
                  <c:v>1.6276187689821155</c:v>
                </c:pt>
                <c:pt idx="62">
                  <c:v>1.6409056732705354</c:v>
                </c:pt>
                <c:pt idx="63">
                  <c:v>1.6540858502508267</c:v>
                </c:pt>
                <c:pt idx="64">
                  <c:v>1.6671618312055287</c:v>
                </c:pt>
                <c:pt idx="65">
                  <c:v>1.6801360489130466</c:v>
                </c:pt>
                <c:pt idx="66">
                  <c:v>1.6930108429321162</c:v>
                </c:pt>
                <c:pt idx="67">
                  <c:v>1.7057884645272654</c:v>
                </c:pt>
                <c:pt idx="68">
                  <c:v>1.7184710812646391</c:v>
                </c:pt>
                <c:pt idx="69">
                  <c:v>1.7310607813047549</c:v>
                </c:pt>
                <c:pt idx="70">
                  <c:v>1.7435595774162693</c:v>
                </c:pt>
                <c:pt idx="71">
                  <c:v>1.7559694107325934</c:v>
                </c:pt>
                <c:pt idx="72">
                  <c:v>1.7682921542712176</c:v>
                </c:pt>
                <c:pt idx="73">
                  <c:v>1.7805296162338089</c:v>
                </c:pt>
                <c:pt idx="74">
                  <c:v>1.7926835431035468</c:v>
                </c:pt>
                <c:pt idx="75">
                  <c:v>1.8047556225547152</c:v>
                </c:pt>
                <c:pt idx="76">
                  <c:v>1.8167474861882784</c:v>
                </c:pt>
                <c:pt idx="77">
                  <c:v>1.8286607121059939</c:v>
                </c:pt>
                <c:pt idx="78">
                  <c:v>1.8404968273345574</c:v>
                </c:pt>
                <c:pt idx="79">
                  <c:v>1.8522573101103268</c:v>
                </c:pt>
                <c:pt idx="80">
                  <c:v>1.8639435920342962</c:v>
                </c:pt>
                <c:pt idx="81">
                  <c:v>1.8755570601062199</c:v>
                </c:pt>
                <c:pt idx="82">
                  <c:v>1.887099058646063</c:v>
                </c:pt>
                <c:pt idx="83">
                  <c:v>1.8985708911103185</c:v>
                </c:pt>
                <c:pt idx="84">
                  <c:v>1.9099738218101316</c:v>
                </c:pt>
                <c:pt idx="85">
                  <c:v>1.9213090775376489</c:v>
                </c:pt>
                <c:pt idx="86">
                  <c:v>1.9325778491065098</c:v>
                </c:pt>
                <c:pt idx="87">
                  <c:v>1.9437812928119549</c:v>
                </c:pt>
                <c:pt idx="88">
                  <c:v>1.9549205318156251</c:v>
                </c:pt>
                <c:pt idx="89">
                  <c:v>1.9659966574597367</c:v>
                </c:pt>
                <c:pt idx="90">
                  <c:v>1.9770107305149938</c:v>
                </c:pt>
                <c:pt idx="91">
                  <c:v>1.9879637823662686</c:v>
                </c:pt>
                <c:pt idx="92">
                  <c:v>1.9988568161398084</c:v>
                </c:pt>
                <c:pt idx="93">
                  <c:v>2.0096908077754509</c:v>
                </c:pt>
                <c:pt idx="94">
                  <c:v>2.020466707047091</c:v>
                </c:pt>
                <c:pt idx="95">
                  <c:v>2.0311854385344255</c:v>
                </c:pt>
                <c:pt idx="96">
                  <c:v>2.0418479025487812</c:v>
                </c:pt>
                <c:pt idx="97">
                  <c:v>2.0524549760156563</c:v>
                </c:pt>
                <c:pt idx="98">
                  <c:v>2.0630075133164203</c:v>
                </c:pt>
                <c:pt idx="99">
                  <c:v>2.0735063470914605</c:v>
                </c:pt>
                <c:pt idx="100">
                  <c:v>2.0839522890069109</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0.82192186706253023</c:v>
                </c:pt>
                <c:pt idx="15">
                  <c:v>0.85076995939532551</c:v>
                </c:pt>
                <c:pt idx="16">
                  <c:v>0.87867143578444173</c:v>
                </c:pt>
                <c:pt idx="17">
                  <c:v>0.90571378498809463</c:v>
                </c:pt>
                <c:pt idx="18">
                  <c:v>0.93197179601714808</c:v>
                </c:pt>
                <c:pt idx="19">
                  <c:v>0.95750999829004235</c:v>
                </c:pt>
                <c:pt idx="20">
                  <c:v>0.98238453015067639</c:v>
                </c:pt>
                <c:pt idx="21">
                  <c:v>1.0066445913694333</c:v>
                </c:pt>
                <c:pt idx="22">
                  <c:v>1.0303335875275064</c:v>
                </c:pt>
                <c:pt idx="23">
                  <c:v>1.0534900425923683</c:v>
                </c:pt>
                <c:pt idx="24">
                  <c:v>1.0761483346152789</c:v>
                </c:pt>
                <c:pt idx="25">
                  <c:v>1.0983392947305521</c:v>
                </c:pt>
                <c:pt idx="26">
                  <c:v>1.1200906992753645</c:v>
                </c:pt>
                <c:pt idx="27">
                  <c:v>1.1414276774536103</c:v>
                </c:pt>
                <c:pt idx="28">
                  <c:v>1.1623730516108464</c:v>
                </c:pt>
                <c:pt idx="29">
                  <c:v>1.1829476232551801</c:v>
                </c:pt>
                <c:pt idx="30">
                  <c:v>1.2031704150364768</c:v>
                </c:pt>
                <c:pt idx="31">
                  <c:v>1.2230588766993256</c:v>
                </c:pt>
                <c:pt idx="32">
                  <c:v>1.2426290613561974</c:v>
                </c:pt>
                <c:pt idx="33">
                  <c:v>1.2618957771468104</c:v>
                </c:pt>
                <c:pt idx="34">
                  <c:v>1.2808727183584327</c:v>
                </c:pt>
                <c:pt idx="35">
                  <c:v>1.2995725793078619</c:v>
                </c:pt>
                <c:pt idx="36">
                  <c:v>1.3180071536766624</c:v>
                </c:pt>
                <c:pt idx="37">
                  <c:v>1.336187421508235</c:v>
                </c:pt>
                <c:pt idx="38">
                  <c:v>1.354123625689617</c:v>
                </c:pt>
                <c:pt idx="39">
                  <c:v>1.3718253394309212</c:v>
                </c:pt>
                <c:pt idx="40">
                  <c:v>1.3893015260046073</c:v>
                </c:pt>
                <c:pt idx="41">
                  <c:v>1.4065605918028197</c:v>
                </c:pt>
                <c:pt idx="42">
                  <c:v>1.4236104336041748</c:v>
                </c:pt>
                <c:pt idx="43">
                  <c:v>1.4404584808041623</c:v>
                </c:pt>
                <c:pt idx="44">
                  <c:v>1.4571117332499259</c:v>
                </c:pt>
                <c:pt idx="45">
                  <c:v>1.4735767952260146</c:v>
                </c:pt>
                <c:pt idx="46">
                  <c:v>1.4898599060591367</c:v>
                </c:pt>
                <c:pt idx="47">
                  <c:v>1.5059669677441494</c:v>
                </c:pt>
                <c:pt idx="48">
                  <c:v>1.5219035699381471</c:v>
                </c:pt>
                <c:pt idx="49">
                  <c:v>1.5376750126227727</c:v>
                </c:pt>
                <c:pt idx="50">
                  <c:v>1.5532863266952468</c:v>
                </c:pt>
                <c:pt idx="51">
                  <c:v>1.5687422927148937</c:v>
                </c:pt>
                <c:pt idx="52">
                  <c:v>1.5840474580031842</c:v>
                </c:pt>
                <c:pt idx="53">
                  <c:v>1.5992061522706564</c:v>
                </c:pt>
                <c:pt idx="54">
                  <c:v>1.6142225019229182</c:v>
                </c:pt>
                <c:pt idx="55">
                  <c:v>1.6291004431796876</c:v>
                </c:pt>
                <c:pt idx="56">
                  <c:v>1.6438437341250605</c:v>
                </c:pt>
                <c:pt idx="57">
                  <c:v>1.6584559657935423</c:v>
                </c:pt>
                <c:pt idx="58">
                  <c:v>1.6729405723844941</c:v>
                </c:pt>
                <c:pt idx="59">
                  <c:v>1.6873008406873173</c:v>
                </c:pt>
                <c:pt idx="60">
                  <c:v>1.701539918790651</c:v>
                </c:pt>
                <c:pt idx="61">
                  <c:v>1.7156608241409674</c:v>
                </c:pt>
                <c:pt idx="62">
                  <c:v>1.7296664510089892</c:v>
                </c:pt>
                <c:pt idx="63">
                  <c:v>1.7435595774162693</c:v>
                </c:pt>
                <c:pt idx="64">
                  <c:v>1.7573428715688835</c:v>
                </c:pt>
                <c:pt idx="65">
                  <c:v>1.7710188978404315</c:v>
                </c:pt>
                <c:pt idx="66">
                  <c:v>1.7845901223423561</c:v>
                </c:pt>
                <c:pt idx="67">
                  <c:v>1.7980589181158313</c:v>
                </c:pt>
                <c:pt idx="68">
                  <c:v>1.8114275699761893</c:v>
                </c:pt>
                <c:pt idx="69">
                  <c:v>1.8246982790378825</c:v>
                </c:pt>
                <c:pt idx="70">
                  <c:v>1.837873166945363</c:v>
                </c:pt>
                <c:pt idx="71">
                  <c:v>1.8509542798329046</c:v>
                </c:pt>
                <c:pt idx="72">
                  <c:v>1.8639435920342962</c:v>
                </c:pt>
                <c:pt idx="73">
                  <c:v>1.8768430095614506</c:v>
                </c:pt>
                <c:pt idx="74">
                  <c:v>1.8896543733692812</c:v>
                </c:pt>
                <c:pt idx="75">
                  <c:v>1.9023794624226837</c:v>
                </c:pt>
                <c:pt idx="76">
                  <c:v>1.9150199965800847</c:v>
                </c:pt>
                <c:pt idx="77">
                  <c:v>1.9275776393067947</c:v>
                </c:pt>
                <c:pt idx="78">
                  <c:v>1.9400540002302833</c:v>
                </c:pt>
                <c:pt idx="79">
                  <c:v>1.9524506375484867</c:v>
                </c:pt>
                <c:pt idx="80">
                  <c:v>1.9647690603013528</c:v>
                </c:pt>
                <c:pt idx="81">
                  <c:v>1.9770107305149938</c:v>
                </c:pt>
                <c:pt idx="82">
                  <c:v>1.9891770652270744</c:v>
                </c:pt>
                <c:pt idx="83">
                  <c:v>2.0012694384013776</c:v>
                </c:pt>
                <c:pt idx="84">
                  <c:v>2.0132891827388666</c:v>
                </c:pt>
                <c:pt idx="85">
                  <c:v>2.025237591392008</c:v>
                </c:pt>
                <c:pt idx="86">
                  <c:v>2.0371159195885911</c:v>
                </c:pt>
                <c:pt idx="87">
                  <c:v>2.048925386170819</c:v>
                </c:pt>
                <c:pt idx="88">
                  <c:v>2.0606671750550127</c:v>
                </c:pt>
                <c:pt idx="89">
                  <c:v>2.0723424366168772</c:v>
                </c:pt>
                <c:pt idx="90">
                  <c:v>2.0839522890069109</c:v>
                </c:pt>
                <c:pt idx="91">
                  <c:v>2.0954978194002285</c:v>
                </c:pt>
                <c:pt idx="92">
                  <c:v>2.1069800851847367</c:v>
                </c:pt>
                <c:pt idx="93">
                  <c:v>2.118400115091351</c:v>
                </c:pt>
                <c:pt idx="94">
                  <c:v>2.1297589102696617</c:v>
                </c:pt>
                <c:pt idx="95">
                  <c:v>2.1410574453122422</c:v>
                </c:pt>
                <c:pt idx="96">
                  <c:v>2.1522966692305578</c:v>
                </c:pt>
                <c:pt idx="97">
                  <c:v>2.1634775063852456</c:v>
                </c:pt>
                <c:pt idx="98">
                  <c:v>2.1746008573733455</c:v>
                </c:pt>
                <c:pt idx="99">
                  <c:v>2.1856675998748889</c:v>
                </c:pt>
                <c:pt idx="100">
                  <c:v>2.1966785894611043</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0.83358091560276437</c:v>
                </c:pt>
                <c:pt idx="17">
                  <c:v>0.85923554063231955</c:v>
                </c:pt>
                <c:pt idx="18">
                  <c:v>0.88414607713560878</c:v>
                </c:pt>
                <c:pt idx="19">
                  <c:v>0.90837374309413921</c:v>
                </c:pt>
                <c:pt idx="20">
                  <c:v>0.93197179601714808</c:v>
                </c:pt>
                <c:pt idx="21">
                  <c:v>0.95498691090506582</c:v>
                </c:pt>
                <c:pt idx="22">
                  <c:v>0.97746026590781254</c:v>
                </c:pt>
                <c:pt idx="23">
                  <c:v>0.99942840806990418</c:v>
                </c:pt>
                <c:pt idx="24">
                  <c:v>1.0209239512743906</c:v>
                </c:pt>
                <c:pt idx="25">
                  <c:v>1.0419761445034554</c:v>
                </c:pt>
                <c:pt idx="26">
                  <c:v>1.0626113387042591</c:v>
                </c:pt>
                <c:pt idx="27">
                  <c:v>1.0828533735328292</c:v>
                </c:pt>
                <c:pt idx="28">
                  <c:v>1.1027239001672178</c:v>
                </c:pt>
                <c:pt idx="29">
                  <c:v>1.122242652650741</c:v>
                </c:pt>
                <c:pt idx="30">
                  <c:v>1.1414276774536103</c:v>
                </c:pt>
                <c:pt idx="31">
                  <c:v>1.1602955288570729</c:v>
                </c:pt>
                <c:pt idx="32">
                  <c:v>1.1788614361808116</c:v>
                </c:pt>
                <c:pt idx="33">
                  <c:v>1.1971394476596524</c:v>
                </c:pt>
                <c:pt idx="34">
                  <c:v>1.2151425548352048</c:v>
                </c:pt>
                <c:pt idx="35">
                  <c:v>1.2328828005937953</c:v>
                </c:pt>
                <c:pt idx="36">
                  <c:v>1.2503713734041466</c:v>
                </c:pt>
                <c:pt idx="37">
                  <c:v>1.2676186898500443</c:v>
                </c:pt>
                <c:pt idx="38">
                  <c:v>1.2846344671873453</c:v>
                </c:pt>
                <c:pt idx="39">
                  <c:v>1.3014277873605919</c:v>
                </c:pt>
                <c:pt idx="40">
                  <c:v>1.3180071536766624</c:v>
                </c:pt>
                <c:pt idx="41">
                  <c:v>1.3343805411393814</c:v>
                </c:pt>
                <c:pt idx="42">
                  <c:v>1.3505554412907306</c:v>
                </c:pt>
                <c:pt idx="43">
                  <c:v>1.3665389022741254</c:v>
                </c:pt>
                <c:pt idx="44">
                  <c:v>1.3823375647276404</c:v>
                </c:pt>
                <c:pt idx="45">
                  <c:v>1.3979576940257221</c:v>
                </c:pt>
                <c:pt idx="46">
                  <c:v>1.4134052093134106</c:v>
                </c:pt>
                <c:pt idx="47">
                  <c:v>1.4286857097146515</c:v>
                </c:pt>
                <c:pt idx="48">
                  <c:v>1.4438044980437721</c:v>
                </c:pt>
                <c:pt idx="49">
                  <c:v>1.4587666023048376</c:v>
                </c:pt>
                <c:pt idx="50">
                  <c:v>1.4735767952260146</c:v>
                </c:pt>
                <c:pt idx="51">
                  <c:v>1.4882396120440899</c:v>
                </c:pt>
                <c:pt idx="52">
                  <c:v>1.5027593667269936</c:v>
                </c:pt>
                <c:pt idx="53">
                  <c:v>1.5171401667987985</c:v>
                </c:pt>
                <c:pt idx="54">
                  <c:v>1.5313859269115861</c:v>
                </c:pt>
                <c:pt idx="55">
                  <c:v>1.5455003812912598</c:v>
                </c:pt>
                <c:pt idx="56">
                  <c:v>1.5594870951694344</c:v>
                </c:pt>
                <c:pt idx="57">
                  <c:v>1.5733494753005677</c:v>
                </c:pt>
                <c:pt idx="58">
                  <c:v>1.5870907796522362</c:v>
                </c:pt>
                <c:pt idx="59">
                  <c:v>1.6007141263466487</c:v>
                </c:pt>
                <c:pt idx="60">
                  <c:v>1.6142225019229182</c:v>
                </c:pt>
                <c:pt idx="61">
                  <c:v>1.6276187689821155</c:v>
                </c:pt>
                <c:pt idx="62">
                  <c:v>1.6409056732705354</c:v>
                </c:pt>
                <c:pt idx="63">
                  <c:v>1.6540858502508267</c:v>
                </c:pt>
                <c:pt idx="64">
                  <c:v>1.6671618312055287</c:v>
                </c:pt>
                <c:pt idx="65">
                  <c:v>1.6801360489130466</c:v>
                </c:pt>
                <c:pt idx="66">
                  <c:v>1.6930108429321162</c:v>
                </c:pt>
                <c:pt idx="67">
                  <c:v>1.7057884645272654</c:v>
                </c:pt>
                <c:pt idx="68">
                  <c:v>1.7184710812646391</c:v>
                </c:pt>
                <c:pt idx="69">
                  <c:v>1.7310607813047549</c:v>
                </c:pt>
                <c:pt idx="70">
                  <c:v>1.7435595774162693</c:v>
                </c:pt>
                <c:pt idx="71">
                  <c:v>1.7559694107325934</c:v>
                </c:pt>
                <c:pt idx="72">
                  <c:v>1.7682921542712176</c:v>
                </c:pt>
                <c:pt idx="73">
                  <c:v>1.7805296162338089</c:v>
                </c:pt>
                <c:pt idx="74">
                  <c:v>1.7926835431035468</c:v>
                </c:pt>
                <c:pt idx="75">
                  <c:v>1.8047556225547152</c:v>
                </c:pt>
                <c:pt idx="76">
                  <c:v>1.8167474861882784</c:v>
                </c:pt>
                <c:pt idx="77">
                  <c:v>1.8286607121059939</c:v>
                </c:pt>
                <c:pt idx="78">
                  <c:v>1.8404968273345574</c:v>
                </c:pt>
                <c:pt idx="79">
                  <c:v>1.8522573101103268</c:v>
                </c:pt>
                <c:pt idx="80">
                  <c:v>1.8639435920342962</c:v>
                </c:pt>
                <c:pt idx="81">
                  <c:v>1.8755570601062199</c:v>
                </c:pt>
                <c:pt idx="82">
                  <c:v>1.887099058646063</c:v>
                </c:pt>
                <c:pt idx="83">
                  <c:v>1.8985708911103185</c:v>
                </c:pt>
                <c:pt idx="84">
                  <c:v>1.9099738218101316</c:v>
                </c:pt>
                <c:pt idx="85">
                  <c:v>1.9213090775376489</c:v>
                </c:pt>
                <c:pt idx="86">
                  <c:v>1.9325778491065098</c:v>
                </c:pt>
                <c:pt idx="87">
                  <c:v>1.9437812928119549</c:v>
                </c:pt>
                <c:pt idx="88">
                  <c:v>1.9549205318156251</c:v>
                </c:pt>
                <c:pt idx="89">
                  <c:v>1.9659966574597367</c:v>
                </c:pt>
                <c:pt idx="90">
                  <c:v>1.9770107305149938</c:v>
                </c:pt>
                <c:pt idx="91">
                  <c:v>1.9879637823662686</c:v>
                </c:pt>
                <c:pt idx="92">
                  <c:v>1.9988568161398084</c:v>
                </c:pt>
                <c:pt idx="93">
                  <c:v>2.0096908077754509</c:v>
                </c:pt>
                <c:pt idx="94">
                  <c:v>2.020466707047091</c:v>
                </c:pt>
                <c:pt idx="95">
                  <c:v>2.0311854385344255</c:v>
                </c:pt>
                <c:pt idx="96">
                  <c:v>2.0418479025487812</c:v>
                </c:pt>
                <c:pt idx="97">
                  <c:v>2.0524549760156563</c:v>
                </c:pt>
                <c:pt idx="98">
                  <c:v>2.0630075133164203</c:v>
                </c:pt>
                <c:pt idx="99">
                  <c:v>2.0735063470914605</c:v>
                </c:pt>
                <c:pt idx="100">
                  <c:v>2.0839522890069109</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1.2090539437351762</c:v>
                </c:pt>
                <c:pt idx="17">
                  <c:v>1.2261570270882129</c:v>
                </c:pt>
                <c:pt idx="18">
                  <c:v>1.2427640514237392</c:v>
                </c:pt>
                <c:pt idx="19">
                  <c:v>1.2589158287294262</c:v>
                </c:pt>
                <c:pt idx="20">
                  <c:v>1.274647864011432</c:v>
                </c:pt>
                <c:pt idx="21">
                  <c:v>1.2899912739367105</c:v>
                </c:pt>
                <c:pt idx="22">
                  <c:v>1.3049735106052083</c:v>
                </c:pt>
                <c:pt idx="23">
                  <c:v>1.3196189387132695</c:v>
                </c:pt>
                <c:pt idx="24">
                  <c:v>1.3339493008495937</c:v>
                </c:pt>
                <c:pt idx="25">
                  <c:v>1.3479840963356369</c:v>
                </c:pt>
                <c:pt idx="26">
                  <c:v>1.361740892469506</c:v>
                </c:pt>
                <c:pt idx="27">
                  <c:v>1.3752355823552196</c:v>
                </c:pt>
                <c:pt idx="28">
                  <c:v>1.3884826001114785</c:v>
                </c:pt>
                <c:pt idx="29">
                  <c:v>1.4014951017671606</c:v>
                </c:pt>
                <c:pt idx="30">
                  <c:v>1.414285118302407</c:v>
                </c:pt>
                <c:pt idx="31">
                  <c:v>1.4268636859047152</c:v>
                </c:pt>
                <c:pt idx="32">
                  <c:v>1.4392409574538745</c:v>
                </c:pt>
                <c:pt idx="33">
                  <c:v>1.4514262984397683</c:v>
                </c:pt>
                <c:pt idx="34">
                  <c:v>1.4634283698901367</c:v>
                </c:pt>
                <c:pt idx="35">
                  <c:v>1.4752552003958637</c:v>
                </c:pt>
                <c:pt idx="36">
                  <c:v>1.4869142489360978</c:v>
                </c:pt>
                <c:pt idx="37">
                  <c:v>1.4984124599000297</c:v>
                </c:pt>
                <c:pt idx="38">
                  <c:v>1.5097563114582302</c:v>
                </c:pt>
                <c:pt idx="39">
                  <c:v>1.5209518582403947</c:v>
                </c:pt>
                <c:pt idx="40">
                  <c:v>1.5320047691177749</c:v>
                </c:pt>
                <c:pt idx="41">
                  <c:v>1.5429203607595876</c:v>
                </c:pt>
                <c:pt idx="42">
                  <c:v>1.5537036275271539</c:v>
                </c:pt>
                <c:pt idx="43">
                  <c:v>1.5643592681827503</c:v>
                </c:pt>
                <c:pt idx="44">
                  <c:v>1.574891709818427</c:v>
                </c:pt>
                <c:pt idx="45">
                  <c:v>1.5853051293504814</c:v>
                </c:pt>
                <c:pt idx="46">
                  <c:v>1.5956034728756072</c:v>
                </c:pt>
                <c:pt idx="47">
                  <c:v>1.605790473143101</c:v>
                </c:pt>
                <c:pt idx="48">
                  <c:v>1.6158696653625149</c:v>
                </c:pt>
                <c:pt idx="49">
                  <c:v>1.6258444015365585</c:v>
                </c:pt>
                <c:pt idx="50">
                  <c:v>1.6357178634840097</c:v>
                </c:pt>
                <c:pt idx="51">
                  <c:v>1.6454930746960601</c:v>
                </c:pt>
                <c:pt idx="52">
                  <c:v>1.6551729111513291</c:v>
                </c:pt>
                <c:pt idx="53">
                  <c:v>1.664760111199199</c:v>
                </c:pt>
                <c:pt idx="54">
                  <c:v>1.6742572846077242</c:v>
                </c:pt>
                <c:pt idx="55">
                  <c:v>1.6836669208608399</c:v>
                </c:pt>
                <c:pt idx="56">
                  <c:v>1.6929913967796231</c:v>
                </c:pt>
                <c:pt idx="57">
                  <c:v>1.7022329835337118</c:v>
                </c:pt>
                <c:pt idx="58">
                  <c:v>1.7113938531014909</c:v>
                </c:pt>
                <c:pt idx="59">
                  <c:v>1.7204760842310991</c:v>
                </c:pt>
                <c:pt idx="60">
                  <c:v>1.7294816679486122</c:v>
                </c:pt>
                <c:pt idx="61">
                  <c:v>1.7384125126547438</c:v>
                </c:pt>
                <c:pt idx="62">
                  <c:v>1.7472704488470234</c:v>
                </c:pt>
                <c:pt idx="63">
                  <c:v>1.7560572335005511</c:v>
                </c:pt>
                <c:pt idx="64">
                  <c:v>1.764774554137019</c:v>
                </c:pt>
                <c:pt idx="65">
                  <c:v>1.7734240326086979</c:v>
                </c:pt>
                <c:pt idx="66">
                  <c:v>1.7820072286214108</c:v>
                </c:pt>
                <c:pt idx="67">
                  <c:v>1.7905256430181771</c:v>
                </c:pt>
                <c:pt idx="68">
                  <c:v>1.7989807208430926</c:v>
                </c:pt>
                <c:pt idx="69">
                  <c:v>1.8073738542031701</c:v>
                </c:pt>
                <c:pt idx="70">
                  <c:v>1.8157063849441797</c:v>
                </c:pt>
                <c:pt idx="71">
                  <c:v>1.8239796071550622</c:v>
                </c:pt>
                <c:pt idx="72">
                  <c:v>1.8321947695141452</c:v>
                </c:pt>
                <c:pt idx="73">
                  <c:v>1.8403530774892061</c:v>
                </c:pt>
                <c:pt idx="74">
                  <c:v>1.8484556954023645</c:v>
                </c:pt>
                <c:pt idx="75">
                  <c:v>1.8565037483698101</c:v>
                </c:pt>
                <c:pt idx="76">
                  <c:v>1.8644983241255191</c:v>
                </c:pt>
                <c:pt idx="77">
                  <c:v>1.8724404747373293</c:v>
                </c:pt>
                <c:pt idx="78">
                  <c:v>1.8803312182230383</c:v>
                </c:pt>
                <c:pt idx="79">
                  <c:v>1.8881715400735513</c:v>
                </c:pt>
                <c:pt idx="80">
                  <c:v>1.895962394689531</c:v>
                </c:pt>
                <c:pt idx="81">
                  <c:v>1.9037047067374799</c:v>
                </c:pt>
                <c:pt idx="82">
                  <c:v>1.9113993724307086</c:v>
                </c:pt>
                <c:pt idx="83">
                  <c:v>1.9190472607402123</c:v>
                </c:pt>
                <c:pt idx="84">
                  <c:v>1.9266492145400878</c:v>
                </c:pt>
                <c:pt idx="85">
                  <c:v>1.9342060516917658</c:v>
                </c:pt>
                <c:pt idx="86">
                  <c:v>1.9417185660710066</c:v>
                </c:pt>
                <c:pt idx="87">
                  <c:v>1.9491875285413032</c:v>
                </c:pt>
                <c:pt idx="88">
                  <c:v>1.9566136878770835</c:v>
                </c:pt>
                <c:pt idx="89">
                  <c:v>1.9639977716398245</c:v>
                </c:pt>
                <c:pt idx="90">
                  <c:v>1.971340487009996</c:v>
                </c:pt>
                <c:pt idx="91">
                  <c:v>1.9786425215775123</c:v>
                </c:pt>
                <c:pt idx="92">
                  <c:v>1.9859045440932055</c:v>
                </c:pt>
                <c:pt idx="93">
                  <c:v>1.9931272051836342</c:v>
                </c:pt>
                <c:pt idx="94">
                  <c:v>2.0003111380313943</c:v>
                </c:pt>
                <c:pt idx="95">
                  <c:v>2.0074569590229503</c:v>
                </c:pt>
                <c:pt idx="96">
                  <c:v>2.0145652683658541</c:v>
                </c:pt>
                <c:pt idx="97">
                  <c:v>2.0216366506771042</c:v>
                </c:pt>
                <c:pt idx="98">
                  <c:v>2.0286716755442802</c:v>
                </c:pt>
                <c:pt idx="99">
                  <c:v>2.0356708980609737</c:v>
                </c:pt>
                <c:pt idx="100">
                  <c:v>2.0426348593379409</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1.2391142905229611</c:v>
                </c:pt>
                <c:pt idx="17">
                  <c:v>1.2571425233253963</c:v>
                </c:pt>
                <c:pt idx="18">
                  <c:v>1.274647864011432</c:v>
                </c:pt>
                <c:pt idx="19">
                  <c:v>1.2916733321933616</c:v>
                </c:pt>
                <c:pt idx="20">
                  <c:v>1.3082563534337843</c:v>
                </c:pt>
                <c:pt idx="21">
                  <c:v>1.3244297275796222</c:v>
                </c:pt>
                <c:pt idx="22">
                  <c:v>1.3402223916850042</c:v>
                </c:pt>
                <c:pt idx="23">
                  <c:v>1.3556600283949123</c:v>
                </c:pt>
                <c:pt idx="24">
                  <c:v>1.3707655564101859</c:v>
                </c:pt>
                <c:pt idx="25">
                  <c:v>1.3855595298203682</c:v>
                </c:pt>
                <c:pt idx="26">
                  <c:v>1.4000604661835765</c:v>
                </c:pt>
                <c:pt idx="27">
                  <c:v>1.414285118302407</c:v>
                </c:pt>
                <c:pt idx="28">
                  <c:v>1.4282487010738976</c:v>
                </c:pt>
                <c:pt idx="29">
                  <c:v>1.4419650821701202</c:v>
                </c:pt>
                <c:pt idx="30">
                  <c:v>1.4554469433576513</c:v>
                </c:pt>
                <c:pt idx="31">
                  <c:v>1.4687059177995505</c:v>
                </c:pt>
                <c:pt idx="32">
                  <c:v>1.4817527075707984</c:v>
                </c:pt>
                <c:pt idx="33">
                  <c:v>1.4945971847645403</c:v>
                </c:pt>
                <c:pt idx="34">
                  <c:v>1.507248478905622</c:v>
                </c:pt>
                <c:pt idx="35">
                  <c:v>1.5197150528719079</c:v>
                </c:pt>
                <c:pt idx="36">
                  <c:v>1.5320047691177749</c:v>
                </c:pt>
                <c:pt idx="37">
                  <c:v>1.5441249476721568</c:v>
                </c:pt>
                <c:pt idx="38">
                  <c:v>1.5560824171264114</c:v>
                </c:pt>
                <c:pt idx="39">
                  <c:v>1.5678835596206142</c:v>
                </c:pt>
                <c:pt idx="40">
                  <c:v>1.5795343506697384</c:v>
                </c:pt>
                <c:pt idx="41">
                  <c:v>1.5910403945352132</c:v>
                </c:pt>
                <c:pt idx="42">
                  <c:v>1.6024069557361167</c:v>
                </c:pt>
                <c:pt idx="43">
                  <c:v>1.613638987202775</c:v>
                </c:pt>
                <c:pt idx="44">
                  <c:v>1.6247411554999507</c:v>
                </c:pt>
                <c:pt idx="45">
                  <c:v>1.6357178634840097</c:v>
                </c:pt>
                <c:pt idx="46">
                  <c:v>1.6465732707060912</c:v>
                </c:pt>
                <c:pt idx="47">
                  <c:v>1.6573113118294329</c:v>
                </c:pt>
                <c:pt idx="48">
                  <c:v>1.6679357132920982</c:v>
                </c:pt>
                <c:pt idx="49">
                  <c:v>1.6784500084151819</c:v>
                </c:pt>
                <c:pt idx="50">
                  <c:v>1.6888575511301647</c:v>
                </c:pt>
                <c:pt idx="51">
                  <c:v>1.699161528476596</c:v>
                </c:pt>
                <c:pt idx="52">
                  <c:v>1.7093649720021227</c:v>
                </c:pt>
                <c:pt idx="53">
                  <c:v>1.7194707681804378</c:v>
                </c:pt>
                <c:pt idx="54">
                  <c:v>1.7294816679486122</c:v>
                </c:pt>
                <c:pt idx="55">
                  <c:v>1.7394002954531249</c:v>
                </c:pt>
                <c:pt idx="56">
                  <c:v>1.7492291560833735</c:v>
                </c:pt>
                <c:pt idx="57">
                  <c:v>1.7589706438623613</c:v>
                </c:pt>
                <c:pt idx="58">
                  <c:v>1.7686270482563295</c:v>
                </c:pt>
                <c:pt idx="59">
                  <c:v>1.7782005604582114</c:v>
                </c:pt>
                <c:pt idx="60">
                  <c:v>1.7876932791937672</c:v>
                </c:pt>
                <c:pt idx="61">
                  <c:v>1.7971072160939783</c:v>
                </c:pt>
                <c:pt idx="62">
                  <c:v>1.8064443006726596</c:v>
                </c:pt>
                <c:pt idx="63">
                  <c:v>1.8157063849441797</c:v>
                </c:pt>
                <c:pt idx="64">
                  <c:v>1.824895247712589</c:v>
                </c:pt>
                <c:pt idx="65">
                  <c:v>1.8340125985602878</c:v>
                </c:pt>
                <c:pt idx="66">
                  <c:v>1.8430600815615708</c:v>
                </c:pt>
                <c:pt idx="67">
                  <c:v>1.8520392787438875</c:v>
                </c:pt>
                <c:pt idx="68">
                  <c:v>1.8609517133174596</c:v>
                </c:pt>
                <c:pt idx="69">
                  <c:v>1.8697988526919216</c:v>
                </c:pt>
                <c:pt idx="70">
                  <c:v>1.8785821112969088</c:v>
                </c:pt>
                <c:pt idx="71">
                  <c:v>1.8873028532219365</c:v>
                </c:pt>
                <c:pt idx="72">
                  <c:v>1.895962394689531</c:v>
                </c:pt>
                <c:pt idx="73">
                  <c:v>1.9045620063743003</c:v>
                </c:pt>
                <c:pt idx="74">
                  <c:v>1.9131029155795207</c:v>
                </c:pt>
                <c:pt idx="75">
                  <c:v>1.9215863082817892</c:v>
                </c:pt>
                <c:pt idx="76">
                  <c:v>1.93001333105339</c:v>
                </c:pt>
                <c:pt idx="77">
                  <c:v>1.9383850928711965</c:v>
                </c:pt>
                <c:pt idx="78">
                  <c:v>1.946702666820189</c:v>
                </c:pt>
                <c:pt idx="79">
                  <c:v>1.9549670916989912</c:v>
                </c:pt>
                <c:pt idx="80">
                  <c:v>1.9631793735342353</c:v>
                </c:pt>
                <c:pt idx="81">
                  <c:v>1.971340487009996</c:v>
                </c:pt>
                <c:pt idx="82">
                  <c:v>1.9794513768180495</c:v>
                </c:pt>
                <c:pt idx="83">
                  <c:v>1.9875129589342519</c:v>
                </c:pt>
                <c:pt idx="84">
                  <c:v>1.9955261218259113</c:v>
                </c:pt>
                <c:pt idx="85">
                  <c:v>2.003491727594672</c:v>
                </c:pt>
                <c:pt idx="86">
                  <c:v>2.011410613059061</c:v>
                </c:pt>
                <c:pt idx="87">
                  <c:v>2.019283590780546</c:v>
                </c:pt>
                <c:pt idx="88">
                  <c:v>2.0271114500366751</c:v>
                </c:pt>
                <c:pt idx="89">
                  <c:v>2.034894957744585</c:v>
                </c:pt>
                <c:pt idx="90">
                  <c:v>2.0426348593379409</c:v>
                </c:pt>
                <c:pt idx="91">
                  <c:v>2.0503318796001526</c:v>
                </c:pt>
                <c:pt idx="92">
                  <c:v>2.0579867234564913</c:v>
                </c:pt>
                <c:pt idx="93">
                  <c:v>2.0656000767275673</c:v>
                </c:pt>
                <c:pt idx="94">
                  <c:v>2.0731726068464411</c:v>
                </c:pt>
                <c:pt idx="95">
                  <c:v>2.0807049635414949</c:v>
                </c:pt>
                <c:pt idx="96">
                  <c:v>2.0881977794870386</c:v>
                </c:pt>
                <c:pt idx="97">
                  <c:v>2.0956516709234974</c:v>
                </c:pt>
                <c:pt idx="98">
                  <c:v>2.1030672382488973</c:v>
                </c:pt>
                <c:pt idx="99">
                  <c:v>2.1104450665832593</c:v>
                </c:pt>
                <c:pt idx="100">
                  <c:v>2.1177857263074031</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1.0129174810911872</c:v>
                </c:pt>
                <c:pt idx="2">
                  <c:v>1.0258349621823744</c:v>
                </c:pt>
                <c:pt idx="3">
                  <c:v>1.0387524432735618</c:v>
                </c:pt>
                <c:pt idx="4">
                  <c:v>1.0516699243647489</c:v>
                </c:pt>
                <c:pt idx="5">
                  <c:v>1.0645874054559361</c:v>
                </c:pt>
                <c:pt idx="6">
                  <c:v>1.0775048865471233</c:v>
                </c:pt>
                <c:pt idx="7">
                  <c:v>1.0904223676383105</c:v>
                </c:pt>
                <c:pt idx="8">
                  <c:v>1.1033398487294979</c:v>
                </c:pt>
                <c:pt idx="9">
                  <c:v>1.116257329820685</c:v>
                </c:pt>
                <c:pt idx="10">
                  <c:v>1.1291748109118722</c:v>
                </c:pt>
                <c:pt idx="11">
                  <c:v>1.1420922920030594</c:v>
                </c:pt>
                <c:pt idx="12">
                  <c:v>1.1550097730942466</c:v>
                </c:pt>
                <c:pt idx="13">
                  <c:v>1.167927254185434</c:v>
                </c:pt>
                <c:pt idx="14">
                  <c:v>1.1808447352766211</c:v>
                </c:pt>
                <c:pt idx="15">
                  <c:v>1.1937622163678083</c:v>
                </c:pt>
                <c:pt idx="16">
                  <c:v>1.2090539437351762</c:v>
                </c:pt>
                <c:pt idx="17">
                  <c:v>1.2261570270882129</c:v>
                </c:pt>
                <c:pt idx="18">
                  <c:v>1.2427640514237392</c:v>
                </c:pt>
                <c:pt idx="19">
                  <c:v>1.2589158287294262</c:v>
                </c:pt>
                <c:pt idx="20">
                  <c:v>1.274647864011432</c:v>
                </c:pt>
                <c:pt idx="21">
                  <c:v>1.2899912739367105</c:v>
                </c:pt>
                <c:pt idx="22">
                  <c:v>1.3049735106052083</c:v>
                </c:pt>
                <c:pt idx="23">
                  <c:v>1.3196189387132695</c:v>
                </c:pt>
                <c:pt idx="24">
                  <c:v>1.3339493008495937</c:v>
                </c:pt>
                <c:pt idx="25">
                  <c:v>1.3479840963356369</c:v>
                </c:pt>
                <c:pt idx="26">
                  <c:v>1.361740892469506</c:v>
                </c:pt>
                <c:pt idx="27">
                  <c:v>1.3752355823552196</c:v>
                </c:pt>
                <c:pt idx="28">
                  <c:v>1.3884826001114785</c:v>
                </c:pt>
                <c:pt idx="29">
                  <c:v>1.4014951017671606</c:v>
                </c:pt>
                <c:pt idx="30">
                  <c:v>1.414285118302407</c:v>
                </c:pt>
                <c:pt idx="31">
                  <c:v>1.4268636859047152</c:v>
                </c:pt>
                <c:pt idx="32">
                  <c:v>1.4392409574538745</c:v>
                </c:pt>
                <c:pt idx="33">
                  <c:v>1.4514262984397683</c:v>
                </c:pt>
                <c:pt idx="34">
                  <c:v>1.4634283698901367</c:v>
                </c:pt>
                <c:pt idx="35">
                  <c:v>1.4752552003958637</c:v>
                </c:pt>
                <c:pt idx="36">
                  <c:v>1.4869142489360978</c:v>
                </c:pt>
                <c:pt idx="37">
                  <c:v>1.4984124599000297</c:v>
                </c:pt>
                <c:pt idx="38">
                  <c:v>1.5097563114582302</c:v>
                </c:pt>
                <c:pt idx="39">
                  <c:v>1.5209518582403947</c:v>
                </c:pt>
                <c:pt idx="40">
                  <c:v>1.5320047691177749</c:v>
                </c:pt>
                <c:pt idx="41">
                  <c:v>1.5429203607595876</c:v>
                </c:pt>
                <c:pt idx="42">
                  <c:v>1.5537036275271539</c:v>
                </c:pt>
                <c:pt idx="43">
                  <c:v>1.5643592681827503</c:v>
                </c:pt>
                <c:pt idx="44">
                  <c:v>1.574891709818427</c:v>
                </c:pt>
                <c:pt idx="45">
                  <c:v>1.5853051293504814</c:v>
                </c:pt>
                <c:pt idx="46">
                  <c:v>1.5956034728756072</c:v>
                </c:pt>
                <c:pt idx="47">
                  <c:v>1.605790473143101</c:v>
                </c:pt>
                <c:pt idx="48">
                  <c:v>1.6158696653625149</c:v>
                </c:pt>
                <c:pt idx="49">
                  <c:v>1.6258444015365585</c:v>
                </c:pt>
                <c:pt idx="50">
                  <c:v>1.6357178634840097</c:v>
                </c:pt>
                <c:pt idx="51">
                  <c:v>1.6454930746960601</c:v>
                </c:pt>
                <c:pt idx="52">
                  <c:v>1.6551729111513291</c:v>
                </c:pt>
                <c:pt idx="53">
                  <c:v>1.664760111199199</c:v>
                </c:pt>
                <c:pt idx="54">
                  <c:v>1.6742572846077242</c:v>
                </c:pt>
                <c:pt idx="55">
                  <c:v>1.6836669208608399</c:v>
                </c:pt>
                <c:pt idx="56">
                  <c:v>1.6929913967796231</c:v>
                </c:pt>
                <c:pt idx="57">
                  <c:v>1.7022329835337118</c:v>
                </c:pt>
                <c:pt idx="58">
                  <c:v>1.7113938531014909</c:v>
                </c:pt>
                <c:pt idx="59">
                  <c:v>1.7204760842310991</c:v>
                </c:pt>
                <c:pt idx="60">
                  <c:v>1.7294816679486122</c:v>
                </c:pt>
                <c:pt idx="61">
                  <c:v>1.7384125126547438</c:v>
                </c:pt>
                <c:pt idx="62">
                  <c:v>1.7472704488470234</c:v>
                </c:pt>
                <c:pt idx="63">
                  <c:v>1.7560572335005511</c:v>
                </c:pt>
                <c:pt idx="64">
                  <c:v>1.764774554137019</c:v>
                </c:pt>
                <c:pt idx="65">
                  <c:v>1.7734240326086979</c:v>
                </c:pt>
                <c:pt idx="66">
                  <c:v>1.7820072286214108</c:v>
                </c:pt>
                <c:pt idx="67">
                  <c:v>1.7905256430181771</c:v>
                </c:pt>
                <c:pt idx="68">
                  <c:v>1.7989807208430926</c:v>
                </c:pt>
                <c:pt idx="69">
                  <c:v>1.8073738542031701</c:v>
                </c:pt>
                <c:pt idx="70">
                  <c:v>1.8157063849441797</c:v>
                </c:pt>
                <c:pt idx="71">
                  <c:v>1.8239796071550622</c:v>
                </c:pt>
                <c:pt idx="72">
                  <c:v>1.8321947695141452</c:v>
                </c:pt>
                <c:pt idx="73">
                  <c:v>1.8403530774892061</c:v>
                </c:pt>
                <c:pt idx="74">
                  <c:v>1.8484556954023645</c:v>
                </c:pt>
                <c:pt idx="75">
                  <c:v>1.8565037483698101</c:v>
                </c:pt>
                <c:pt idx="76">
                  <c:v>1.8644983241255191</c:v>
                </c:pt>
                <c:pt idx="77">
                  <c:v>1.8724404747373293</c:v>
                </c:pt>
                <c:pt idx="78">
                  <c:v>1.8803312182230383</c:v>
                </c:pt>
                <c:pt idx="79">
                  <c:v>1.8881715400735513</c:v>
                </c:pt>
                <c:pt idx="80">
                  <c:v>1.895962394689531</c:v>
                </c:pt>
                <c:pt idx="81">
                  <c:v>1.9037047067374799</c:v>
                </c:pt>
                <c:pt idx="82">
                  <c:v>1.9113993724307086</c:v>
                </c:pt>
                <c:pt idx="83">
                  <c:v>1.9190472607402123</c:v>
                </c:pt>
                <c:pt idx="84">
                  <c:v>1.9266492145400878</c:v>
                </c:pt>
                <c:pt idx="85">
                  <c:v>1.9342060516917658</c:v>
                </c:pt>
                <c:pt idx="86">
                  <c:v>1.9417185660710066</c:v>
                </c:pt>
                <c:pt idx="87">
                  <c:v>1.9491875285413032</c:v>
                </c:pt>
                <c:pt idx="88">
                  <c:v>1.9566136878770835</c:v>
                </c:pt>
                <c:pt idx="89">
                  <c:v>1.9639977716398245</c:v>
                </c:pt>
                <c:pt idx="90">
                  <c:v>1.971340487009996</c:v>
                </c:pt>
                <c:pt idx="91">
                  <c:v>1.9786425215775123</c:v>
                </c:pt>
                <c:pt idx="92">
                  <c:v>1.9859045440932055</c:v>
                </c:pt>
                <c:pt idx="93">
                  <c:v>1.9931272051836342</c:v>
                </c:pt>
                <c:pt idx="94">
                  <c:v>2.0003111380313943</c:v>
                </c:pt>
                <c:pt idx="95">
                  <c:v>2.0074569590229503</c:v>
                </c:pt>
                <c:pt idx="96">
                  <c:v>2.0145652683658541</c:v>
                </c:pt>
                <c:pt idx="97">
                  <c:v>2.0216366506771042</c:v>
                </c:pt>
                <c:pt idx="98">
                  <c:v>2.0286716755442802</c:v>
                </c:pt>
                <c:pt idx="99">
                  <c:v>2.0356708980609737</c:v>
                </c:pt>
                <c:pt idx="100">
                  <c:v>2.0426348593379409</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Single'!$CD$5:$CD$105</c:f>
              <c:numCache>
                <c:formatCode>0.00</c:formatCode>
                <c:ptCount val="101"/>
                <c:pt idx="0">
                  <c:v>4.4857987549690894E-6</c:v>
                </c:pt>
                <c:pt idx="1">
                  <c:v>29.338241750828754</c:v>
                </c:pt>
                <c:pt idx="2">
                  <c:v>42.515388215831734</c:v>
                </c:pt>
                <c:pt idx="3">
                  <c:v>50.001266315057777</c:v>
                </c:pt>
                <c:pt idx="4">
                  <c:v>54.828112609537705</c:v>
                </c:pt>
                <c:pt idx="5">
                  <c:v>58.198970478309661</c:v>
                </c:pt>
                <c:pt idx="6">
                  <c:v>60.686255197511066</c:v>
                </c:pt>
                <c:pt idx="7">
                  <c:v>62.597091345636677</c:v>
                </c:pt>
                <c:pt idx="8">
                  <c:v>64.111043687924166</c:v>
                </c:pt>
                <c:pt idx="9">
                  <c:v>65.340112782852472</c:v>
                </c:pt>
                <c:pt idx="10">
                  <c:v>66.357780457266529</c:v>
                </c:pt>
                <c:pt idx="11">
                  <c:v>67.214257789421552</c:v>
                </c:pt>
                <c:pt idx="12">
                  <c:v>67.945021222772581</c:v>
                </c:pt>
                <c:pt idx="13">
                  <c:v>68.575848063755998</c:v>
                </c:pt>
                <c:pt idx="14">
                  <c:v>69.085339153097337</c:v>
                </c:pt>
                <c:pt idx="15">
                  <c:v>68.982025436215608</c:v>
                </c:pt>
                <c:pt idx="16">
                  <c:v>69.226381602872749</c:v>
                </c:pt>
                <c:pt idx="17">
                  <c:v>69.753159368677231</c:v>
                </c:pt>
                <c:pt idx="18">
                  <c:v>70.231462678173486</c:v>
                </c:pt>
                <c:pt idx="19">
                  <c:v>70.667933885201279</c:v>
                </c:pt>
                <c:pt idx="20">
                  <c:v>71.068039947542502</c:v>
                </c:pt>
                <c:pt idx="21">
                  <c:v>71.436323034791883</c:v>
                </c:pt>
                <c:pt idx="22">
                  <c:v>71.776589392582295</c:v>
                </c:pt>
                <c:pt idx="23">
                  <c:v>72.092053557059359</c:v>
                </c:pt>
                <c:pt idx="24">
                  <c:v>72.385449800437826</c:v>
                </c:pt>
                <c:pt idx="25">
                  <c:v>72.659119200855926</c:v>
                </c:pt>
                <c:pt idx="26">
                  <c:v>72.915078354803526</c:v>
                </c:pt>
                <c:pt idx="27">
                  <c:v>73.155074106760452</c:v>
                </c:pt>
                <c:pt idx="28">
                  <c:v>73.380627516123056</c:v>
                </c:pt>
                <c:pt idx="29">
                  <c:v>73.593069459306776</c:v>
                </c:pt>
                <c:pt idx="30">
                  <c:v>73.793569671947964</c:v>
                </c:pt>
                <c:pt idx="31">
                  <c:v>73.983160603430306</c:v>
                </c:pt>
                <c:pt idx="32">
                  <c:v>74.162757136746635</c:v>
                </c:pt>
                <c:pt idx="33">
                  <c:v>74.333172988800484</c:v>
                </c:pt>
                <c:pt idx="34">
                  <c:v>74.495134427249042</c:v>
                </c:pt>
                <c:pt idx="35">
                  <c:v>74.649291804099022</c:v>
                </c:pt>
                <c:pt idx="36">
                  <c:v>74.796229302238075</c:v>
                </c:pt>
                <c:pt idx="37">
                  <c:v>74.93647321081805</c:v>
                </c:pt>
                <c:pt idx="38">
                  <c:v>75.070498983011674</c:v>
                </c:pt>
                <c:pt idx="39">
                  <c:v>75.19873728082311</c:v>
                </c:pt>
                <c:pt idx="40">
                  <c:v>75.321579173144286</c:v>
                </c:pt>
                <c:pt idx="41">
                  <c:v>75.439380622730695</c:v>
                </c:pt>
                <c:pt idx="42">
                  <c:v>75.552466373424721</c:v>
                </c:pt>
                <c:pt idx="43">
                  <c:v>75.661133329424715</c:v>
                </c:pt>
                <c:pt idx="44">
                  <c:v>75.76565350264643</c:v>
                </c:pt>
                <c:pt idx="45">
                  <c:v>75.866276591453783</c:v>
                </c:pt>
                <c:pt idx="46">
                  <c:v>75.963232243633087</c:v>
                </c:pt>
                <c:pt idx="47">
                  <c:v>76.056732047970826</c:v>
                </c:pt>
                <c:pt idx="48">
                  <c:v>76.146971291795921</c:v>
                </c:pt>
                <c:pt idx="49">
                  <c:v>76.234130516067921</c:v>
                </c:pt>
                <c:pt idx="50">
                  <c:v>76.318376894802967</c:v>
                </c:pt>
                <c:pt idx="51">
                  <c:v>76.399865461642037</c:v>
                </c:pt>
                <c:pt idx="52">
                  <c:v>76.478740203035713</c:v>
                </c:pt>
                <c:pt idx="53">
                  <c:v>76.555135034728195</c:v>
                </c:pt>
                <c:pt idx="54">
                  <c:v>76.629174675873955</c:v>
                </c:pt>
                <c:pt idx="55">
                  <c:v>76.700975433138353</c:v>
                </c:pt>
                <c:pt idx="56">
                  <c:v>76.770645905454771</c:v>
                </c:pt>
                <c:pt idx="57">
                  <c:v>76.838287618684959</c:v>
                </c:pt>
                <c:pt idx="58">
                  <c:v>76.903995598214692</c:v>
                </c:pt>
                <c:pt idx="59">
                  <c:v>76.967858886479192</c:v>
                </c:pt>
                <c:pt idx="60">
                  <c:v>77.029961011523909</c:v>
                </c:pt>
                <c:pt idx="61">
                  <c:v>77.090380411942235</c:v>
                </c:pt>
                <c:pt idx="62">
                  <c:v>77.1491908228748</c:v>
                </c:pt>
                <c:pt idx="63">
                  <c:v>77.206461627186485</c:v>
                </c:pt>
                <c:pt idx="64">
                  <c:v>77.262258175446647</c:v>
                </c:pt>
                <c:pt idx="65">
                  <c:v>77.316642077911609</c:v>
                </c:pt>
                <c:pt idx="66">
                  <c:v>77.369671471337384</c:v>
                </c:pt>
                <c:pt idx="67">
                  <c:v>77.421401263129184</c:v>
                </c:pt>
                <c:pt idx="68">
                  <c:v>77.471883355050579</c:v>
                </c:pt>
                <c:pt idx="69">
                  <c:v>77.521166848470159</c:v>
                </c:pt>
                <c:pt idx="70">
                  <c:v>77.569298232906164</c:v>
                </c:pt>
                <c:pt idx="71">
                  <c:v>77.616321559440365</c:v>
                </c:pt>
                <c:pt idx="72">
                  <c:v>77.662278600404946</c:v>
                </c:pt>
                <c:pt idx="73">
                  <c:v>77.707208996599093</c:v>
                </c:pt>
                <c:pt idx="74">
                  <c:v>77.75115039316141</c:v>
                </c:pt>
                <c:pt idx="75">
                  <c:v>77.794138565109705</c:v>
                </c:pt>
                <c:pt idx="76">
                  <c:v>77.836207533457241</c:v>
                </c:pt>
                <c:pt idx="77">
                  <c:v>77.877389672724036</c:v>
                </c:pt>
                <c:pt idx="78">
                  <c:v>77.917715810581527</c:v>
                </c:pt>
                <c:pt idx="79">
                  <c:v>77.957215320296697</c:v>
                </c:pt>
                <c:pt idx="80">
                  <c:v>77.995916206578642</c:v>
                </c:pt>
                <c:pt idx="81">
                  <c:v>78.033845185372456</c:v>
                </c:pt>
                <c:pt idx="82">
                  <c:v>78.071027758094885</c:v>
                </c:pt>
                <c:pt idx="83">
                  <c:v>78.107488280760577</c:v>
                </c:pt>
                <c:pt idx="84">
                  <c:v>78.143250028405902</c:v>
                </c:pt>
                <c:pt idx="85">
                  <c:v>78.178335255181665</c:v>
                </c:pt>
                <c:pt idx="86">
                  <c:v>78.21276525045154</c:v>
                </c:pt>
                <c:pt idx="87">
                  <c:v>78.246560391204767</c:v>
                </c:pt>
                <c:pt idx="88">
                  <c:v>78.279740191063169</c:v>
                </c:pt>
                <c:pt idx="89">
                  <c:v>78.312323346139507</c:v>
                </c:pt>
                <c:pt idx="90">
                  <c:v>78.344327777981917</c:v>
                </c:pt>
                <c:pt idx="91">
                  <c:v>78.375770673818693</c:v>
                </c:pt>
                <c:pt idx="92">
                  <c:v>78.406668524300812</c:v>
                </c:pt>
                <c:pt idx="93">
                  <c:v>78.437037158922422</c:v>
                </c:pt>
                <c:pt idx="94">
                  <c:v>78.466891779285291</c:v>
                </c:pt>
                <c:pt idx="95">
                  <c:v>78.496246990359282</c:v>
                </c:pt>
                <c:pt idx="96">
                  <c:v>78.52511682987911</c:v>
                </c:pt>
                <c:pt idx="97">
                  <c:v>78.553514796006553</c:v>
                </c:pt>
                <c:pt idx="98">
                  <c:v>78.581453873376574</c:v>
                </c:pt>
                <c:pt idx="99">
                  <c:v>78.608946557637282</c:v>
                </c:pt>
                <c:pt idx="100">
                  <c:v>78.636004878584771</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68.298565977733347</c:v>
                </c:pt>
                <c:pt idx="1">
                  <c:v>71.944827377777784</c:v>
                </c:pt>
                <c:pt idx="2">
                  <c:v>75.394508088888884</c:v>
                </c:pt>
                <c:pt idx="3">
                  <c:v>78.844188799999998</c:v>
                </c:pt>
                <c:pt idx="4">
                  <c:v>82.293869511111112</c:v>
                </c:pt>
                <c:pt idx="5">
                  <c:v>85.74355022222224</c:v>
                </c:pt>
                <c:pt idx="6">
                  <c:v>89.193230933333339</c:v>
                </c:pt>
                <c:pt idx="7">
                  <c:v>92.642911644444482</c:v>
                </c:pt>
                <c:pt idx="8">
                  <c:v>96.092592355555567</c:v>
                </c:pt>
                <c:pt idx="9">
                  <c:v>99.542273066666638</c:v>
                </c:pt>
                <c:pt idx="10">
                  <c:v>102.99195377777777</c:v>
                </c:pt>
                <c:pt idx="11">
                  <c:v>106.44163448888888</c:v>
                </c:pt>
                <c:pt idx="12">
                  <c:v>109.89131520000001</c:v>
                </c:pt>
                <c:pt idx="13">
                  <c:v>113.34099591111112</c:v>
                </c:pt>
                <c:pt idx="14">
                  <c:v>117.07558389022768</c:v>
                </c:pt>
                <c:pt idx="15">
                  <c:v>124.82819653770915</c:v>
                </c:pt>
                <c:pt idx="16">
                  <c:v>132.71303073263635</c:v>
                </c:pt>
                <c:pt idx="17">
                  <c:v>140.77691336486419</c:v>
                </c:pt>
                <c:pt idx="18">
                  <c:v>148.82074124497447</c:v>
                </c:pt>
                <c:pt idx="19">
                  <c:v>156.84507986536096</c:v>
                </c:pt>
                <c:pt idx="20">
                  <c:v>164.85044940890737</c:v>
                </c:pt>
                <c:pt idx="21">
                  <c:v>172.83733049588719</c:v>
                </c:pt>
                <c:pt idx="22">
                  <c:v>180.8061689591816</c:v>
                </c:pt>
                <c:pt idx="23">
                  <c:v>188.75737984940307</c:v>
                </c:pt>
                <c:pt idx="24">
                  <c:v>196.69135082262869</c:v>
                </c:pt>
                <c:pt idx="25">
                  <c:v>204.60844502798724</c:v>
                </c:pt>
                <c:pt idx="26">
                  <c:v>212.50900358622383</c:v>
                </c:pt>
                <c:pt idx="27">
                  <c:v>220.39334773085886</c:v>
                </c:pt>
                <c:pt idx="28">
                  <c:v>228.26178066880064</c:v>
                </c:pt>
                <c:pt idx="29">
                  <c:v>236.1145892059798</c:v>
                </c:pt>
                <c:pt idx="30">
                  <c:v>243.95204517484015</c:v>
                </c:pt>
                <c:pt idx="31">
                  <c:v>251.77440669369994</c:v>
                </c:pt>
                <c:pt idx="32">
                  <c:v>259.58191928262028</c:v>
                </c:pt>
                <c:pt idx="33">
                  <c:v>267.37481685614176</c:v>
                </c:pt>
                <c:pt idx="34">
                  <c:v>275.15332260983058</c:v>
                </c:pt>
                <c:pt idx="35">
                  <c:v>282.91764981480463</c:v>
                </c:pt>
                <c:pt idx="36">
                  <c:v>290.66800253217139</c:v>
                </c:pt>
                <c:pt idx="37">
                  <c:v>298.40457625746575</c:v>
                </c:pt>
                <c:pt idx="38">
                  <c:v>306.12755850366813</c:v>
                </c:pt>
                <c:pt idx="39">
                  <c:v>313.83712933013089</c:v>
                </c:pt>
                <c:pt idx="40">
                  <c:v>321.53346182369921</c:v>
                </c:pt>
                <c:pt idx="41">
                  <c:v>329.21672253744276</c:v>
                </c:pt>
                <c:pt idx="42">
                  <c:v>336.88707189168264</c:v>
                </c:pt>
                <c:pt idx="43">
                  <c:v>344.5446645413806</c:v>
                </c:pt>
                <c:pt idx="44">
                  <c:v>352.18964971343257</c:v>
                </c:pt>
                <c:pt idx="45">
                  <c:v>359.82217151696699</c:v>
                </c:pt>
                <c:pt idx="46">
                  <c:v>367.44236922935954</c:v>
                </c:pt>
                <c:pt idx="47">
                  <c:v>375.05037756035858</c:v>
                </c:pt>
                <c:pt idx="48">
                  <c:v>382.6463268964273</c:v>
                </c:pt>
                <c:pt idx="49">
                  <c:v>390.23034352716724</c:v>
                </c:pt>
                <c:pt idx="50">
                  <c:v>397.80254985548152</c:v>
                </c:pt>
                <c:pt idx="51">
                  <c:v>405.36306459294372</c:v>
                </c:pt>
                <c:pt idx="52">
                  <c:v>412.91200294169079</c:v>
                </c:pt>
                <c:pt idx="53">
                  <c:v>420.44947676400784</c:v>
                </c:pt>
                <c:pt idx="54">
                  <c:v>427.97559474065747</c:v>
                </c:pt>
                <c:pt idx="55">
                  <c:v>435.49046251889661</c:v>
                </c:pt>
                <c:pt idx="56">
                  <c:v>442.99418285102587</c:v>
                </c:pt>
                <c:pt idx="57">
                  <c:v>450.48685572424057</c:v>
                </c:pt>
                <c:pt idx="58">
                  <c:v>457.96857848246901</c:v>
                </c:pt>
                <c:pt idx="59">
                  <c:v>465.43944594082632</c:v>
                </c:pt>
                <c:pt idx="60">
                  <c:v>472.89955049324493</c:v>
                </c:pt>
                <c:pt idx="61">
                  <c:v>480.34898221380223</c:v>
                </c:pt>
                <c:pt idx="62">
                  <c:v>487.78782895220627</c:v>
                </c:pt>
                <c:pt idx="63">
                  <c:v>495.21617642386866</c:v>
                </c:pt>
                <c:pt idx="64">
                  <c:v>502.63410829495325</c:v>
                </c:pt>
                <c:pt idx="65">
                  <c:v>510.04170626275157</c:v>
                </c:pt>
                <c:pt idx="66">
                  <c:v>517.43905013171752</c:v>
                </c:pt>
                <c:pt idx="67">
                  <c:v>524.82621788544793</c:v>
                </c:pt>
                <c:pt idx="68">
                  <c:v>532.20328575489248</c:v>
                </c:pt>
                <c:pt idx="69">
                  <c:v>539.57032828303682</c:v>
                </c:pt>
                <c:pt idx="70">
                  <c:v>546.92741838629308</c:v>
                </c:pt>
                <c:pt idx="71">
                  <c:v>554.27462741280885</c:v>
                </c:pt>
                <c:pt idx="72">
                  <c:v>561.61202519789094</c:v>
                </c:pt>
                <c:pt idx="73">
                  <c:v>568.9396801167253</c:v>
                </c:pt>
                <c:pt idx="74">
                  <c:v>576.25765913455939</c:v>
                </c:pt>
                <c:pt idx="75">
                  <c:v>583.56602785450502</c:v>
                </c:pt>
                <c:pt idx="76">
                  <c:v>590.8648505630988</c:v>
                </c:pt>
                <c:pt idx="77">
                  <c:v>598.15419027375981</c:v>
                </c:pt>
                <c:pt idx="78">
                  <c:v>605.43410876826533</c:v>
                </c:pt>
                <c:pt idx="79">
                  <c:v>612.70466663635636</c:v>
                </c:pt>
                <c:pt idx="80">
                  <c:v>619.9659233135867</c:v>
                </c:pt>
                <c:pt idx="81">
                  <c:v>627.21793711750718</c:v>
                </c:pt>
                <c:pt idx="82">
                  <c:v>634.46076528228286</c:v>
                </c:pt>
                <c:pt idx="83">
                  <c:v>641.69446399182902</c:v>
                </c:pt>
                <c:pt idx="84">
                  <c:v>648.91908841154191</c:v>
                </c:pt>
                <c:pt idx="85">
                  <c:v>656.13469271870747</c:v>
                </c:pt>
                <c:pt idx="86">
                  <c:v>663.3413301316516</c:v>
                </c:pt>
                <c:pt idx="87">
                  <c:v>670.53905293770049</c:v>
                </c:pt>
                <c:pt idx="88">
                  <c:v>677.72791252001343</c:v>
                </c:pt>
                <c:pt idx="89">
                  <c:v>684.90795938334588</c:v>
                </c:pt>
                <c:pt idx="90">
                  <c:v>692.0792431787944</c:v>
                </c:pt>
                <c:pt idx="91">
                  <c:v>699.24181272757789</c:v>
                </c:pt>
                <c:pt idx="92">
                  <c:v>706.39571604390164</c:v>
                </c:pt>
                <c:pt idx="93">
                  <c:v>713.54100035694898</c:v>
                </c:pt>
                <c:pt idx="94">
                  <c:v>720.67771213204173</c:v>
                </c:pt>
                <c:pt idx="95">
                  <c:v>727.80589709101253</c:v>
                </c:pt>
                <c:pt idx="96">
                  <c:v>734.92560023182318</c:v>
                </c:pt>
                <c:pt idx="97">
                  <c:v>742.03686584746572</c:v>
                </c:pt>
                <c:pt idx="98">
                  <c:v>749.13973754418168</c:v>
                </c:pt>
                <c:pt idx="99">
                  <c:v>756.23425825902518</c:v>
                </c:pt>
                <c:pt idx="100">
                  <c:v>763.32047027680767</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12.586853585506015</c:v>
                </c:pt>
                <c:pt idx="1">
                  <c:v>17.559985295118391</c:v>
                </c:pt>
                <c:pt idx="2">
                  <c:v>28.160491987394973</c:v>
                </c:pt>
                <c:pt idx="3">
                  <c:v>38.76152011530079</c:v>
                </c:pt>
                <c:pt idx="4">
                  <c:v>49.363069717310701</c:v>
                </c:pt>
                <c:pt idx="5">
                  <c:v>59.965140831903291</c:v>
                </c:pt>
                <c:pt idx="6">
                  <c:v>70.567733497560965</c:v>
                </c:pt>
                <c:pt idx="7">
                  <c:v>81.170847752769944</c:v>
                </c:pt>
                <c:pt idx="8">
                  <c:v>91.77448363602015</c:v>
                </c:pt>
                <c:pt idx="9">
                  <c:v>102.37864118580541</c:v>
                </c:pt>
                <c:pt idx="10">
                  <c:v>112.98332044062319</c:v>
                </c:pt>
                <c:pt idx="11">
                  <c:v>123.58852143897491</c:v>
                </c:pt>
                <c:pt idx="12">
                  <c:v>134.19424421936566</c:v>
                </c:pt>
                <c:pt idx="13">
                  <c:v>144.80048882030437</c:v>
                </c:pt>
                <c:pt idx="14">
                  <c:v>155.52794705126183</c:v>
                </c:pt>
                <c:pt idx="15">
                  <c:v>168.09483042840466</c:v>
                </c:pt>
                <c:pt idx="16">
                  <c:v>175.25017272680913</c:v>
                </c:pt>
                <c:pt idx="17">
                  <c:v>177.17265363208924</c:v>
                </c:pt>
                <c:pt idx="18">
                  <c:v>179.05616936815645</c:v>
                </c:pt>
                <c:pt idx="19">
                  <c:v>180.90439827448998</c:v>
                </c:pt>
                <c:pt idx="20">
                  <c:v>182.72052889427414</c:v>
                </c:pt>
                <c:pt idx="21">
                  <c:v>184.50734563173194</c:v>
                </c:pt>
                <c:pt idx="22">
                  <c:v>186.26729613607847</c:v>
                </c:pt>
                <c:pt idx="23">
                  <c:v>188.00254495392494</c:v>
                </c:pt>
                <c:pt idx="24">
                  <c:v>189.7150167164499</c:v>
                </c:pt>
                <c:pt idx="25">
                  <c:v>191.40643124820954</c:v>
                </c:pt>
                <c:pt idx="26">
                  <c:v>193.07833236724971</c:v>
                </c:pt>
                <c:pt idx="27">
                  <c:v>194.73211170601081</c:v>
                </c:pt>
                <c:pt idx="28">
                  <c:v>196.36902856394971</c:v>
                </c:pt>
                <c:pt idx="29">
                  <c:v>197.99022656913701</c:v>
                </c:pt>
                <c:pt idx="30">
                  <c:v>199.59674775256372</c:v>
                </c:pt>
                <c:pt idx="31">
                  <c:v>201.18954450855495</c:v>
                </c:pt>
                <c:pt idx="32">
                  <c:v>202.76948981575126</c:v>
                </c:pt>
                <c:pt idx="33">
                  <c:v>204.33738601727907</c:v>
                </c:pt>
                <c:pt idx="34">
                  <c:v>205.89397240006718</c:v>
                </c:pt>
                <c:pt idx="35">
                  <c:v>207.43993176749672</c:v>
                </c:pt>
                <c:pt idx="36">
                  <c:v>208.97589616358155</c:v>
                </c:pt>
                <c:pt idx="37">
                  <c:v>210.50245187835898</c:v>
                </c:pt>
                <c:pt idx="38">
                  <c:v>212.02014384142427</c:v>
                </c:pt>
                <c:pt idx="39">
                  <c:v>213.52947949226822</c:v>
                </c:pt>
                <c:pt idx="40">
                  <c:v>215.03093220131382</c:v>
                </c:pt>
                <c:pt idx="41">
                  <c:v>216.52494430354801</c:v>
                </c:pt>
                <c:pt idx="42">
                  <c:v>218.01192979683191</c:v>
                </c:pt>
                <c:pt idx="43">
                  <c:v>219.49227674891389</c:v>
                </c:pt>
                <c:pt idx="44">
                  <c:v>220.96634945051332</c:v>
                </c:pt>
                <c:pt idx="45">
                  <c:v>222.43449034631919</c:v>
                </c:pt>
                <c:pt idx="46">
                  <c:v>223.89702177114432</c:v>
                </c:pt>
                <c:pt idx="47">
                  <c:v>225.35424751462381</c:v>
                </c:pt>
                <c:pt idx="48">
                  <c:v>226.80645423460601</c:v>
                </c:pt>
                <c:pt idx="49">
                  <c:v>228.25391273665312</c:v>
                </c:pt>
                <c:pt idx="50">
                  <c:v>229.69687913475335</c:v>
                </c:pt>
                <c:pt idx="51">
                  <c:v>231.13559590637891</c:v>
                </c:pt>
                <c:pt idx="52">
                  <c:v>232.57029285334775</c:v>
                </c:pt>
                <c:pt idx="53">
                  <c:v>234.00118797850959</c:v>
                </c:pt>
                <c:pt idx="54">
                  <c:v>235.42848828704538</c:v>
                </c:pt>
                <c:pt idx="55">
                  <c:v>236.85239052010829</c:v>
                </c:pt>
                <c:pt idx="56">
                  <c:v>238.2730818276174</c:v>
                </c:pt>
                <c:pt idx="57">
                  <c:v>239.69074038622333</c:v>
                </c:pt>
                <c:pt idx="58">
                  <c:v>241.10553596777365</c:v>
                </c:pt>
                <c:pt idx="59">
                  <c:v>242.51763046301059</c:v>
                </c:pt>
                <c:pt idx="60">
                  <c:v>243.92717836470459</c:v>
                </c:pt>
                <c:pt idx="61">
                  <c:v>245.33432721397585</c:v>
                </c:pt>
                <c:pt idx="62">
                  <c:v>246.73921801314933</c:v>
                </c:pt>
                <c:pt idx="63">
                  <c:v>248.14198560813932</c:v>
                </c:pt>
                <c:pt idx="64">
                  <c:v>249.54275904304814</c:v>
                </c:pt>
                <c:pt idx="65">
                  <c:v>250.94166188938877</c:v>
                </c:pt>
                <c:pt idx="66">
                  <c:v>252.33881255210056</c:v>
                </c:pt>
                <c:pt idx="67">
                  <c:v>253.73432455431043</c:v>
                </c:pt>
                <c:pt idx="68">
                  <c:v>255.12830680260345</c:v>
                </c:pt>
                <c:pt idx="69">
                  <c:v>256.52086383439416</c:v>
                </c:pt>
                <c:pt idx="70">
                  <c:v>257.91209604884386</c:v>
                </c:pt>
                <c:pt idx="71">
                  <c:v>259.30209992262843</c:v>
                </c:pt>
                <c:pt idx="72">
                  <c:v>260.69096821174486</c:v>
                </c:pt>
                <c:pt idx="73">
                  <c:v>262.07879014043664</c:v>
                </c:pt>
                <c:pt idx="74">
                  <c:v>263.4656515782176</c:v>
                </c:pt>
                <c:pt idx="75">
                  <c:v>264.85163520589305</c:v>
                </c:pt>
                <c:pt idx="76">
                  <c:v>266.23682067139214</c:v>
                </c:pt>
                <c:pt idx="77">
                  <c:v>267.62128473616013</c:v>
                </c:pt>
                <c:pt idx="78">
                  <c:v>269.00510141279455</c:v>
                </c:pt>
                <c:pt idx="79">
                  <c:v>270.38834209454774</c:v>
                </c:pt>
                <c:pt idx="80">
                  <c:v>271.77107567727461</c:v>
                </c:pt>
                <c:pt idx="81">
                  <c:v>273.15336867434695</c:v>
                </c:pt>
                <c:pt idx="82">
                  <c:v>274.53528532502423</c:v>
                </c:pt>
                <c:pt idx="83">
                  <c:v>275.91688769672169</c:v>
                </c:pt>
                <c:pt idx="84">
                  <c:v>277.29823578158857</c:v>
                </c:pt>
                <c:pt idx="85">
                  <c:v>278.67938758777444</c:v>
                </c:pt>
                <c:pt idx="86">
                  <c:v>280.06039922573206</c:v>
                </c:pt>
                <c:pt idx="87">
                  <c:v>281.44132498987943</c:v>
                </c:pt>
                <c:pt idx="88">
                  <c:v>282.82221743591987</c:v>
                </c:pt>
                <c:pt idx="89">
                  <c:v>284.2031274540945</c:v>
                </c:pt>
                <c:pt idx="90">
                  <c:v>285.58410433862429</c:v>
                </c:pt>
                <c:pt idx="91">
                  <c:v>286.96519585357714</c:v>
                </c:pt>
                <c:pt idx="92">
                  <c:v>288.34644829538087</c:v>
                </c:pt>
                <c:pt idx="93">
                  <c:v>289.72790655218506</c:v>
                </c:pt>
                <c:pt idx="94">
                  <c:v>291.10961416026271</c:v>
                </c:pt>
                <c:pt idx="95">
                  <c:v>292.49161335762665</c:v>
                </c:pt>
                <c:pt idx="96">
                  <c:v>293.87394513502625</c:v>
                </c:pt>
                <c:pt idx="97">
                  <c:v>295.25664928447594</c:v>
                </c:pt>
                <c:pt idx="98">
                  <c:v>296.63976444546</c:v>
                </c:pt>
                <c:pt idx="99">
                  <c:v>298.02332814894424</c:v>
                </c:pt>
                <c:pt idx="100">
                  <c:v>299.40737685932038</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30.577444662922655</c:v>
                </c:pt>
                <c:pt idx="1">
                  <c:v>30.921214982928138</c:v>
                </c:pt>
                <c:pt idx="2">
                  <c:v>31.653954131882927</c:v>
                </c:pt>
                <c:pt idx="3">
                  <c:v>32.386693386774141</c:v>
                </c:pt>
                <c:pt idx="4">
                  <c:v>33.119432747601174</c:v>
                </c:pt>
                <c:pt idx="5">
                  <c:v>33.852172214363378</c:v>
                </c:pt>
                <c:pt idx="6">
                  <c:v>34.584911787060179</c:v>
                </c:pt>
                <c:pt idx="7">
                  <c:v>35.317651465690915</c:v>
                </c:pt>
                <c:pt idx="8">
                  <c:v>36.050391250254982</c:v>
                </c:pt>
                <c:pt idx="9">
                  <c:v>36.783131140751777</c:v>
                </c:pt>
                <c:pt idx="10">
                  <c:v>37.515871137180667</c:v>
                </c:pt>
                <c:pt idx="11">
                  <c:v>38.248611239541049</c:v>
                </c:pt>
                <c:pt idx="12">
                  <c:v>38.981351447832303</c:v>
                </c:pt>
                <c:pt idx="13">
                  <c:v>39.714091762053805</c:v>
                </c:pt>
                <c:pt idx="14">
                  <c:v>40.636048658398011</c:v>
                </c:pt>
                <c:pt idx="15">
                  <c:v>44.316721732609579</c:v>
                </c:pt>
                <c:pt idx="16">
                  <c:v>47.665592205936498</c:v>
                </c:pt>
                <c:pt idx="17">
                  <c:v>50.633229385591264</c:v>
                </c:pt>
                <c:pt idx="18">
                  <c:v>53.600031030719641</c:v>
                </c:pt>
                <c:pt idx="19">
                  <c:v>56.566037781779158</c:v>
                </c:pt>
                <c:pt idx="20">
                  <c:v>59.531286988123234</c:v>
                </c:pt>
                <c:pt idx="21">
                  <c:v>62.495813126866786</c:v>
                </c:pt>
                <c:pt idx="22">
                  <c:v>65.459648150824009</c:v>
                </c:pt>
                <c:pt idx="23">
                  <c:v>68.422821780245357</c:v>
                </c:pt>
                <c:pt idx="24">
                  <c:v>71.385361749507993</c:v>
                </c:pt>
                <c:pt idx="25">
                  <c:v>74.347294017322241</c:v>
                </c:pt>
                <c:pt idx="26">
                  <c:v>77.308642947107501</c:v>
                </c:pt>
                <c:pt idx="27">
                  <c:v>80.269431462766576</c:v>
                </c:pt>
                <c:pt idx="28">
                  <c:v>83.229681184008072</c:v>
                </c:pt>
                <c:pt idx="29">
                  <c:v>86.189412544543259</c:v>
                </c:pt>
                <c:pt idx="30">
                  <c:v>89.148644895844654</c:v>
                </c:pt>
                <c:pt idx="31">
                  <c:v>92.10739659865618</c:v>
                </c:pt>
                <c:pt idx="32">
                  <c:v>95.065685104052079</c:v>
                </c:pt>
                <c:pt idx="33">
                  <c:v>98.023527025529489</c:v>
                </c:pt>
                <c:pt idx="34">
                  <c:v>100.9809382033698</c:v>
                </c:pt>
                <c:pt idx="35">
                  <c:v>103.93793376230235</c:v>
                </c:pt>
                <c:pt idx="36">
                  <c:v>106.89452816334</c:v>
                </c:pt>
                <c:pt idx="37">
                  <c:v>109.85073525052148</c:v>
                </c:pt>
                <c:pt idx="38">
                  <c:v>112.80656829318642</c:v>
                </c:pt>
                <c:pt idx="39">
                  <c:v>115.76204002431641</c:v>
                </c:pt>
                <c:pt idx="40">
                  <c:v>118.71716267540033</c:v>
                </c:pt>
                <c:pt idx="41">
                  <c:v>121.67194800821838</c:v>
                </c:pt>
                <c:pt idx="42">
                  <c:v>124.62640734388553</c:v>
                </c:pt>
                <c:pt idx="43">
                  <c:v>127.58055158945118</c:v>
                </c:pt>
                <c:pt idx="44">
                  <c:v>130.53439126231217</c:v>
                </c:pt>
                <c:pt idx="45">
                  <c:v>133.48793651266587</c:v>
                </c:pt>
                <c:pt idx="46">
                  <c:v>136.44119714419875</c:v>
                </c:pt>
                <c:pt idx="47">
                  <c:v>139.39418263318714</c:v>
                </c:pt>
                <c:pt idx="48">
                  <c:v>142.34690214616117</c:v>
                </c:pt>
                <c:pt idx="49">
                  <c:v>145.29936455626853</c:v>
                </c:pt>
                <c:pt idx="50">
                  <c:v>148.25157845845939</c:v>
                </c:pt>
                <c:pt idx="51">
                  <c:v>151.20355218359683</c:v>
                </c:pt>
                <c:pt idx="52">
                  <c:v>154.15529381159121</c:v>
                </c:pt>
                <c:pt idx="53">
                  <c:v>157.10681118364144</c:v>
                </c:pt>
                <c:pt idx="54">
                  <c:v>160.05811191366067</c:v>
                </c:pt>
                <c:pt idx="55">
                  <c:v>163.00920339895484</c:v>
                </c:pt>
                <c:pt idx="56">
                  <c:v>165.96009283021431</c:v>
                </c:pt>
                <c:pt idx="57">
                  <c:v>168.91078720087665</c:v>
                </c:pt>
                <c:pt idx="58">
                  <c:v>171.86129331590814</c:v>
                </c:pt>
                <c:pt idx="59">
                  <c:v>174.81161780005124</c:v>
                </c:pt>
                <c:pt idx="60">
                  <c:v>177.76176710557718</c:v>
                </c:pt>
                <c:pt idx="61">
                  <c:v>180.71174751958358</c:v>
                </c:pt>
                <c:pt idx="62">
                  <c:v>183.66156517086839</c:v>
                </c:pt>
                <c:pt idx="63">
                  <c:v>186.6112260364124</c:v>
                </c:pt>
                <c:pt idx="64">
                  <c:v>189.56073594749884</c:v>
                </c:pt>
                <c:pt idx="65">
                  <c:v>192.51010059549424</c:v>
                </c:pt>
                <c:pt idx="66">
                  <c:v>195.45932553731629</c:v>
                </c:pt>
                <c:pt idx="67">
                  <c:v>198.40841620060795</c:v>
                </c:pt>
                <c:pt idx="68">
                  <c:v>201.35737788863938</c:v>
                </c:pt>
                <c:pt idx="69">
                  <c:v>204.30621578495516</c:v>
                </c:pt>
                <c:pt idx="70">
                  <c:v>207.25493495778323</c:v>
                </c:pt>
                <c:pt idx="71">
                  <c:v>210.20354036422208</c:v>
                </c:pt>
                <c:pt idx="72">
                  <c:v>213.15203685421827</c:v>
                </c:pt>
                <c:pt idx="73">
                  <c:v>216.10042917435018</c:v>
                </c:pt>
                <c:pt idx="74">
                  <c:v>219.04872197142797</c:v>
                </c:pt>
                <c:pt idx="75">
                  <c:v>221.99691979592151</c:v>
                </c:pt>
                <c:pt idx="76">
                  <c:v>224.94502710522707</c:v>
                </c:pt>
                <c:pt idx="77">
                  <c:v>227.89304826678213</c:v>
                </c:pt>
                <c:pt idx="78">
                  <c:v>230.84098756103742</c:v>
                </c:pt>
                <c:pt idx="79">
                  <c:v>233.78884918429355</c:v>
                </c:pt>
                <c:pt idx="80">
                  <c:v>236.73663725141185</c:v>
                </c:pt>
                <c:pt idx="81">
                  <c:v>239.68435579840482</c:v>
                </c:pt>
                <c:pt idx="82">
                  <c:v>242.63200878491327</c:v>
                </c:pt>
                <c:pt idx="83">
                  <c:v>245.57960009657768</c:v>
                </c:pt>
                <c:pt idx="84">
                  <c:v>248.52713354730759</c:v>
                </c:pt>
                <c:pt idx="85">
                  <c:v>251.47461288145584</c:v>
                </c:pt>
                <c:pt idx="86">
                  <c:v>254.42204177590298</c:v>
                </c:pt>
                <c:pt idx="87">
                  <c:v>257.36942384205503</c:v>
                </c:pt>
                <c:pt idx="88">
                  <c:v>260.31676262776011</c:v>
                </c:pt>
                <c:pt idx="89">
                  <c:v>263.2640616191502</c:v>
                </c:pt>
                <c:pt idx="90">
                  <c:v>266.21132424240579</c:v>
                </c:pt>
                <c:pt idx="91">
                  <c:v>269.15855386545508</c:v>
                </c:pt>
                <c:pt idx="92">
                  <c:v>272.10575379960466</c:v>
                </c:pt>
                <c:pt idx="93">
                  <c:v>275.05292730110949</c:v>
                </c:pt>
                <c:pt idx="94">
                  <c:v>278.0000775726806</c:v>
                </c:pt>
                <c:pt idx="95">
                  <c:v>280.94720776493892</c:v>
                </c:pt>
                <c:pt idx="96">
                  <c:v>283.89432097781287</c:v>
                </c:pt>
                <c:pt idx="97">
                  <c:v>286.84142026188562</c:v>
                </c:pt>
                <c:pt idx="98">
                  <c:v>289.788508619693</c:v>
                </c:pt>
                <c:pt idx="99">
                  <c:v>292.73558900697373</c:v>
                </c:pt>
                <c:pt idx="100">
                  <c:v>295.68266433387669</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0.83358091560276437</c:v>
                </c:pt>
                <c:pt idx="17">
                  <c:v>0.85923554063231955</c:v>
                </c:pt>
                <c:pt idx="18">
                  <c:v>0.88414607713560878</c:v>
                </c:pt>
                <c:pt idx="19">
                  <c:v>0.90837374309413921</c:v>
                </c:pt>
                <c:pt idx="20">
                  <c:v>0.93197179601714808</c:v>
                </c:pt>
                <c:pt idx="21">
                  <c:v>0.95498691090506582</c:v>
                </c:pt>
                <c:pt idx="22">
                  <c:v>0.97746026590781254</c:v>
                </c:pt>
                <c:pt idx="23">
                  <c:v>0.99942840806990418</c:v>
                </c:pt>
                <c:pt idx="24">
                  <c:v>1.0209239512743906</c:v>
                </c:pt>
                <c:pt idx="25">
                  <c:v>1.0419761445034554</c:v>
                </c:pt>
                <c:pt idx="26">
                  <c:v>1.0626113387042591</c:v>
                </c:pt>
                <c:pt idx="27">
                  <c:v>1.0828533735328292</c:v>
                </c:pt>
                <c:pt idx="28">
                  <c:v>1.1027239001672178</c:v>
                </c:pt>
                <c:pt idx="29">
                  <c:v>1.122242652650741</c:v>
                </c:pt>
                <c:pt idx="30">
                  <c:v>1.1414276774536103</c:v>
                </c:pt>
                <c:pt idx="31">
                  <c:v>1.1602955288570729</c:v>
                </c:pt>
                <c:pt idx="32">
                  <c:v>1.1788614361808116</c:v>
                </c:pt>
                <c:pt idx="33">
                  <c:v>1.1971394476596524</c:v>
                </c:pt>
                <c:pt idx="34">
                  <c:v>1.2151425548352048</c:v>
                </c:pt>
                <c:pt idx="35">
                  <c:v>1.2328828005937953</c:v>
                </c:pt>
                <c:pt idx="36">
                  <c:v>1.2503713734041466</c:v>
                </c:pt>
                <c:pt idx="37">
                  <c:v>1.2676186898500443</c:v>
                </c:pt>
                <c:pt idx="38">
                  <c:v>1.2846344671873453</c:v>
                </c:pt>
                <c:pt idx="39">
                  <c:v>1.3014277873605919</c:v>
                </c:pt>
                <c:pt idx="40">
                  <c:v>1.3180071536766624</c:v>
                </c:pt>
                <c:pt idx="41">
                  <c:v>1.3343805411393814</c:v>
                </c:pt>
                <c:pt idx="42">
                  <c:v>1.3505554412907306</c:v>
                </c:pt>
                <c:pt idx="43">
                  <c:v>1.3665389022741254</c:v>
                </c:pt>
                <c:pt idx="44">
                  <c:v>1.3823375647276404</c:v>
                </c:pt>
                <c:pt idx="45">
                  <c:v>1.3979576940257221</c:v>
                </c:pt>
                <c:pt idx="46">
                  <c:v>1.4134052093134106</c:v>
                </c:pt>
                <c:pt idx="47">
                  <c:v>1.4286857097146515</c:v>
                </c:pt>
                <c:pt idx="48">
                  <c:v>1.4438044980437721</c:v>
                </c:pt>
                <c:pt idx="49">
                  <c:v>1.4587666023048376</c:v>
                </c:pt>
                <c:pt idx="50">
                  <c:v>1.4735767952260146</c:v>
                </c:pt>
                <c:pt idx="51">
                  <c:v>1.4882396120440899</c:v>
                </c:pt>
                <c:pt idx="52">
                  <c:v>1.5027593667269936</c:v>
                </c:pt>
                <c:pt idx="53">
                  <c:v>1.5171401667987985</c:v>
                </c:pt>
                <c:pt idx="54">
                  <c:v>1.5313859269115861</c:v>
                </c:pt>
                <c:pt idx="55">
                  <c:v>1.5455003812912598</c:v>
                </c:pt>
                <c:pt idx="56">
                  <c:v>1.5594870951694344</c:v>
                </c:pt>
                <c:pt idx="57">
                  <c:v>1.5733494753005677</c:v>
                </c:pt>
                <c:pt idx="58">
                  <c:v>1.5870907796522362</c:v>
                </c:pt>
                <c:pt idx="59">
                  <c:v>1.6007141263466487</c:v>
                </c:pt>
                <c:pt idx="60">
                  <c:v>1.6142225019229182</c:v>
                </c:pt>
                <c:pt idx="61">
                  <c:v>1.6276187689821155</c:v>
                </c:pt>
                <c:pt idx="62">
                  <c:v>1.6409056732705354</c:v>
                </c:pt>
                <c:pt idx="63">
                  <c:v>1.6540858502508267</c:v>
                </c:pt>
                <c:pt idx="64">
                  <c:v>1.6671618312055287</c:v>
                </c:pt>
                <c:pt idx="65">
                  <c:v>1.6801360489130466</c:v>
                </c:pt>
                <c:pt idx="66">
                  <c:v>1.6930108429321162</c:v>
                </c:pt>
                <c:pt idx="67">
                  <c:v>1.7057884645272654</c:v>
                </c:pt>
                <c:pt idx="68">
                  <c:v>1.7184710812646391</c:v>
                </c:pt>
                <c:pt idx="69">
                  <c:v>1.7310607813047549</c:v>
                </c:pt>
                <c:pt idx="70">
                  <c:v>1.7435595774162693</c:v>
                </c:pt>
                <c:pt idx="71">
                  <c:v>1.7559694107325934</c:v>
                </c:pt>
                <c:pt idx="72">
                  <c:v>1.7682921542712176</c:v>
                </c:pt>
                <c:pt idx="73">
                  <c:v>1.7805296162338089</c:v>
                </c:pt>
                <c:pt idx="74">
                  <c:v>1.7926835431035468</c:v>
                </c:pt>
                <c:pt idx="75">
                  <c:v>1.8047556225547152</c:v>
                </c:pt>
                <c:pt idx="76">
                  <c:v>1.8167474861882784</c:v>
                </c:pt>
                <c:pt idx="77">
                  <c:v>1.8286607121059939</c:v>
                </c:pt>
                <c:pt idx="78">
                  <c:v>1.8404968273345574</c:v>
                </c:pt>
                <c:pt idx="79">
                  <c:v>1.8522573101103268</c:v>
                </c:pt>
                <c:pt idx="80">
                  <c:v>1.8639435920342962</c:v>
                </c:pt>
                <c:pt idx="81">
                  <c:v>1.8755570601062199</c:v>
                </c:pt>
                <c:pt idx="82">
                  <c:v>1.887099058646063</c:v>
                </c:pt>
                <c:pt idx="83">
                  <c:v>1.8985708911103185</c:v>
                </c:pt>
                <c:pt idx="84">
                  <c:v>1.9099738218101316</c:v>
                </c:pt>
                <c:pt idx="85">
                  <c:v>1.9213090775376489</c:v>
                </c:pt>
                <c:pt idx="86">
                  <c:v>1.9325778491065098</c:v>
                </c:pt>
                <c:pt idx="87">
                  <c:v>1.9437812928119549</c:v>
                </c:pt>
                <c:pt idx="88">
                  <c:v>1.9549205318156251</c:v>
                </c:pt>
                <c:pt idx="89">
                  <c:v>1.9659966574597367</c:v>
                </c:pt>
                <c:pt idx="90">
                  <c:v>1.9770107305149938</c:v>
                </c:pt>
                <c:pt idx="91">
                  <c:v>1.9879637823662686</c:v>
                </c:pt>
                <c:pt idx="92">
                  <c:v>1.9988568161398084</c:v>
                </c:pt>
                <c:pt idx="93">
                  <c:v>2.0096908077754509</c:v>
                </c:pt>
                <c:pt idx="94">
                  <c:v>2.020466707047091</c:v>
                </c:pt>
                <c:pt idx="95">
                  <c:v>2.0311854385344255</c:v>
                </c:pt>
                <c:pt idx="96">
                  <c:v>2.0418479025487812</c:v>
                </c:pt>
                <c:pt idx="97">
                  <c:v>2.0524549760156563</c:v>
                </c:pt>
                <c:pt idx="98">
                  <c:v>2.0630075133164203</c:v>
                </c:pt>
                <c:pt idx="99">
                  <c:v>2.0735063470914605</c:v>
                </c:pt>
                <c:pt idx="100">
                  <c:v>2.0839522890069109</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0.82192186706253023</c:v>
                </c:pt>
                <c:pt idx="15">
                  <c:v>0.85076995939532551</c:v>
                </c:pt>
                <c:pt idx="16">
                  <c:v>0.87867143578444173</c:v>
                </c:pt>
                <c:pt idx="17">
                  <c:v>0.90571378498809463</c:v>
                </c:pt>
                <c:pt idx="18">
                  <c:v>0.93197179601714808</c:v>
                </c:pt>
                <c:pt idx="19">
                  <c:v>0.95750999829004235</c:v>
                </c:pt>
                <c:pt idx="20">
                  <c:v>0.98238453015067639</c:v>
                </c:pt>
                <c:pt idx="21">
                  <c:v>1.0066445913694333</c:v>
                </c:pt>
                <c:pt idx="22">
                  <c:v>1.0303335875275064</c:v>
                </c:pt>
                <c:pt idx="23">
                  <c:v>1.0534900425923683</c:v>
                </c:pt>
                <c:pt idx="24">
                  <c:v>1.0761483346152789</c:v>
                </c:pt>
                <c:pt idx="25">
                  <c:v>1.0983392947305521</c:v>
                </c:pt>
                <c:pt idx="26">
                  <c:v>1.1200906992753645</c:v>
                </c:pt>
                <c:pt idx="27">
                  <c:v>1.1414276774536103</c:v>
                </c:pt>
                <c:pt idx="28">
                  <c:v>1.1623730516108464</c:v>
                </c:pt>
                <c:pt idx="29">
                  <c:v>1.1829476232551801</c:v>
                </c:pt>
                <c:pt idx="30">
                  <c:v>1.2031704150364768</c:v>
                </c:pt>
                <c:pt idx="31">
                  <c:v>1.2230588766993256</c:v>
                </c:pt>
                <c:pt idx="32">
                  <c:v>1.2426290613561974</c:v>
                </c:pt>
                <c:pt idx="33">
                  <c:v>1.2618957771468104</c:v>
                </c:pt>
                <c:pt idx="34">
                  <c:v>1.2808727183584327</c:v>
                </c:pt>
                <c:pt idx="35">
                  <c:v>1.2995725793078619</c:v>
                </c:pt>
                <c:pt idx="36">
                  <c:v>1.3180071536766624</c:v>
                </c:pt>
                <c:pt idx="37">
                  <c:v>1.336187421508235</c:v>
                </c:pt>
                <c:pt idx="38">
                  <c:v>1.354123625689617</c:v>
                </c:pt>
                <c:pt idx="39">
                  <c:v>1.3718253394309212</c:v>
                </c:pt>
                <c:pt idx="40">
                  <c:v>1.3893015260046073</c:v>
                </c:pt>
                <c:pt idx="41">
                  <c:v>1.4065605918028197</c:v>
                </c:pt>
                <c:pt idx="42">
                  <c:v>1.4236104336041748</c:v>
                </c:pt>
                <c:pt idx="43">
                  <c:v>1.4404584808041623</c:v>
                </c:pt>
                <c:pt idx="44">
                  <c:v>1.4571117332499259</c:v>
                </c:pt>
                <c:pt idx="45">
                  <c:v>1.4735767952260146</c:v>
                </c:pt>
                <c:pt idx="46">
                  <c:v>1.4898599060591367</c:v>
                </c:pt>
                <c:pt idx="47">
                  <c:v>1.5059669677441494</c:v>
                </c:pt>
                <c:pt idx="48">
                  <c:v>1.5219035699381471</c:v>
                </c:pt>
                <c:pt idx="49">
                  <c:v>1.5376750126227727</c:v>
                </c:pt>
                <c:pt idx="50">
                  <c:v>1.5532863266952468</c:v>
                </c:pt>
                <c:pt idx="51">
                  <c:v>1.5687422927148937</c:v>
                </c:pt>
                <c:pt idx="52">
                  <c:v>1.5840474580031842</c:v>
                </c:pt>
                <c:pt idx="53">
                  <c:v>1.5992061522706564</c:v>
                </c:pt>
                <c:pt idx="54">
                  <c:v>1.6142225019229182</c:v>
                </c:pt>
                <c:pt idx="55">
                  <c:v>1.6291004431796876</c:v>
                </c:pt>
                <c:pt idx="56">
                  <c:v>1.6438437341250605</c:v>
                </c:pt>
                <c:pt idx="57">
                  <c:v>1.6584559657935423</c:v>
                </c:pt>
                <c:pt idx="58">
                  <c:v>1.6729405723844941</c:v>
                </c:pt>
                <c:pt idx="59">
                  <c:v>1.6873008406873173</c:v>
                </c:pt>
                <c:pt idx="60">
                  <c:v>1.701539918790651</c:v>
                </c:pt>
                <c:pt idx="61">
                  <c:v>1.7156608241409674</c:v>
                </c:pt>
                <c:pt idx="62">
                  <c:v>1.7296664510089892</c:v>
                </c:pt>
                <c:pt idx="63">
                  <c:v>1.7435595774162693</c:v>
                </c:pt>
                <c:pt idx="64">
                  <c:v>1.7573428715688835</c:v>
                </c:pt>
                <c:pt idx="65">
                  <c:v>1.7710188978404315</c:v>
                </c:pt>
                <c:pt idx="66">
                  <c:v>1.7845901223423561</c:v>
                </c:pt>
                <c:pt idx="67">
                  <c:v>1.7980589181158313</c:v>
                </c:pt>
                <c:pt idx="68">
                  <c:v>1.8114275699761893</c:v>
                </c:pt>
                <c:pt idx="69">
                  <c:v>1.8246982790378825</c:v>
                </c:pt>
                <c:pt idx="70">
                  <c:v>1.837873166945363</c:v>
                </c:pt>
                <c:pt idx="71">
                  <c:v>1.8509542798329046</c:v>
                </c:pt>
                <c:pt idx="72">
                  <c:v>1.8639435920342962</c:v>
                </c:pt>
                <c:pt idx="73">
                  <c:v>1.8768430095614506</c:v>
                </c:pt>
                <c:pt idx="74">
                  <c:v>1.8896543733692812</c:v>
                </c:pt>
                <c:pt idx="75">
                  <c:v>1.9023794624226837</c:v>
                </c:pt>
                <c:pt idx="76">
                  <c:v>1.9150199965800847</c:v>
                </c:pt>
                <c:pt idx="77">
                  <c:v>1.9275776393067947</c:v>
                </c:pt>
                <c:pt idx="78">
                  <c:v>1.9400540002302833</c:v>
                </c:pt>
                <c:pt idx="79">
                  <c:v>1.9524506375484867</c:v>
                </c:pt>
                <c:pt idx="80">
                  <c:v>1.9647690603013528</c:v>
                </c:pt>
                <c:pt idx="81">
                  <c:v>1.9770107305149938</c:v>
                </c:pt>
                <c:pt idx="82">
                  <c:v>1.9891770652270744</c:v>
                </c:pt>
                <c:pt idx="83">
                  <c:v>2.0012694384013776</c:v>
                </c:pt>
                <c:pt idx="84">
                  <c:v>2.0132891827388666</c:v>
                </c:pt>
                <c:pt idx="85">
                  <c:v>2.025237591392008</c:v>
                </c:pt>
                <c:pt idx="86">
                  <c:v>2.0371159195885911</c:v>
                </c:pt>
                <c:pt idx="87">
                  <c:v>2.048925386170819</c:v>
                </c:pt>
                <c:pt idx="88">
                  <c:v>2.0606671750550127</c:v>
                </c:pt>
                <c:pt idx="89">
                  <c:v>2.0723424366168772</c:v>
                </c:pt>
                <c:pt idx="90">
                  <c:v>2.0839522890069109</c:v>
                </c:pt>
                <c:pt idx="91">
                  <c:v>2.0954978194002285</c:v>
                </c:pt>
                <c:pt idx="92">
                  <c:v>2.1069800851847367</c:v>
                </c:pt>
                <c:pt idx="93">
                  <c:v>2.118400115091351</c:v>
                </c:pt>
                <c:pt idx="94">
                  <c:v>2.1297589102696617</c:v>
                </c:pt>
                <c:pt idx="95">
                  <c:v>2.1410574453122422</c:v>
                </c:pt>
                <c:pt idx="96">
                  <c:v>2.1522966692305578</c:v>
                </c:pt>
                <c:pt idx="97">
                  <c:v>2.1634775063852456</c:v>
                </c:pt>
                <c:pt idx="98">
                  <c:v>2.1746008573733455</c:v>
                </c:pt>
                <c:pt idx="99">
                  <c:v>2.1856675998748889</c:v>
                </c:pt>
                <c:pt idx="100">
                  <c:v>2.1966785894611043</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0.83358091560276437</c:v>
                </c:pt>
                <c:pt idx="17">
                  <c:v>0.85923554063231955</c:v>
                </c:pt>
                <c:pt idx="18">
                  <c:v>0.88414607713560878</c:v>
                </c:pt>
                <c:pt idx="19">
                  <c:v>0.90837374309413921</c:v>
                </c:pt>
                <c:pt idx="20">
                  <c:v>0.93197179601714808</c:v>
                </c:pt>
                <c:pt idx="21">
                  <c:v>0.95498691090506582</c:v>
                </c:pt>
                <c:pt idx="22">
                  <c:v>0.97746026590781254</c:v>
                </c:pt>
                <c:pt idx="23">
                  <c:v>0.99942840806990418</c:v>
                </c:pt>
                <c:pt idx="24">
                  <c:v>1.0209239512743906</c:v>
                </c:pt>
                <c:pt idx="25">
                  <c:v>1.0419761445034554</c:v>
                </c:pt>
                <c:pt idx="26">
                  <c:v>1.0626113387042591</c:v>
                </c:pt>
                <c:pt idx="27">
                  <c:v>1.0828533735328292</c:v>
                </c:pt>
                <c:pt idx="28">
                  <c:v>1.1027239001672178</c:v>
                </c:pt>
                <c:pt idx="29">
                  <c:v>1.122242652650741</c:v>
                </c:pt>
                <c:pt idx="30">
                  <c:v>1.1414276774536103</c:v>
                </c:pt>
                <c:pt idx="31">
                  <c:v>1.1602955288570729</c:v>
                </c:pt>
                <c:pt idx="32">
                  <c:v>1.1788614361808116</c:v>
                </c:pt>
                <c:pt idx="33">
                  <c:v>1.1971394476596524</c:v>
                </c:pt>
                <c:pt idx="34">
                  <c:v>1.2151425548352048</c:v>
                </c:pt>
                <c:pt idx="35">
                  <c:v>1.2328828005937953</c:v>
                </c:pt>
                <c:pt idx="36">
                  <c:v>1.2503713734041466</c:v>
                </c:pt>
                <c:pt idx="37">
                  <c:v>1.2676186898500443</c:v>
                </c:pt>
                <c:pt idx="38">
                  <c:v>1.2846344671873453</c:v>
                </c:pt>
                <c:pt idx="39">
                  <c:v>1.3014277873605919</c:v>
                </c:pt>
                <c:pt idx="40">
                  <c:v>1.3180071536766624</c:v>
                </c:pt>
                <c:pt idx="41">
                  <c:v>1.3343805411393814</c:v>
                </c:pt>
                <c:pt idx="42">
                  <c:v>1.3505554412907306</c:v>
                </c:pt>
                <c:pt idx="43">
                  <c:v>1.3665389022741254</c:v>
                </c:pt>
                <c:pt idx="44">
                  <c:v>1.3823375647276404</c:v>
                </c:pt>
                <c:pt idx="45">
                  <c:v>1.3979576940257221</c:v>
                </c:pt>
                <c:pt idx="46">
                  <c:v>1.4134052093134106</c:v>
                </c:pt>
                <c:pt idx="47">
                  <c:v>1.4286857097146515</c:v>
                </c:pt>
                <c:pt idx="48">
                  <c:v>1.4438044980437721</c:v>
                </c:pt>
                <c:pt idx="49">
                  <c:v>1.4587666023048376</c:v>
                </c:pt>
                <c:pt idx="50">
                  <c:v>1.4735767952260146</c:v>
                </c:pt>
                <c:pt idx="51">
                  <c:v>1.4882396120440899</c:v>
                </c:pt>
                <c:pt idx="52">
                  <c:v>1.5027593667269936</c:v>
                </c:pt>
                <c:pt idx="53">
                  <c:v>1.5171401667987985</c:v>
                </c:pt>
                <c:pt idx="54">
                  <c:v>1.5313859269115861</c:v>
                </c:pt>
                <c:pt idx="55">
                  <c:v>1.5455003812912598</c:v>
                </c:pt>
                <c:pt idx="56">
                  <c:v>1.5594870951694344</c:v>
                </c:pt>
                <c:pt idx="57">
                  <c:v>1.5733494753005677</c:v>
                </c:pt>
                <c:pt idx="58">
                  <c:v>1.5870907796522362</c:v>
                </c:pt>
                <c:pt idx="59">
                  <c:v>1.6007141263466487</c:v>
                </c:pt>
                <c:pt idx="60">
                  <c:v>1.6142225019229182</c:v>
                </c:pt>
                <c:pt idx="61">
                  <c:v>1.6276187689821155</c:v>
                </c:pt>
                <c:pt idx="62">
                  <c:v>1.6409056732705354</c:v>
                </c:pt>
                <c:pt idx="63">
                  <c:v>1.6540858502508267</c:v>
                </c:pt>
                <c:pt idx="64">
                  <c:v>1.6671618312055287</c:v>
                </c:pt>
                <c:pt idx="65">
                  <c:v>1.6801360489130466</c:v>
                </c:pt>
                <c:pt idx="66">
                  <c:v>1.6930108429321162</c:v>
                </c:pt>
                <c:pt idx="67">
                  <c:v>1.7057884645272654</c:v>
                </c:pt>
                <c:pt idx="68">
                  <c:v>1.7184710812646391</c:v>
                </c:pt>
                <c:pt idx="69">
                  <c:v>1.7310607813047549</c:v>
                </c:pt>
                <c:pt idx="70">
                  <c:v>1.7435595774162693</c:v>
                </c:pt>
                <c:pt idx="71">
                  <c:v>1.7559694107325934</c:v>
                </c:pt>
                <c:pt idx="72">
                  <c:v>1.7682921542712176</c:v>
                </c:pt>
                <c:pt idx="73">
                  <c:v>1.7805296162338089</c:v>
                </c:pt>
                <c:pt idx="74">
                  <c:v>1.7926835431035468</c:v>
                </c:pt>
                <c:pt idx="75">
                  <c:v>1.8047556225547152</c:v>
                </c:pt>
                <c:pt idx="76">
                  <c:v>1.8167474861882784</c:v>
                </c:pt>
                <c:pt idx="77">
                  <c:v>1.8286607121059939</c:v>
                </c:pt>
                <c:pt idx="78">
                  <c:v>1.8404968273345574</c:v>
                </c:pt>
                <c:pt idx="79">
                  <c:v>1.8522573101103268</c:v>
                </c:pt>
                <c:pt idx="80">
                  <c:v>1.8639435920342962</c:v>
                </c:pt>
                <c:pt idx="81">
                  <c:v>1.8755570601062199</c:v>
                </c:pt>
                <c:pt idx="82">
                  <c:v>1.887099058646063</c:v>
                </c:pt>
                <c:pt idx="83">
                  <c:v>1.8985708911103185</c:v>
                </c:pt>
                <c:pt idx="84">
                  <c:v>1.9099738218101316</c:v>
                </c:pt>
                <c:pt idx="85">
                  <c:v>1.9213090775376489</c:v>
                </c:pt>
                <c:pt idx="86">
                  <c:v>1.9325778491065098</c:v>
                </c:pt>
                <c:pt idx="87">
                  <c:v>1.9437812928119549</c:v>
                </c:pt>
                <c:pt idx="88">
                  <c:v>1.9549205318156251</c:v>
                </c:pt>
                <c:pt idx="89">
                  <c:v>1.9659966574597367</c:v>
                </c:pt>
                <c:pt idx="90">
                  <c:v>1.9770107305149938</c:v>
                </c:pt>
                <c:pt idx="91">
                  <c:v>1.9879637823662686</c:v>
                </c:pt>
                <c:pt idx="92">
                  <c:v>1.9988568161398084</c:v>
                </c:pt>
                <c:pt idx="93">
                  <c:v>2.0096908077754509</c:v>
                </c:pt>
                <c:pt idx="94">
                  <c:v>2.020466707047091</c:v>
                </c:pt>
                <c:pt idx="95">
                  <c:v>2.0311854385344255</c:v>
                </c:pt>
                <c:pt idx="96">
                  <c:v>2.0418479025487812</c:v>
                </c:pt>
                <c:pt idx="97">
                  <c:v>2.0524549760156563</c:v>
                </c:pt>
                <c:pt idx="98">
                  <c:v>2.0630075133164203</c:v>
                </c:pt>
                <c:pt idx="99">
                  <c:v>2.0735063470914605</c:v>
                </c:pt>
                <c:pt idx="100">
                  <c:v>2.0839522890069109</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2.3916666666666661E-3</c:v>
                </c:pt>
                <c:pt idx="1">
                  <c:v>5.4065040650406503E-3</c:v>
                </c:pt>
                <c:pt idx="2">
                  <c:v>1.0813008130081301E-2</c:v>
                </c:pt>
                <c:pt idx="3">
                  <c:v>1.6219512195121952E-2</c:v>
                </c:pt>
                <c:pt idx="4">
                  <c:v>2.1626016260162601E-2</c:v>
                </c:pt>
                <c:pt idx="5">
                  <c:v>2.7032520325203251E-2</c:v>
                </c:pt>
                <c:pt idx="6">
                  <c:v>3.2439024390243903E-2</c:v>
                </c:pt>
                <c:pt idx="7">
                  <c:v>3.7845528455284549E-2</c:v>
                </c:pt>
                <c:pt idx="8">
                  <c:v>4.3252032520325202E-2</c:v>
                </c:pt>
                <c:pt idx="9">
                  <c:v>4.8658536585365848E-2</c:v>
                </c:pt>
                <c:pt idx="10">
                  <c:v>5.4065040650406501E-2</c:v>
                </c:pt>
                <c:pt idx="11">
                  <c:v>5.9471544715447147E-2</c:v>
                </c:pt>
                <c:pt idx="12">
                  <c:v>6.4878048780487807E-2</c:v>
                </c:pt>
                <c:pt idx="13">
                  <c:v>7.0284552845528453E-2</c:v>
                </c:pt>
                <c:pt idx="14">
                  <c:v>7.6436768084203688E-2</c:v>
                </c:pt>
                <c:pt idx="15">
                  <c:v>8.4770969660916129E-2</c:v>
                </c:pt>
                <c:pt idx="16">
                  <c:v>9.0369611411506401E-2</c:v>
                </c:pt>
                <c:pt idx="17">
                  <c:v>9.315086329891599E-2</c:v>
                </c:pt>
                <c:pt idx="18">
                  <c:v>9.5851447563404066E-2</c:v>
                </c:pt>
                <c:pt idx="19">
                  <c:v>9.8478000927449086E-2</c:v>
                </c:pt>
                <c:pt idx="20">
                  <c:v>0.1010362971081845</c:v>
                </c:pt>
                <c:pt idx="21">
                  <c:v>0.10353139620424327</c:v>
                </c:pt>
                <c:pt idx="22">
                  <c:v>0.1059677623934122</c:v>
                </c:pt>
                <c:pt idx="23">
                  <c:v>0.10834935778920582</c:v>
                </c:pt>
                <c:pt idx="24">
                  <c:v>0.11067971810589328</c:v>
                </c:pt>
                <c:pt idx="25">
                  <c:v>0.11296201426438299</c:v>
                </c:pt>
                <c:pt idx="26">
                  <c:v>0.11519910300576708</c:v>
                </c:pt>
                <c:pt idx="27">
                  <c:v>0.11739356881873898</c:v>
                </c:pt>
                <c:pt idx="28">
                  <c:v>0.11954775893619532</c:v>
                </c:pt>
                <c:pt idx="29">
                  <c:v>0.12166381275191622</c:v>
                </c:pt>
                <c:pt idx="30">
                  <c:v>0.12374368670764581</c:v>
                </c:pt>
                <c:pt idx="31">
                  <c:v>0.12578917547494564</c:v>
                </c:pt>
                <c:pt idx="32">
                  <c:v>0.12780193008453877</c:v>
                </c:pt>
                <c:pt idx="33">
                  <c:v>0.12978347352417413</c:v>
                </c:pt>
                <c:pt idx="34">
                  <c:v>0.13173521422408918</c:v>
                </c:pt>
                <c:pt idx="35">
                  <c:v>0.13365845776954532</c:v>
                </c:pt>
                <c:pt idx="36">
                  <c:v>0.13555441711725957</c:v>
                </c:pt>
                <c:pt idx="37">
                  <c:v>0.13742422154288036</c:v>
                </c:pt>
                <c:pt idx="38">
                  <c:v>0.13926892450698874</c:v>
                </c:pt>
                <c:pt idx="39">
                  <c:v>0.14108951059522459</c:v>
                </c:pt>
                <c:pt idx="40">
                  <c:v>0.14288690166235204</c:v>
                </c:pt>
                <c:pt idx="41">
                  <c:v>0.14466196228910116</c:v>
                </c:pt>
                <c:pt idx="42">
                  <c:v>0.1464155046434632</c:v>
                </c:pt>
                <c:pt idx="43">
                  <c:v>0.14814829282400344</c:v>
                </c:pt>
                <c:pt idx="44">
                  <c:v>0.14986104675109319</c:v>
                </c:pt>
                <c:pt idx="45">
                  <c:v>0.15155444566227674</c:v>
                </c:pt>
                <c:pt idx="46">
                  <c:v>0.15322913125990981</c:v>
                </c:pt>
                <c:pt idx="47">
                  <c:v>0.15488571055243711</c:v>
                </c:pt>
                <c:pt idx="48">
                  <c:v>0.15652475842498526</c:v>
                </c:pt>
                <c:pt idx="49">
                  <c:v>0.15814681997013619</c:v>
                </c:pt>
                <c:pt idx="50">
                  <c:v>0.15975241260567341</c:v>
                </c:pt>
                <c:pt idx="51">
                  <c:v>0.16134202800262551</c:v>
                </c:pt>
                <c:pt idx="52">
                  <c:v>0.16291613384397097</c:v>
                </c:pt>
                <c:pt idx="53">
                  <c:v>0.16447517543183632</c:v>
                </c:pt>
                <c:pt idx="54">
                  <c:v>0.16601957715883991</c:v>
                </c:pt>
                <c:pt idx="55">
                  <c:v>0.16754974385735916</c:v>
                </c:pt>
                <c:pt idx="56">
                  <c:v>0.16906606203887681</c:v>
                </c:pt>
                <c:pt idx="57">
                  <c:v>0.17056890103415687</c:v>
                </c:pt>
                <c:pt idx="58">
                  <c:v>0.17205861404378062</c:v>
                </c:pt>
                <c:pt idx="59">
                  <c:v>0.17353553910750769</c:v>
                </c:pt>
                <c:pt idx="60">
                  <c:v>0.17499999999999999</c:v>
                </c:pt>
                <c:pt idx="61">
                  <c:v>0.17645230705963197</c:v>
                </c:pt>
                <c:pt idx="62">
                  <c:v>0.17789275795639725</c:v>
                </c:pt>
                <c:pt idx="63">
                  <c:v>0.17932163840429299</c:v>
                </c:pt>
                <c:pt idx="64">
                  <c:v>0.1807392228230128</c:v>
                </c:pt>
                <c:pt idx="65">
                  <c:v>0.1821457749532866</c:v>
                </c:pt>
                <c:pt idx="66">
                  <c:v>0.18354154842977649</c:v>
                </c:pt>
                <c:pt idx="67">
                  <c:v>0.18492678731505252</c:v>
                </c:pt>
                <c:pt idx="68">
                  <c:v>0.18630172659783198</c:v>
                </c:pt>
                <c:pt idx="69">
                  <c:v>0.18766659265836313</c:v>
                </c:pt>
                <c:pt idx="70">
                  <c:v>0.18902160370356255</c:v>
                </c:pt>
                <c:pt idx="71">
                  <c:v>0.19036697017427504</c:v>
                </c:pt>
                <c:pt idx="72">
                  <c:v>0.19170289512680813</c:v>
                </c:pt>
                <c:pt idx="73">
                  <c:v>0.19302957459070011</c:v>
                </c:pt>
                <c:pt idx="74">
                  <c:v>0.1943471979045063</c:v>
                </c:pt>
                <c:pt idx="75">
                  <c:v>0.19565594803123157</c:v>
                </c:pt>
                <c:pt idx="76">
                  <c:v>0.19695600185489817</c:v>
                </c:pt>
                <c:pt idx="77">
                  <c:v>0.19824753045960833</c:v>
                </c:pt>
                <c:pt idx="78">
                  <c:v>0.19953069939234916</c:v>
                </c:pt>
                <c:pt idx="79">
                  <c:v>0.20080566891068255</c:v>
                </c:pt>
                <c:pt idx="80">
                  <c:v>0.202072594216369</c:v>
                </c:pt>
                <c:pt idx="81">
                  <c:v>0.20333162567588939</c:v>
                </c:pt>
                <c:pt idx="82">
                  <c:v>0.20458290902875206</c:v>
                </c:pt>
                <c:pt idx="83">
                  <c:v>0.20582658558440237</c:v>
                </c:pt>
                <c:pt idx="84">
                  <c:v>0.20706279240848655</c:v>
                </c:pt>
                <c:pt idx="85">
                  <c:v>0.20829166249916645</c:v>
                </c:pt>
                <c:pt idx="86">
                  <c:v>0.20951332495412633</c:v>
                </c:pt>
                <c:pt idx="87">
                  <c:v>0.21072790512886519</c:v>
                </c:pt>
                <c:pt idx="88">
                  <c:v>0.2119355247868244</c:v>
                </c:pt>
                <c:pt idx="89">
                  <c:v>0.21313630224185959</c:v>
                </c:pt>
                <c:pt idx="90">
                  <c:v>0.21433035249352805</c:v>
                </c:pt>
                <c:pt idx="91">
                  <c:v>0.21551778735563026</c:v>
                </c:pt>
                <c:pt idx="92">
                  <c:v>0.21669871557841164</c:v>
                </c:pt>
                <c:pt idx="93">
                  <c:v>0.21787324296480276</c:v>
                </c:pt>
                <c:pt idx="94">
                  <c:v>0.21904147248105013</c:v>
                </c:pt>
                <c:pt idx="95">
                  <c:v>0.22020350436206351</c:v>
                </c:pt>
                <c:pt idx="96">
                  <c:v>0.22135943621178655</c:v>
                </c:pt>
                <c:pt idx="97">
                  <c:v>0.22250936309887426</c:v>
                </c:pt>
                <c:pt idx="98">
                  <c:v>0.22365337764794285</c:v>
                </c:pt>
                <c:pt idx="99">
                  <c:v>0.22479157012663975</c:v>
                </c:pt>
                <c:pt idx="100">
                  <c:v>0.22592402852876597</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2.4956521739130434E-3</c:v>
                </c:pt>
                <c:pt idx="1">
                  <c:v>5.6415694591728533E-3</c:v>
                </c:pt>
                <c:pt idx="2">
                  <c:v>1.1283138918345707E-2</c:v>
                </c:pt>
                <c:pt idx="3">
                  <c:v>1.6924708377518562E-2</c:v>
                </c:pt>
                <c:pt idx="4">
                  <c:v>2.2566277836691413E-2</c:v>
                </c:pt>
                <c:pt idx="5">
                  <c:v>2.8207847295864265E-2</c:v>
                </c:pt>
                <c:pt idx="6">
                  <c:v>3.3849416755037123E-2</c:v>
                </c:pt>
                <c:pt idx="7">
                  <c:v>3.9490986214209975E-2</c:v>
                </c:pt>
                <c:pt idx="8">
                  <c:v>4.5132555673382826E-2</c:v>
                </c:pt>
                <c:pt idx="9">
                  <c:v>5.0774125132555678E-2</c:v>
                </c:pt>
                <c:pt idx="10">
                  <c:v>5.641569459172853E-2</c:v>
                </c:pt>
                <c:pt idx="11">
                  <c:v>6.2057264050901381E-2</c:v>
                </c:pt>
                <c:pt idx="12">
                  <c:v>6.7698833510074247E-2</c:v>
                </c:pt>
                <c:pt idx="13">
                  <c:v>7.3340402969247098E-2</c:v>
                </c:pt>
                <c:pt idx="14">
                  <c:v>7.9760105826995151E-2</c:v>
                </c:pt>
                <c:pt idx="15">
                  <c:v>8.8456663993999415E-2</c:v>
                </c:pt>
                <c:pt idx="16">
                  <c:v>9.42987249511371E-2</c:v>
                </c:pt>
                <c:pt idx="17">
                  <c:v>9.720090083365146E-2</c:v>
                </c:pt>
                <c:pt idx="18">
                  <c:v>0.10001890180529117</c:v>
                </c:pt>
                <c:pt idx="19">
                  <c:v>0.102759653141686</c:v>
                </c:pt>
                <c:pt idx="20">
                  <c:v>0.10542917959114906</c:v>
                </c:pt>
                <c:pt idx="21">
                  <c:v>0.10803276125660168</c:v>
                </c:pt>
                <c:pt idx="22">
                  <c:v>0.11057505641051707</c:v>
                </c:pt>
                <c:pt idx="23">
                  <c:v>0.11306019943221476</c:v>
                </c:pt>
                <c:pt idx="24">
                  <c:v>0.11549187976267124</c:v>
                </c:pt>
                <c:pt idx="25">
                  <c:v>0.11787340618892138</c:v>
                </c:pt>
                <c:pt idx="26">
                  <c:v>0.12020775965819171</c:v>
                </c:pt>
                <c:pt idx="27">
                  <c:v>0.12249763702824937</c:v>
                </c:pt>
                <c:pt idx="28">
                  <c:v>0.12474548758559512</c:v>
                </c:pt>
                <c:pt idx="29">
                  <c:v>0.12695354374112996</c:v>
                </c:pt>
                <c:pt idx="30">
                  <c:v>0.12912384699928259</c:v>
                </c:pt>
                <c:pt idx="31">
                  <c:v>0.13125827006081284</c:v>
                </c:pt>
                <c:pt idx="32">
                  <c:v>0.13335853574038828</c:v>
                </c:pt>
                <c:pt idx="33">
                  <c:v>0.13542623324261646</c:v>
                </c:pt>
                <c:pt idx="34">
                  <c:v>0.13746283223383218</c:v>
                </c:pt>
                <c:pt idx="35">
                  <c:v>0.13946969506387338</c:v>
                </c:pt>
                <c:pt idx="36">
                  <c:v>0.14144808742670564</c:v>
                </c:pt>
                <c:pt idx="37">
                  <c:v>0.14339918769691867</c:v>
                </c:pt>
                <c:pt idx="38">
                  <c:v>0.14532409513772737</c:v>
                </c:pt>
                <c:pt idx="39">
                  <c:v>0.14722383714284307</c:v>
                </c:pt>
                <c:pt idx="40">
                  <c:v>0.1490993756476717</c:v>
                </c:pt>
                <c:pt idx="41">
                  <c:v>0.15095161282340991</c:v>
                </c:pt>
                <c:pt idx="42">
                  <c:v>0.15278139614970074</c:v>
                </c:pt>
                <c:pt idx="43">
                  <c:v>0.15458952294678618</c:v>
                </c:pt>
                <c:pt idx="44">
                  <c:v>0.15637674443592328</c:v>
                </c:pt>
                <c:pt idx="45">
                  <c:v>0.15814376938672356</c:v>
                </c:pt>
                <c:pt idx="46">
                  <c:v>0.159891267401645</c:v>
                </c:pt>
                <c:pt idx="47">
                  <c:v>0.16161987188080393</c:v>
                </c:pt>
                <c:pt idx="48">
                  <c:v>0.16333018270433244</c:v>
                </c:pt>
                <c:pt idx="49">
                  <c:v>0.16502276866448992</c:v>
                </c:pt>
                <c:pt idx="50">
                  <c:v>0.16669816967548531</c:v>
                </c:pt>
                <c:pt idx="51">
                  <c:v>0.16835689878534835</c:v>
                </c:pt>
                <c:pt idx="52">
                  <c:v>0.16999944401110015</c:v>
                </c:pt>
                <c:pt idx="53">
                  <c:v>0.1716262700158292</c:v>
                </c:pt>
                <c:pt idx="54">
                  <c:v>0.17323781964400684</c:v>
                </c:pt>
                <c:pt idx="55">
                  <c:v>0.17483451532941824</c:v>
                </c:pt>
                <c:pt idx="56">
                  <c:v>0.17641676038839316</c:v>
                </c:pt>
                <c:pt idx="57">
                  <c:v>0.17798494020955496</c:v>
                </c:pt>
                <c:pt idx="58">
                  <c:v>0.17953942335003195</c:v>
                </c:pt>
                <c:pt idx="59">
                  <c:v>0.18108056254696456</c:v>
                </c:pt>
                <c:pt idx="60">
                  <c:v>0.18260869565217386</c:v>
                </c:pt>
                <c:pt idx="61">
                  <c:v>0.18412414649700731</c:v>
                </c:pt>
                <c:pt idx="62">
                  <c:v>0.18562722569363188</c:v>
                </c:pt>
                <c:pt idx="63">
                  <c:v>0.18711823137839265</c:v>
                </c:pt>
                <c:pt idx="64">
                  <c:v>0.1885974499022742</c:v>
                </c:pt>
                <c:pt idx="65">
                  <c:v>0.19006515647299468</c:v>
                </c:pt>
                <c:pt idx="66">
                  <c:v>0.19152161575281026</c:v>
                </c:pt>
                <c:pt idx="67">
                  <c:v>0.19296708241570701</c:v>
                </c:pt>
                <c:pt idx="68">
                  <c:v>0.19440180166730292</c:v>
                </c:pt>
                <c:pt idx="69">
                  <c:v>0.19582600973046588</c:v>
                </c:pt>
                <c:pt idx="70">
                  <c:v>0.19723993429936965</c:v>
                </c:pt>
                <c:pt idx="71">
                  <c:v>0.19864379496446088</c:v>
                </c:pt>
                <c:pt idx="72">
                  <c:v>0.20003780361058235</c:v>
                </c:pt>
                <c:pt idx="73">
                  <c:v>0.20142216479029579</c:v>
                </c:pt>
                <c:pt idx="74">
                  <c:v>0.20279707607426742</c:v>
                </c:pt>
                <c:pt idx="75">
                  <c:v>0.20416272838041558</c:v>
                </c:pt>
                <c:pt idx="76">
                  <c:v>0.20551930628337201</c:v>
                </c:pt>
                <c:pt idx="77">
                  <c:v>0.20686698830567826</c:v>
                </c:pt>
                <c:pt idx="78">
                  <c:v>0.20820594719201649</c:v>
                </c:pt>
                <c:pt idx="79">
                  <c:v>0.20953635016766875</c:v>
                </c:pt>
                <c:pt idx="80">
                  <c:v>0.21085835918229812</c:v>
                </c:pt>
                <c:pt idx="81">
                  <c:v>0.21217213114005851</c:v>
                </c:pt>
                <c:pt idx="82">
                  <c:v>0.21347781811695871</c:v>
                </c:pt>
                <c:pt idx="83">
                  <c:v>0.2147755675663329</c:v>
                </c:pt>
                <c:pt idx="84">
                  <c:v>0.21606552251320335</c:v>
                </c:pt>
                <c:pt idx="85">
                  <c:v>0.21734782173826064</c:v>
                </c:pt>
                <c:pt idx="86">
                  <c:v>0.21862259995213182</c:v>
                </c:pt>
                <c:pt idx="87">
                  <c:v>0.21988998796055498</c:v>
                </c:pt>
                <c:pt idx="88">
                  <c:v>0.22115011282103414</c:v>
                </c:pt>
                <c:pt idx="89">
                  <c:v>0.22240309799150565</c:v>
                </c:pt>
                <c:pt idx="90">
                  <c:v>0.22364906347150756</c:v>
                </c:pt>
                <c:pt idx="91">
                  <c:v>0.22488812593630983</c:v>
                </c:pt>
                <c:pt idx="92">
                  <c:v>0.22612039886442953</c:v>
                </c:pt>
                <c:pt idx="93">
                  <c:v>0.22734599265892469</c:v>
                </c:pt>
                <c:pt idx="94">
                  <c:v>0.22856501476283492</c:v>
                </c:pt>
                <c:pt idx="95">
                  <c:v>0.22977756976910974</c:v>
                </c:pt>
                <c:pt idx="96">
                  <c:v>0.23098375952534247</c:v>
                </c:pt>
                <c:pt idx="97">
                  <c:v>0.23218368323360794</c:v>
                </c:pt>
                <c:pt idx="98">
                  <c:v>0.23337743754567952</c:v>
                </c:pt>
                <c:pt idx="99">
                  <c:v>0.23456511665388494</c:v>
                </c:pt>
                <c:pt idx="100">
                  <c:v>0.23574681237784276</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2.2959999999999999E-3</c:v>
                </c:pt>
                <c:pt idx="1">
                  <c:v>5.1902439024390243E-3</c:v>
                </c:pt>
                <c:pt idx="2">
                  <c:v>1.0380487804878049E-2</c:v>
                </c:pt>
                <c:pt idx="3">
                  <c:v>1.5570731707317076E-2</c:v>
                </c:pt>
                <c:pt idx="4">
                  <c:v>2.0760975609756097E-2</c:v>
                </c:pt>
                <c:pt idx="5">
                  <c:v>2.5951219512195121E-2</c:v>
                </c:pt>
                <c:pt idx="6">
                  <c:v>3.1141463414634151E-2</c:v>
                </c:pt>
                <c:pt idx="7">
                  <c:v>3.6331707317073171E-2</c:v>
                </c:pt>
                <c:pt idx="8">
                  <c:v>4.1521951219512195E-2</c:v>
                </c:pt>
                <c:pt idx="9">
                  <c:v>4.6712195121951218E-2</c:v>
                </c:pt>
                <c:pt idx="10">
                  <c:v>5.1902439024390241E-2</c:v>
                </c:pt>
                <c:pt idx="11">
                  <c:v>5.7092682926829265E-2</c:v>
                </c:pt>
                <c:pt idx="12">
                  <c:v>6.2282926829268302E-2</c:v>
                </c:pt>
                <c:pt idx="13">
                  <c:v>6.7473170731707333E-2</c:v>
                </c:pt>
                <c:pt idx="14">
                  <c:v>7.3379297360835524E-2</c:v>
                </c:pt>
                <c:pt idx="15">
                  <c:v>8.1380130874479484E-2</c:v>
                </c:pt>
                <c:pt idx="16">
                  <c:v>8.6754826955046146E-2</c:v>
                </c:pt>
                <c:pt idx="17">
                  <c:v>8.9424828766959341E-2</c:v>
                </c:pt>
                <c:pt idx="18">
                  <c:v>9.2017389660867893E-2</c:v>
                </c:pt>
                <c:pt idx="19">
                  <c:v>9.4538880890351118E-2</c:v>
                </c:pt>
                <c:pt idx="20">
                  <c:v>9.6994845223857123E-2</c:v>
                </c:pt>
                <c:pt idx="21">
                  <c:v>9.9390140356073547E-2</c:v>
                </c:pt>
                <c:pt idx="22">
                  <c:v>0.1017290518976757</c:v>
                </c:pt>
                <c:pt idx="23">
                  <c:v>0.10401538347763757</c:v>
                </c:pt>
                <c:pt idx="24">
                  <c:v>0.10625252938165754</c:v>
                </c:pt>
                <c:pt idx="25">
                  <c:v>0.10844353369380767</c:v>
                </c:pt>
                <c:pt idx="26">
                  <c:v>0.11059113888553639</c:v>
                </c:pt>
                <c:pt idx="27">
                  <c:v>0.11269782606598941</c:v>
                </c:pt>
                <c:pt idx="28">
                  <c:v>0.11476584857874751</c:v>
                </c:pt>
                <c:pt idx="29">
                  <c:v>0.11679726024183959</c:v>
                </c:pt>
                <c:pt idx="30">
                  <c:v>0.11879393923933999</c:v>
                </c:pt>
                <c:pt idx="31">
                  <c:v>0.12075760845594781</c:v>
                </c:pt>
                <c:pt idx="32">
                  <c:v>0.12268985288115723</c:v>
                </c:pt>
                <c:pt idx="33">
                  <c:v>0.12459213458320714</c:v>
                </c:pt>
                <c:pt idx="34">
                  <c:v>0.12646580565512561</c:v>
                </c:pt>
                <c:pt idx="35">
                  <c:v>0.1283121194587635</c:v>
                </c:pt>
                <c:pt idx="36">
                  <c:v>0.13013224043256919</c:v>
                </c:pt>
                <c:pt idx="37">
                  <c:v>0.13192725268116515</c:v>
                </c:pt>
                <c:pt idx="38">
                  <c:v>0.13369816752670918</c:v>
                </c:pt>
                <c:pt idx="39">
                  <c:v>0.13544593017141562</c:v>
                </c:pt>
                <c:pt idx="40">
                  <c:v>0.13717142559585799</c:v>
                </c:pt>
                <c:pt idx="41">
                  <c:v>0.13887548379753711</c:v>
                </c:pt>
                <c:pt idx="42">
                  <c:v>0.14055888445772469</c:v>
                </c:pt>
                <c:pt idx="43">
                  <c:v>0.14222236111104328</c:v>
                </c:pt>
                <c:pt idx="44">
                  <c:v>0.14386660488104944</c:v>
                </c:pt>
                <c:pt idx="45">
                  <c:v>0.14549226783578567</c:v>
                </c:pt>
                <c:pt idx="46">
                  <c:v>0.14709996600951339</c:v>
                </c:pt>
                <c:pt idx="47">
                  <c:v>0.14869028213033961</c:v>
                </c:pt>
                <c:pt idx="48">
                  <c:v>0.15026376808798583</c:v>
                </c:pt>
                <c:pt idx="49">
                  <c:v>0.15182094717133074</c:v>
                </c:pt>
                <c:pt idx="50">
                  <c:v>0.15336231610144649</c:v>
                </c:pt>
                <c:pt idx="51">
                  <c:v>0.15488834688252051</c:v>
                </c:pt>
                <c:pt idx="52">
                  <c:v>0.15639948849021215</c:v>
                </c:pt>
                <c:pt idx="53">
                  <c:v>0.15789616841456289</c:v>
                </c:pt>
                <c:pt idx="54">
                  <c:v>0.15937879407248631</c:v>
                </c:pt>
                <c:pt idx="55">
                  <c:v>0.16084775410306479</c:v>
                </c:pt>
                <c:pt idx="56">
                  <c:v>0.16230341955732169</c:v>
                </c:pt>
                <c:pt idx="57">
                  <c:v>0.16374614499279055</c:v>
                </c:pt>
                <c:pt idx="58">
                  <c:v>0.1651762694820294</c:v>
                </c:pt>
                <c:pt idx="59">
                  <c:v>0.16659411754320738</c:v>
                </c:pt>
                <c:pt idx="60">
                  <c:v>0.16799999999999998</c:v>
                </c:pt>
                <c:pt idx="61">
                  <c:v>0.16939421477724673</c:v>
                </c:pt>
                <c:pt idx="62">
                  <c:v>0.17077704763814136</c:v>
                </c:pt>
                <c:pt idx="63">
                  <c:v>0.17214877286812125</c:v>
                </c:pt>
                <c:pt idx="64">
                  <c:v>0.17350965391009229</c:v>
                </c:pt>
                <c:pt idx="65">
                  <c:v>0.17485994395515514</c:v>
                </c:pt>
                <c:pt idx="66">
                  <c:v>0.17619988649258542</c:v>
                </c:pt>
                <c:pt idx="67">
                  <c:v>0.17752971582245045</c:v>
                </c:pt>
                <c:pt idx="68">
                  <c:v>0.17884965753391868</c:v>
                </c:pt>
                <c:pt idx="69">
                  <c:v>0.18015992895202859</c:v>
                </c:pt>
                <c:pt idx="70">
                  <c:v>0.18146073955542005</c:v>
                </c:pt>
                <c:pt idx="71">
                  <c:v>0.18275229136730403</c:v>
                </c:pt>
                <c:pt idx="72">
                  <c:v>0.18403477932173579</c:v>
                </c:pt>
                <c:pt idx="73">
                  <c:v>0.18530839160707213</c:v>
                </c:pt>
                <c:pt idx="74">
                  <c:v>0.18657330998832605</c:v>
                </c:pt>
                <c:pt idx="75">
                  <c:v>0.18782971010998231</c:v>
                </c:pt>
                <c:pt idx="76">
                  <c:v>0.18907776178070224</c:v>
                </c:pt>
                <c:pt idx="77">
                  <c:v>0.19031762924122397</c:v>
                </c:pt>
                <c:pt idx="78">
                  <c:v>0.19154947141665518</c:v>
                </c:pt>
                <c:pt idx="79">
                  <c:v>0.19277344215425524</c:v>
                </c:pt>
                <c:pt idx="80">
                  <c:v>0.19398969044771425</c:v>
                </c:pt>
                <c:pt idx="81">
                  <c:v>0.19519836064885387</c:v>
                </c:pt>
                <c:pt idx="82">
                  <c:v>0.19639959266760199</c:v>
                </c:pt>
                <c:pt idx="83">
                  <c:v>0.19759352216102627</c:v>
                </c:pt>
                <c:pt idx="84">
                  <c:v>0.19878028071214709</c:v>
                </c:pt>
                <c:pt idx="85">
                  <c:v>0.19995999599919978</c:v>
                </c:pt>
                <c:pt idx="86">
                  <c:v>0.20113279195596129</c:v>
                </c:pt>
                <c:pt idx="87">
                  <c:v>0.20229878892371059</c:v>
                </c:pt>
                <c:pt idx="88">
                  <c:v>0.2034581037953514</c:v>
                </c:pt>
                <c:pt idx="89">
                  <c:v>0.20461085015218522</c:v>
                </c:pt>
                <c:pt idx="90">
                  <c:v>0.20575713839378695</c:v>
                </c:pt>
                <c:pt idx="91">
                  <c:v>0.20689707586140504</c:v>
                </c:pt>
                <c:pt idx="92">
                  <c:v>0.20803076695527514</c:v>
                </c:pt>
                <c:pt idx="93">
                  <c:v>0.20915831324621068</c:v>
                </c:pt>
                <c:pt idx="94">
                  <c:v>0.21027981358180811</c:v>
                </c:pt>
                <c:pt idx="95">
                  <c:v>0.21139536418758098</c:v>
                </c:pt>
                <c:pt idx="96">
                  <c:v>0.21250505876331507</c:v>
                </c:pt>
                <c:pt idx="97">
                  <c:v>0.21360898857491928</c:v>
                </c:pt>
                <c:pt idx="98">
                  <c:v>0.21470724254202517</c:v>
                </c:pt>
                <c:pt idx="99">
                  <c:v>0.21579990732157414</c:v>
                </c:pt>
                <c:pt idx="100">
                  <c:v>0.21688706738761535</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22.605591909577637</c:v>
                </c:pt>
                <c:pt idx="2">
                  <c:v>45.211183819155274</c:v>
                </c:pt>
                <c:pt idx="3">
                  <c:v>67.816775728732907</c:v>
                </c:pt>
                <c:pt idx="4">
                  <c:v>90.422367638310547</c:v>
                </c:pt>
                <c:pt idx="5">
                  <c:v>113.02795954788819</c:v>
                </c:pt>
                <c:pt idx="6">
                  <c:v>135.63355145746581</c:v>
                </c:pt>
                <c:pt idx="7">
                  <c:v>158.23914336704345</c:v>
                </c:pt>
                <c:pt idx="8">
                  <c:v>180.84473527662109</c:v>
                </c:pt>
                <c:pt idx="9">
                  <c:v>203.45032718619873</c:v>
                </c:pt>
                <c:pt idx="10">
                  <c:v>226.05591909577637</c:v>
                </c:pt>
                <c:pt idx="11">
                  <c:v>248.66151100535399</c:v>
                </c:pt>
                <c:pt idx="12">
                  <c:v>271.26710291493163</c:v>
                </c:pt>
                <c:pt idx="13">
                  <c:v>293.87269482450927</c:v>
                </c:pt>
                <c:pt idx="14">
                  <c:v>316.47828673408691</c:v>
                </c:pt>
                <c:pt idx="15">
                  <c:v>339.08387864366455</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2.3916666666666661E-3</c:v>
                </c:pt>
                <c:pt idx="1">
                  <c:v>5.4065040650406503E-3</c:v>
                </c:pt>
                <c:pt idx="2">
                  <c:v>1.0813008130081301E-2</c:v>
                </c:pt>
                <c:pt idx="3">
                  <c:v>1.6219512195121952E-2</c:v>
                </c:pt>
                <c:pt idx="4">
                  <c:v>2.1626016260162601E-2</c:v>
                </c:pt>
                <c:pt idx="5">
                  <c:v>2.7032520325203251E-2</c:v>
                </c:pt>
                <c:pt idx="6">
                  <c:v>3.2439024390243903E-2</c:v>
                </c:pt>
                <c:pt idx="7">
                  <c:v>3.7845528455284549E-2</c:v>
                </c:pt>
                <c:pt idx="8">
                  <c:v>4.3252032520325202E-2</c:v>
                </c:pt>
                <c:pt idx="9">
                  <c:v>4.8658536585365848E-2</c:v>
                </c:pt>
                <c:pt idx="10">
                  <c:v>5.4065040650406501E-2</c:v>
                </c:pt>
                <c:pt idx="11">
                  <c:v>5.9471544715447147E-2</c:v>
                </c:pt>
                <c:pt idx="12">
                  <c:v>6.4878048780487807E-2</c:v>
                </c:pt>
                <c:pt idx="13">
                  <c:v>7.0284552845528453E-2</c:v>
                </c:pt>
                <c:pt idx="14">
                  <c:v>7.6436768084203688E-2</c:v>
                </c:pt>
                <c:pt idx="15">
                  <c:v>8.4770969660916129E-2</c:v>
                </c:pt>
                <c:pt idx="16">
                  <c:v>9.0369611411506401E-2</c:v>
                </c:pt>
                <c:pt idx="17">
                  <c:v>9.315086329891599E-2</c:v>
                </c:pt>
                <c:pt idx="18">
                  <c:v>9.5851447563404066E-2</c:v>
                </c:pt>
                <c:pt idx="19">
                  <c:v>9.8478000927449086E-2</c:v>
                </c:pt>
                <c:pt idx="20">
                  <c:v>0.1010362971081845</c:v>
                </c:pt>
                <c:pt idx="21">
                  <c:v>0.10353139620424327</c:v>
                </c:pt>
                <c:pt idx="22">
                  <c:v>0.1059677623934122</c:v>
                </c:pt>
                <c:pt idx="23">
                  <c:v>0.10834935778920582</c:v>
                </c:pt>
                <c:pt idx="24">
                  <c:v>0.11067971810589328</c:v>
                </c:pt>
                <c:pt idx="25">
                  <c:v>0.11296201426438299</c:v>
                </c:pt>
                <c:pt idx="26">
                  <c:v>0.11519910300576708</c:v>
                </c:pt>
                <c:pt idx="27">
                  <c:v>0.11739356881873898</c:v>
                </c:pt>
                <c:pt idx="28">
                  <c:v>0.11954775893619532</c:v>
                </c:pt>
                <c:pt idx="29">
                  <c:v>0.12166381275191622</c:v>
                </c:pt>
                <c:pt idx="30">
                  <c:v>0.12374368670764581</c:v>
                </c:pt>
                <c:pt idx="31">
                  <c:v>0.12578917547494564</c:v>
                </c:pt>
                <c:pt idx="32">
                  <c:v>0.12780193008453877</c:v>
                </c:pt>
                <c:pt idx="33">
                  <c:v>0.12978347352417413</c:v>
                </c:pt>
                <c:pt idx="34">
                  <c:v>0.13173521422408918</c:v>
                </c:pt>
                <c:pt idx="35">
                  <c:v>0.13365845776954532</c:v>
                </c:pt>
                <c:pt idx="36">
                  <c:v>0.13555441711725957</c:v>
                </c:pt>
                <c:pt idx="37">
                  <c:v>0.13742422154288036</c:v>
                </c:pt>
                <c:pt idx="38">
                  <c:v>0.13926892450698874</c:v>
                </c:pt>
                <c:pt idx="39">
                  <c:v>0.14108951059522459</c:v>
                </c:pt>
                <c:pt idx="40">
                  <c:v>0.14288690166235204</c:v>
                </c:pt>
                <c:pt idx="41">
                  <c:v>0.14466196228910116</c:v>
                </c:pt>
                <c:pt idx="42">
                  <c:v>0.1464155046434632</c:v>
                </c:pt>
                <c:pt idx="43">
                  <c:v>0.14814829282400344</c:v>
                </c:pt>
                <c:pt idx="44">
                  <c:v>0.14986104675109319</c:v>
                </c:pt>
                <c:pt idx="45">
                  <c:v>0.15155444566227674</c:v>
                </c:pt>
                <c:pt idx="46">
                  <c:v>0.15322913125990981</c:v>
                </c:pt>
                <c:pt idx="47">
                  <c:v>0.15488571055243711</c:v>
                </c:pt>
                <c:pt idx="48">
                  <c:v>0.15652475842498526</c:v>
                </c:pt>
                <c:pt idx="49">
                  <c:v>0.15814681997013619</c:v>
                </c:pt>
                <c:pt idx="50">
                  <c:v>0.15975241260567341</c:v>
                </c:pt>
                <c:pt idx="51">
                  <c:v>0.16134202800262551</c:v>
                </c:pt>
                <c:pt idx="52">
                  <c:v>0.16291613384397097</c:v>
                </c:pt>
                <c:pt idx="53">
                  <c:v>0.16447517543183632</c:v>
                </c:pt>
                <c:pt idx="54">
                  <c:v>0.16601957715883991</c:v>
                </c:pt>
                <c:pt idx="55">
                  <c:v>0.16754974385735916</c:v>
                </c:pt>
                <c:pt idx="56">
                  <c:v>0.16906606203887681</c:v>
                </c:pt>
                <c:pt idx="57">
                  <c:v>0.17056890103415687</c:v>
                </c:pt>
                <c:pt idx="58">
                  <c:v>0.17205861404378062</c:v>
                </c:pt>
                <c:pt idx="59">
                  <c:v>0.17353553910750769</c:v>
                </c:pt>
                <c:pt idx="60">
                  <c:v>0.17499999999999999</c:v>
                </c:pt>
                <c:pt idx="61">
                  <c:v>0.17645230705963197</c:v>
                </c:pt>
                <c:pt idx="62">
                  <c:v>0.17789275795639725</c:v>
                </c:pt>
                <c:pt idx="63">
                  <c:v>0.17932163840429299</c:v>
                </c:pt>
                <c:pt idx="64">
                  <c:v>0.1807392228230128</c:v>
                </c:pt>
                <c:pt idx="65">
                  <c:v>0.1821457749532866</c:v>
                </c:pt>
                <c:pt idx="66">
                  <c:v>0.18354154842977649</c:v>
                </c:pt>
                <c:pt idx="67">
                  <c:v>0.18492678731505252</c:v>
                </c:pt>
                <c:pt idx="68">
                  <c:v>0.18630172659783198</c:v>
                </c:pt>
                <c:pt idx="69">
                  <c:v>0.18766659265836313</c:v>
                </c:pt>
                <c:pt idx="70">
                  <c:v>0.18902160370356255</c:v>
                </c:pt>
                <c:pt idx="71">
                  <c:v>0.19036697017427504</c:v>
                </c:pt>
                <c:pt idx="72">
                  <c:v>0.19170289512680813</c:v>
                </c:pt>
                <c:pt idx="73">
                  <c:v>0.19302957459070011</c:v>
                </c:pt>
                <c:pt idx="74">
                  <c:v>0.1943471979045063</c:v>
                </c:pt>
                <c:pt idx="75">
                  <c:v>0.19565594803123157</c:v>
                </c:pt>
                <c:pt idx="76">
                  <c:v>0.19695600185489817</c:v>
                </c:pt>
                <c:pt idx="77">
                  <c:v>0.19824753045960833</c:v>
                </c:pt>
                <c:pt idx="78">
                  <c:v>0.19953069939234916</c:v>
                </c:pt>
                <c:pt idx="79">
                  <c:v>0.20080566891068255</c:v>
                </c:pt>
                <c:pt idx="80">
                  <c:v>0.202072594216369</c:v>
                </c:pt>
                <c:pt idx="81">
                  <c:v>0.20333162567588939</c:v>
                </c:pt>
                <c:pt idx="82">
                  <c:v>0.20458290902875206</c:v>
                </c:pt>
                <c:pt idx="83">
                  <c:v>0.20582658558440237</c:v>
                </c:pt>
                <c:pt idx="84">
                  <c:v>0.20706279240848655</c:v>
                </c:pt>
                <c:pt idx="85">
                  <c:v>0.20829166249916645</c:v>
                </c:pt>
                <c:pt idx="86">
                  <c:v>0.20951332495412633</c:v>
                </c:pt>
                <c:pt idx="87">
                  <c:v>0.21072790512886519</c:v>
                </c:pt>
                <c:pt idx="88">
                  <c:v>0.2119355247868244</c:v>
                </c:pt>
                <c:pt idx="89">
                  <c:v>0.21313630224185959</c:v>
                </c:pt>
                <c:pt idx="90">
                  <c:v>0.21433035249352805</c:v>
                </c:pt>
                <c:pt idx="91">
                  <c:v>0.21551778735563026</c:v>
                </c:pt>
                <c:pt idx="92">
                  <c:v>0.21669871557841164</c:v>
                </c:pt>
                <c:pt idx="93">
                  <c:v>0.21787324296480276</c:v>
                </c:pt>
                <c:pt idx="94">
                  <c:v>0.21904147248105013</c:v>
                </c:pt>
                <c:pt idx="95">
                  <c:v>0.22020350436206351</c:v>
                </c:pt>
                <c:pt idx="96">
                  <c:v>0.22135943621178655</c:v>
                </c:pt>
                <c:pt idx="97">
                  <c:v>0.22250936309887426</c:v>
                </c:pt>
                <c:pt idx="98">
                  <c:v>0.22365337764794285</c:v>
                </c:pt>
                <c:pt idx="99">
                  <c:v>0.22479157012663975</c:v>
                </c:pt>
                <c:pt idx="100">
                  <c:v>0.22592402852876597</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2.4956521739130434E-3</c:v>
                </c:pt>
                <c:pt idx="1">
                  <c:v>5.6415694591728533E-3</c:v>
                </c:pt>
                <c:pt idx="2">
                  <c:v>1.1283138918345707E-2</c:v>
                </c:pt>
                <c:pt idx="3">
                  <c:v>1.6924708377518562E-2</c:v>
                </c:pt>
                <c:pt idx="4">
                  <c:v>2.2566277836691413E-2</c:v>
                </c:pt>
                <c:pt idx="5">
                  <c:v>2.8207847295864265E-2</c:v>
                </c:pt>
                <c:pt idx="6">
                  <c:v>3.3849416755037123E-2</c:v>
                </c:pt>
                <c:pt idx="7">
                  <c:v>3.9490986214209975E-2</c:v>
                </c:pt>
                <c:pt idx="8">
                  <c:v>4.5132555673382826E-2</c:v>
                </c:pt>
                <c:pt idx="9">
                  <c:v>5.0774125132555678E-2</c:v>
                </c:pt>
                <c:pt idx="10">
                  <c:v>5.641569459172853E-2</c:v>
                </c:pt>
                <c:pt idx="11">
                  <c:v>6.2057264050901381E-2</c:v>
                </c:pt>
                <c:pt idx="12">
                  <c:v>6.7698833510074247E-2</c:v>
                </c:pt>
                <c:pt idx="13">
                  <c:v>7.3340402969247098E-2</c:v>
                </c:pt>
                <c:pt idx="14">
                  <c:v>7.9760105826995151E-2</c:v>
                </c:pt>
                <c:pt idx="15">
                  <c:v>8.8456663993999415E-2</c:v>
                </c:pt>
                <c:pt idx="16">
                  <c:v>9.42987249511371E-2</c:v>
                </c:pt>
                <c:pt idx="17">
                  <c:v>9.720090083365146E-2</c:v>
                </c:pt>
                <c:pt idx="18">
                  <c:v>0.10001890180529117</c:v>
                </c:pt>
                <c:pt idx="19">
                  <c:v>0.102759653141686</c:v>
                </c:pt>
                <c:pt idx="20">
                  <c:v>0.10542917959114906</c:v>
                </c:pt>
                <c:pt idx="21">
                  <c:v>0.10803276125660168</c:v>
                </c:pt>
                <c:pt idx="22">
                  <c:v>0.11057505641051707</c:v>
                </c:pt>
                <c:pt idx="23">
                  <c:v>0.11306019943221476</c:v>
                </c:pt>
                <c:pt idx="24">
                  <c:v>0.11549187976267124</c:v>
                </c:pt>
                <c:pt idx="25">
                  <c:v>0.11787340618892138</c:v>
                </c:pt>
                <c:pt idx="26">
                  <c:v>0.12020775965819171</c:v>
                </c:pt>
                <c:pt idx="27">
                  <c:v>0.12249763702824937</c:v>
                </c:pt>
                <c:pt idx="28">
                  <c:v>0.12474548758559512</c:v>
                </c:pt>
                <c:pt idx="29">
                  <c:v>0.12695354374112996</c:v>
                </c:pt>
                <c:pt idx="30">
                  <c:v>0.12912384699928259</c:v>
                </c:pt>
                <c:pt idx="31">
                  <c:v>0.13125827006081284</c:v>
                </c:pt>
                <c:pt idx="32">
                  <c:v>0.13335853574038828</c:v>
                </c:pt>
                <c:pt idx="33">
                  <c:v>0.13542623324261646</c:v>
                </c:pt>
                <c:pt idx="34">
                  <c:v>0.13746283223383218</c:v>
                </c:pt>
                <c:pt idx="35">
                  <c:v>0.13946969506387338</c:v>
                </c:pt>
                <c:pt idx="36">
                  <c:v>0.14144808742670564</c:v>
                </c:pt>
                <c:pt idx="37">
                  <c:v>0.14339918769691867</c:v>
                </c:pt>
                <c:pt idx="38">
                  <c:v>0.14532409513772737</c:v>
                </c:pt>
                <c:pt idx="39">
                  <c:v>0.14722383714284307</c:v>
                </c:pt>
                <c:pt idx="40">
                  <c:v>0.1490993756476717</c:v>
                </c:pt>
                <c:pt idx="41">
                  <c:v>0.15095161282340991</c:v>
                </c:pt>
                <c:pt idx="42">
                  <c:v>0.15278139614970074</c:v>
                </c:pt>
                <c:pt idx="43">
                  <c:v>0.15458952294678618</c:v>
                </c:pt>
                <c:pt idx="44">
                  <c:v>0.15637674443592328</c:v>
                </c:pt>
                <c:pt idx="45">
                  <c:v>0.15814376938672356</c:v>
                </c:pt>
                <c:pt idx="46">
                  <c:v>0.159891267401645</c:v>
                </c:pt>
                <c:pt idx="47">
                  <c:v>0.16161987188080393</c:v>
                </c:pt>
                <c:pt idx="48">
                  <c:v>0.16333018270433244</c:v>
                </c:pt>
                <c:pt idx="49">
                  <c:v>0.16502276866448992</c:v>
                </c:pt>
                <c:pt idx="50">
                  <c:v>0.16669816967548531</c:v>
                </c:pt>
                <c:pt idx="51">
                  <c:v>0.16835689878534835</c:v>
                </c:pt>
                <c:pt idx="52">
                  <c:v>0.16999944401110015</c:v>
                </c:pt>
                <c:pt idx="53">
                  <c:v>0.1716262700158292</c:v>
                </c:pt>
                <c:pt idx="54">
                  <c:v>0.17323781964400684</c:v>
                </c:pt>
                <c:pt idx="55">
                  <c:v>0.17483451532941824</c:v>
                </c:pt>
                <c:pt idx="56">
                  <c:v>0.17641676038839316</c:v>
                </c:pt>
                <c:pt idx="57">
                  <c:v>0.17798494020955496</c:v>
                </c:pt>
                <c:pt idx="58">
                  <c:v>0.17953942335003195</c:v>
                </c:pt>
                <c:pt idx="59">
                  <c:v>0.18108056254696456</c:v>
                </c:pt>
                <c:pt idx="60">
                  <c:v>0.18260869565217386</c:v>
                </c:pt>
                <c:pt idx="61">
                  <c:v>0.18412414649700731</c:v>
                </c:pt>
                <c:pt idx="62">
                  <c:v>0.18562722569363188</c:v>
                </c:pt>
                <c:pt idx="63">
                  <c:v>0.18711823137839265</c:v>
                </c:pt>
                <c:pt idx="64">
                  <c:v>0.1885974499022742</c:v>
                </c:pt>
                <c:pt idx="65">
                  <c:v>0.19006515647299468</c:v>
                </c:pt>
                <c:pt idx="66">
                  <c:v>0.19152161575281026</c:v>
                </c:pt>
                <c:pt idx="67">
                  <c:v>0.19296708241570701</c:v>
                </c:pt>
                <c:pt idx="68">
                  <c:v>0.19440180166730292</c:v>
                </c:pt>
                <c:pt idx="69">
                  <c:v>0.19582600973046588</c:v>
                </c:pt>
                <c:pt idx="70">
                  <c:v>0.19723993429936965</c:v>
                </c:pt>
                <c:pt idx="71">
                  <c:v>0.19864379496446088</c:v>
                </c:pt>
                <c:pt idx="72">
                  <c:v>0.20003780361058235</c:v>
                </c:pt>
                <c:pt idx="73">
                  <c:v>0.20142216479029579</c:v>
                </c:pt>
                <c:pt idx="74">
                  <c:v>0.20279707607426742</c:v>
                </c:pt>
                <c:pt idx="75">
                  <c:v>0.20416272838041558</c:v>
                </c:pt>
                <c:pt idx="76">
                  <c:v>0.20551930628337201</c:v>
                </c:pt>
                <c:pt idx="77">
                  <c:v>0.20686698830567826</c:v>
                </c:pt>
                <c:pt idx="78">
                  <c:v>0.20820594719201649</c:v>
                </c:pt>
                <c:pt idx="79">
                  <c:v>0.20953635016766875</c:v>
                </c:pt>
                <c:pt idx="80">
                  <c:v>0.21085835918229812</c:v>
                </c:pt>
                <c:pt idx="81">
                  <c:v>0.21217213114005851</c:v>
                </c:pt>
                <c:pt idx="82">
                  <c:v>0.21347781811695871</c:v>
                </c:pt>
                <c:pt idx="83">
                  <c:v>0.2147755675663329</c:v>
                </c:pt>
                <c:pt idx="84">
                  <c:v>0.21606552251320335</c:v>
                </c:pt>
                <c:pt idx="85">
                  <c:v>0.21734782173826064</c:v>
                </c:pt>
                <c:pt idx="86">
                  <c:v>0.21862259995213182</c:v>
                </c:pt>
                <c:pt idx="87">
                  <c:v>0.21988998796055498</c:v>
                </c:pt>
                <c:pt idx="88">
                  <c:v>0.22115011282103414</c:v>
                </c:pt>
                <c:pt idx="89">
                  <c:v>0.22240309799150565</c:v>
                </c:pt>
                <c:pt idx="90">
                  <c:v>0.22364906347150756</c:v>
                </c:pt>
                <c:pt idx="91">
                  <c:v>0.22488812593630983</c:v>
                </c:pt>
                <c:pt idx="92">
                  <c:v>0.22612039886442953</c:v>
                </c:pt>
                <c:pt idx="93">
                  <c:v>0.22734599265892469</c:v>
                </c:pt>
                <c:pt idx="94">
                  <c:v>0.22856501476283492</c:v>
                </c:pt>
                <c:pt idx="95">
                  <c:v>0.22977756976910974</c:v>
                </c:pt>
                <c:pt idx="96">
                  <c:v>0.23098375952534247</c:v>
                </c:pt>
                <c:pt idx="97">
                  <c:v>0.23218368323360794</c:v>
                </c:pt>
                <c:pt idx="98">
                  <c:v>0.23337743754567952</c:v>
                </c:pt>
                <c:pt idx="99">
                  <c:v>0.23456511665388494</c:v>
                </c:pt>
                <c:pt idx="100">
                  <c:v>0.23574681237784276</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2.2959999999999999E-3</c:v>
                </c:pt>
                <c:pt idx="1">
                  <c:v>5.1902439024390243E-3</c:v>
                </c:pt>
                <c:pt idx="2">
                  <c:v>1.0380487804878049E-2</c:v>
                </c:pt>
                <c:pt idx="3">
                  <c:v>1.5570731707317076E-2</c:v>
                </c:pt>
                <c:pt idx="4">
                  <c:v>2.0760975609756097E-2</c:v>
                </c:pt>
                <c:pt idx="5">
                  <c:v>2.5951219512195121E-2</c:v>
                </c:pt>
                <c:pt idx="6">
                  <c:v>3.1141463414634151E-2</c:v>
                </c:pt>
                <c:pt idx="7">
                  <c:v>3.6331707317073171E-2</c:v>
                </c:pt>
                <c:pt idx="8">
                  <c:v>4.1521951219512195E-2</c:v>
                </c:pt>
                <c:pt idx="9">
                  <c:v>4.6712195121951218E-2</c:v>
                </c:pt>
                <c:pt idx="10">
                  <c:v>5.1902439024390241E-2</c:v>
                </c:pt>
                <c:pt idx="11">
                  <c:v>5.7092682926829265E-2</c:v>
                </c:pt>
                <c:pt idx="12">
                  <c:v>6.2282926829268302E-2</c:v>
                </c:pt>
                <c:pt idx="13">
                  <c:v>6.7473170731707333E-2</c:v>
                </c:pt>
                <c:pt idx="14">
                  <c:v>7.3379297360835524E-2</c:v>
                </c:pt>
                <c:pt idx="15">
                  <c:v>8.1380130874479484E-2</c:v>
                </c:pt>
                <c:pt idx="16">
                  <c:v>8.6754826955046146E-2</c:v>
                </c:pt>
                <c:pt idx="17">
                  <c:v>8.9424828766959341E-2</c:v>
                </c:pt>
                <c:pt idx="18">
                  <c:v>9.2017389660867893E-2</c:v>
                </c:pt>
                <c:pt idx="19">
                  <c:v>9.4538880890351118E-2</c:v>
                </c:pt>
                <c:pt idx="20">
                  <c:v>9.6994845223857123E-2</c:v>
                </c:pt>
                <c:pt idx="21">
                  <c:v>9.9390140356073547E-2</c:v>
                </c:pt>
                <c:pt idx="22">
                  <c:v>0.1017290518976757</c:v>
                </c:pt>
                <c:pt idx="23">
                  <c:v>0.10401538347763757</c:v>
                </c:pt>
                <c:pt idx="24">
                  <c:v>0.10625252938165754</c:v>
                </c:pt>
                <c:pt idx="25">
                  <c:v>0.10844353369380767</c:v>
                </c:pt>
                <c:pt idx="26">
                  <c:v>0.11059113888553639</c:v>
                </c:pt>
                <c:pt idx="27">
                  <c:v>0.11269782606598941</c:v>
                </c:pt>
                <c:pt idx="28">
                  <c:v>0.11476584857874751</c:v>
                </c:pt>
                <c:pt idx="29">
                  <c:v>0.11679726024183959</c:v>
                </c:pt>
                <c:pt idx="30">
                  <c:v>0.11879393923933999</c:v>
                </c:pt>
                <c:pt idx="31">
                  <c:v>0.12075760845594781</c:v>
                </c:pt>
                <c:pt idx="32">
                  <c:v>0.12268985288115723</c:v>
                </c:pt>
                <c:pt idx="33">
                  <c:v>0.12459213458320714</c:v>
                </c:pt>
                <c:pt idx="34">
                  <c:v>0.12646580565512561</c:v>
                </c:pt>
                <c:pt idx="35">
                  <c:v>0.1283121194587635</c:v>
                </c:pt>
                <c:pt idx="36">
                  <c:v>0.13013224043256919</c:v>
                </c:pt>
                <c:pt idx="37">
                  <c:v>0.13192725268116515</c:v>
                </c:pt>
                <c:pt idx="38">
                  <c:v>0.13369816752670918</c:v>
                </c:pt>
                <c:pt idx="39">
                  <c:v>0.13544593017141562</c:v>
                </c:pt>
                <c:pt idx="40">
                  <c:v>0.13717142559585799</c:v>
                </c:pt>
                <c:pt idx="41">
                  <c:v>0.13887548379753711</c:v>
                </c:pt>
                <c:pt idx="42">
                  <c:v>0.14055888445772469</c:v>
                </c:pt>
                <c:pt idx="43">
                  <c:v>0.14222236111104328</c:v>
                </c:pt>
                <c:pt idx="44">
                  <c:v>0.14386660488104944</c:v>
                </c:pt>
                <c:pt idx="45">
                  <c:v>0.14549226783578567</c:v>
                </c:pt>
                <c:pt idx="46">
                  <c:v>0.14709996600951339</c:v>
                </c:pt>
                <c:pt idx="47">
                  <c:v>0.14869028213033961</c:v>
                </c:pt>
                <c:pt idx="48">
                  <c:v>0.15026376808798583</c:v>
                </c:pt>
                <c:pt idx="49">
                  <c:v>0.15182094717133074</c:v>
                </c:pt>
                <c:pt idx="50">
                  <c:v>0.15336231610144649</c:v>
                </c:pt>
                <c:pt idx="51">
                  <c:v>0.15488834688252051</c:v>
                </c:pt>
                <c:pt idx="52">
                  <c:v>0.15639948849021215</c:v>
                </c:pt>
                <c:pt idx="53">
                  <c:v>0.15789616841456289</c:v>
                </c:pt>
                <c:pt idx="54">
                  <c:v>0.15937879407248631</c:v>
                </c:pt>
                <c:pt idx="55">
                  <c:v>0.16084775410306479</c:v>
                </c:pt>
                <c:pt idx="56">
                  <c:v>0.16230341955732169</c:v>
                </c:pt>
                <c:pt idx="57">
                  <c:v>0.16374614499279055</c:v>
                </c:pt>
                <c:pt idx="58">
                  <c:v>0.1651762694820294</c:v>
                </c:pt>
                <c:pt idx="59">
                  <c:v>0.16659411754320738</c:v>
                </c:pt>
                <c:pt idx="60">
                  <c:v>0.16799999999999998</c:v>
                </c:pt>
                <c:pt idx="61">
                  <c:v>0.16939421477724673</c:v>
                </c:pt>
                <c:pt idx="62">
                  <c:v>0.17077704763814136</c:v>
                </c:pt>
                <c:pt idx="63">
                  <c:v>0.17214877286812125</c:v>
                </c:pt>
                <c:pt idx="64">
                  <c:v>0.17350965391009229</c:v>
                </c:pt>
                <c:pt idx="65">
                  <c:v>0.17485994395515514</c:v>
                </c:pt>
                <c:pt idx="66">
                  <c:v>0.17619988649258542</c:v>
                </c:pt>
                <c:pt idx="67">
                  <c:v>0.17752971582245045</c:v>
                </c:pt>
                <c:pt idx="68">
                  <c:v>0.17884965753391868</c:v>
                </c:pt>
                <c:pt idx="69">
                  <c:v>0.18015992895202859</c:v>
                </c:pt>
                <c:pt idx="70">
                  <c:v>0.18146073955542005</c:v>
                </c:pt>
                <c:pt idx="71">
                  <c:v>0.18275229136730403</c:v>
                </c:pt>
                <c:pt idx="72">
                  <c:v>0.18403477932173579</c:v>
                </c:pt>
                <c:pt idx="73">
                  <c:v>0.18530839160707213</c:v>
                </c:pt>
                <c:pt idx="74">
                  <c:v>0.18657330998832605</c:v>
                </c:pt>
                <c:pt idx="75">
                  <c:v>0.18782971010998231</c:v>
                </c:pt>
                <c:pt idx="76">
                  <c:v>0.18907776178070224</c:v>
                </c:pt>
                <c:pt idx="77">
                  <c:v>0.19031762924122397</c:v>
                </c:pt>
                <c:pt idx="78">
                  <c:v>0.19154947141665518</c:v>
                </c:pt>
                <c:pt idx="79">
                  <c:v>0.19277344215425524</c:v>
                </c:pt>
                <c:pt idx="80">
                  <c:v>0.19398969044771425</c:v>
                </c:pt>
                <c:pt idx="81">
                  <c:v>0.19519836064885387</c:v>
                </c:pt>
                <c:pt idx="82">
                  <c:v>0.19639959266760199</c:v>
                </c:pt>
                <c:pt idx="83">
                  <c:v>0.19759352216102627</c:v>
                </c:pt>
                <c:pt idx="84">
                  <c:v>0.19878028071214709</c:v>
                </c:pt>
                <c:pt idx="85">
                  <c:v>0.19995999599919978</c:v>
                </c:pt>
                <c:pt idx="86">
                  <c:v>0.20113279195596129</c:v>
                </c:pt>
                <c:pt idx="87">
                  <c:v>0.20229878892371059</c:v>
                </c:pt>
                <c:pt idx="88">
                  <c:v>0.2034581037953514</c:v>
                </c:pt>
                <c:pt idx="89">
                  <c:v>0.20461085015218522</c:v>
                </c:pt>
                <c:pt idx="90">
                  <c:v>0.20575713839378695</c:v>
                </c:pt>
                <c:pt idx="91">
                  <c:v>0.20689707586140504</c:v>
                </c:pt>
                <c:pt idx="92">
                  <c:v>0.20803076695527514</c:v>
                </c:pt>
                <c:pt idx="93">
                  <c:v>0.20915831324621068</c:v>
                </c:pt>
                <c:pt idx="94">
                  <c:v>0.21027981358180811</c:v>
                </c:pt>
                <c:pt idx="95">
                  <c:v>0.21139536418758098</c:v>
                </c:pt>
                <c:pt idx="96">
                  <c:v>0.21250505876331507</c:v>
                </c:pt>
                <c:pt idx="97">
                  <c:v>0.21360898857491928</c:v>
                </c:pt>
                <c:pt idx="98">
                  <c:v>0.21470724254202517</c:v>
                </c:pt>
                <c:pt idx="99">
                  <c:v>0.21579990732157414</c:v>
                </c:pt>
                <c:pt idx="100">
                  <c:v>0.21688706738761535</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0.82807867121082501</c:v>
                </c:pt>
                <c:pt idx="15">
                  <c:v>0.8571428571428571</c:v>
                </c:pt>
                <c:pt idx="16">
                  <c:v>0.88525333627598102</c:v>
                </c:pt>
                <c:pt idx="17">
                  <c:v>0.91249825272407492</c:v>
                </c:pt>
                <c:pt idx="18">
                  <c:v>0.93895295572314186</c:v>
                </c:pt>
                <c:pt idx="19">
                  <c:v>0.96468245806480746</c:v>
                </c:pt>
                <c:pt idx="20">
                  <c:v>0.9897433186107869</c:v>
                </c:pt>
                <c:pt idx="21">
                  <c:v>1.0141851056742199</c:v>
                </c:pt>
                <c:pt idx="22">
                  <c:v>1.0380515499762828</c:v>
                </c:pt>
                <c:pt idx="23">
                  <c:v>1.0613814640575263</c:v>
                </c:pt>
                <c:pt idx="24">
                  <c:v>1.0842094834863014</c:v>
                </c:pt>
                <c:pt idx="25">
                  <c:v>1.1065666703449761</c:v>
                </c:pt>
                <c:pt idx="26">
                  <c:v>1.1284810090360857</c:v>
                </c:pt>
                <c:pt idx="27">
                  <c:v>1.149977816999892</c:v>
                </c:pt>
                <c:pt idx="28">
                  <c:v>1.1710800875382399</c:v>
                </c:pt>
                <c:pt idx="29">
                  <c:v>1.1918087779779549</c:v>
                </c:pt>
                <c:pt idx="30">
                  <c:v>1.2121830534626528</c:v>
                </c:pt>
                <c:pt idx="31">
                  <c:v>1.2322204944484472</c:v>
                </c:pt>
                <c:pt idx="32">
                  <c:v>1.2519372742975226</c:v>
                </c:pt>
                <c:pt idx="33">
                  <c:v>1.2713483120735423</c:v>
                </c:pt>
                <c:pt idx="34">
                  <c:v>1.2904674046441389</c:v>
                </c:pt>
                <c:pt idx="35">
                  <c:v>1.3093073414159542</c:v>
                </c:pt>
                <c:pt idx="36">
                  <c:v>1.3278800044139714</c:v>
                </c:pt>
                <c:pt idx="37">
                  <c:v>1.3461964559302568</c:v>
                </c:pt>
                <c:pt idx="38">
                  <c:v>1.3642670155786651</c:v>
                </c:pt>
                <c:pt idx="39">
                  <c:v>1.3821013282797514</c:v>
                </c:pt>
                <c:pt idx="40">
                  <c:v>1.3997084244475302</c:v>
                </c:pt>
                <c:pt idx="41">
                  <c:v>1.4170967734442563</c:v>
                </c:pt>
                <c:pt idx="42">
                  <c:v>1.4342743312012722</c:v>
                </c:pt>
                <c:pt idx="43">
                  <c:v>1.451248582765748</c:v>
                </c:pt>
                <c:pt idx="44">
                  <c:v>1.4680265804188719</c:v>
                </c:pt>
                <c:pt idx="45">
                  <c:v>1.4846149779161804</c:v>
                </c:pt>
                <c:pt idx="46">
                  <c:v>1.5010200613215654</c:v>
                </c:pt>
                <c:pt idx="47">
                  <c:v>1.5172477768402002</c:v>
                </c:pt>
                <c:pt idx="48">
                  <c:v>1.5333037559998557</c:v>
                </c:pt>
                <c:pt idx="49">
                  <c:v>1.5491933384829668</c:v>
                </c:pt>
                <c:pt idx="50">
                  <c:v>1.5649215928719031</c:v>
                </c:pt>
                <c:pt idx="51">
                  <c:v>1.5804933355359234</c:v>
                </c:pt>
                <c:pt idx="52">
                  <c:v>1.5959131478593076</c:v>
                </c:pt>
                <c:pt idx="53">
                  <c:v>1.6111853919853356</c:v>
                </c:pt>
                <c:pt idx="54">
                  <c:v>1.6263142252294522</c:v>
                </c:pt>
                <c:pt idx="55">
                  <c:v>1.6413036132965795</c:v>
                </c:pt>
                <c:pt idx="56">
                  <c:v>1.65615734242165</c:v>
                </c:pt>
                <c:pt idx="57">
                  <c:v>1.6708790305386794</c:v>
                </c:pt>
                <c:pt idx="58">
                  <c:v>1.6854721375717285</c:v>
                </c:pt>
                <c:pt idx="59">
                  <c:v>1.6999399749306876</c:v>
                </c:pt>
                <c:pt idx="60">
                  <c:v>1.7142857142857142</c:v>
                </c:pt>
                <c:pt idx="61">
                  <c:v>1.7285123956861912</c:v>
                </c:pt>
                <c:pt idx="62">
                  <c:v>1.7426229350830751</c:v>
                </c:pt>
                <c:pt idx="63">
                  <c:v>1.7566201313073597</c:v>
                </c:pt>
                <c:pt idx="64">
                  <c:v>1.770506672551962</c:v>
                </c:pt>
                <c:pt idx="65">
                  <c:v>1.7842851423995423</c:v>
                </c:pt>
                <c:pt idx="66">
                  <c:v>1.7979580254345455</c:v>
                </c:pt>
                <c:pt idx="67">
                  <c:v>1.8115277124739839</c:v>
                </c:pt>
                <c:pt idx="68">
                  <c:v>1.8249965054481498</c:v>
                </c:pt>
                <c:pt idx="69">
                  <c:v>1.8383666219594756</c:v>
                </c:pt>
                <c:pt idx="70">
                  <c:v>1.8516401995451028</c:v>
                </c:pt>
                <c:pt idx="71">
                  <c:v>1.8648192996663679</c:v>
                </c:pt>
                <c:pt idx="72">
                  <c:v>1.8779059114462837</c:v>
                </c:pt>
                <c:pt idx="73">
                  <c:v>1.8909019551742052</c:v>
                </c:pt>
                <c:pt idx="74">
                  <c:v>1.9038092855951636</c:v>
                </c:pt>
                <c:pt idx="75">
                  <c:v>1.9166296949998196</c:v>
                </c:pt>
                <c:pt idx="76">
                  <c:v>1.9293649161296149</c:v>
                </c:pt>
                <c:pt idx="77">
                  <c:v>1.9420166249104489</c:v>
                </c:pt>
                <c:pt idx="78">
                  <c:v>1.9545864430270936</c:v>
                </c:pt>
                <c:pt idx="79">
                  <c:v>1.9670759403495435</c:v>
                </c:pt>
                <c:pt idx="80">
                  <c:v>1.9794866372215738</c:v>
                </c:pt>
                <c:pt idx="81">
                  <c:v>1.9918200066209575</c:v>
                </c:pt>
                <c:pt idx="82">
                  <c:v>2.0040774762000204</c:v>
                </c:pt>
                <c:pt idx="83">
                  <c:v>2.0162604302145541</c:v>
                </c:pt>
                <c:pt idx="84">
                  <c:v>2.0283702113484399</c:v>
                </c:pt>
                <c:pt idx="85">
                  <c:v>2.0404081224408142</c:v>
                </c:pt>
                <c:pt idx="86">
                  <c:v>2.0523754281220539</c:v>
                </c:pt>
                <c:pt idx="87">
                  <c:v>2.0642733563643936</c:v>
                </c:pt>
                <c:pt idx="88">
                  <c:v>2.0761030999525656</c:v>
                </c:pt>
                <c:pt idx="89">
                  <c:v>2.0878658178794409</c:v>
                </c:pt>
                <c:pt idx="90">
                  <c:v>2.0995626366712954</c:v>
                </c:pt>
                <c:pt idx="91">
                  <c:v>2.1111946516469904</c:v>
                </c:pt>
                <c:pt idx="92">
                  <c:v>2.1227629281150526</c:v>
                </c:pt>
                <c:pt idx="93">
                  <c:v>2.134268502512354</c:v>
                </c:pt>
                <c:pt idx="94">
                  <c:v>2.145712383487838</c:v>
                </c:pt>
                <c:pt idx="95">
                  <c:v>2.1570955529344999</c:v>
                </c:pt>
                <c:pt idx="96">
                  <c:v>2.1684189669726028</c:v>
                </c:pt>
                <c:pt idx="97">
                  <c:v>2.1796835568869315</c:v>
                </c:pt>
                <c:pt idx="98">
                  <c:v>2.1908902300206647</c:v>
                </c:pt>
                <c:pt idx="99">
                  <c:v>2.2020398706283077</c:v>
                </c:pt>
                <c:pt idx="100">
                  <c:v>2.2131333406899523</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0.82807867121082501</c:v>
                </c:pt>
                <c:pt idx="15">
                  <c:v>0.8571428571428571</c:v>
                </c:pt>
                <c:pt idx="16">
                  <c:v>0.88525333627598102</c:v>
                </c:pt>
                <c:pt idx="17">
                  <c:v>0.91249825272407492</c:v>
                </c:pt>
                <c:pt idx="18">
                  <c:v>0.93895295572314186</c:v>
                </c:pt>
                <c:pt idx="19">
                  <c:v>0.96468245806480746</c:v>
                </c:pt>
                <c:pt idx="20">
                  <c:v>0.9897433186107869</c:v>
                </c:pt>
                <c:pt idx="21">
                  <c:v>1.0141851056742199</c:v>
                </c:pt>
                <c:pt idx="22">
                  <c:v>1.0380515499762828</c:v>
                </c:pt>
                <c:pt idx="23">
                  <c:v>1.0613814640575263</c:v>
                </c:pt>
                <c:pt idx="24">
                  <c:v>1.0842094834863014</c:v>
                </c:pt>
                <c:pt idx="25">
                  <c:v>1.1065666703449761</c:v>
                </c:pt>
                <c:pt idx="26">
                  <c:v>1.1284810090360857</c:v>
                </c:pt>
                <c:pt idx="27">
                  <c:v>1.149977816999892</c:v>
                </c:pt>
                <c:pt idx="28">
                  <c:v>1.1710800875382399</c:v>
                </c:pt>
                <c:pt idx="29">
                  <c:v>1.1918087779779549</c:v>
                </c:pt>
                <c:pt idx="30">
                  <c:v>1.2121830534626528</c:v>
                </c:pt>
                <c:pt idx="31">
                  <c:v>1.2322204944484472</c:v>
                </c:pt>
                <c:pt idx="32">
                  <c:v>1.2519372742975226</c:v>
                </c:pt>
                <c:pt idx="33">
                  <c:v>1.2713483120735423</c:v>
                </c:pt>
                <c:pt idx="34">
                  <c:v>1.2904674046441389</c:v>
                </c:pt>
                <c:pt idx="35">
                  <c:v>1.3093073414159542</c:v>
                </c:pt>
                <c:pt idx="36">
                  <c:v>1.3278800044139714</c:v>
                </c:pt>
                <c:pt idx="37">
                  <c:v>1.3461964559302568</c:v>
                </c:pt>
                <c:pt idx="38">
                  <c:v>1.3642670155786651</c:v>
                </c:pt>
                <c:pt idx="39">
                  <c:v>1.3821013282797514</c:v>
                </c:pt>
                <c:pt idx="40">
                  <c:v>1.3997084244475302</c:v>
                </c:pt>
                <c:pt idx="41">
                  <c:v>1.4170967734442563</c:v>
                </c:pt>
                <c:pt idx="42">
                  <c:v>1.4342743312012722</c:v>
                </c:pt>
                <c:pt idx="43">
                  <c:v>1.451248582765748</c:v>
                </c:pt>
                <c:pt idx="44">
                  <c:v>1.4680265804188719</c:v>
                </c:pt>
                <c:pt idx="45">
                  <c:v>1.4846149779161804</c:v>
                </c:pt>
                <c:pt idx="46">
                  <c:v>1.5010200613215654</c:v>
                </c:pt>
                <c:pt idx="47">
                  <c:v>1.5172477768402002</c:v>
                </c:pt>
                <c:pt idx="48">
                  <c:v>1.5333037559998557</c:v>
                </c:pt>
                <c:pt idx="49">
                  <c:v>1.5491933384829668</c:v>
                </c:pt>
                <c:pt idx="50">
                  <c:v>1.5649215928719031</c:v>
                </c:pt>
                <c:pt idx="51">
                  <c:v>1.5804933355359234</c:v>
                </c:pt>
                <c:pt idx="52">
                  <c:v>1.5959131478593076</c:v>
                </c:pt>
                <c:pt idx="53">
                  <c:v>1.6111853919853356</c:v>
                </c:pt>
                <c:pt idx="54">
                  <c:v>1.6263142252294522</c:v>
                </c:pt>
                <c:pt idx="55">
                  <c:v>1.6413036132965795</c:v>
                </c:pt>
                <c:pt idx="56">
                  <c:v>1.65615734242165</c:v>
                </c:pt>
                <c:pt idx="57">
                  <c:v>1.6708790305386794</c:v>
                </c:pt>
                <c:pt idx="58">
                  <c:v>1.6854721375717285</c:v>
                </c:pt>
                <c:pt idx="59">
                  <c:v>1.6999399749306876</c:v>
                </c:pt>
                <c:pt idx="60">
                  <c:v>1.7142857142857142</c:v>
                </c:pt>
                <c:pt idx="61">
                  <c:v>1.7285123956861912</c:v>
                </c:pt>
                <c:pt idx="62">
                  <c:v>1.7426229350830751</c:v>
                </c:pt>
                <c:pt idx="63">
                  <c:v>1.7566201313073597</c:v>
                </c:pt>
                <c:pt idx="64">
                  <c:v>1.770506672551962</c:v>
                </c:pt>
                <c:pt idx="65">
                  <c:v>1.7842851423995423</c:v>
                </c:pt>
                <c:pt idx="66">
                  <c:v>1.7979580254345455</c:v>
                </c:pt>
                <c:pt idx="67">
                  <c:v>1.8115277124739839</c:v>
                </c:pt>
                <c:pt idx="68">
                  <c:v>1.8249965054481498</c:v>
                </c:pt>
                <c:pt idx="69">
                  <c:v>1.8383666219594756</c:v>
                </c:pt>
                <c:pt idx="70">
                  <c:v>1.8516401995451028</c:v>
                </c:pt>
                <c:pt idx="71">
                  <c:v>1.8648192996663679</c:v>
                </c:pt>
                <c:pt idx="72">
                  <c:v>1.8779059114462837</c:v>
                </c:pt>
                <c:pt idx="73">
                  <c:v>1.8909019551742052</c:v>
                </c:pt>
                <c:pt idx="74">
                  <c:v>1.9038092855951636</c:v>
                </c:pt>
                <c:pt idx="75">
                  <c:v>1.9166296949998196</c:v>
                </c:pt>
                <c:pt idx="76">
                  <c:v>1.9293649161296149</c:v>
                </c:pt>
                <c:pt idx="77">
                  <c:v>1.9420166249104489</c:v>
                </c:pt>
                <c:pt idx="78">
                  <c:v>1.9545864430270936</c:v>
                </c:pt>
                <c:pt idx="79">
                  <c:v>1.9670759403495435</c:v>
                </c:pt>
                <c:pt idx="80">
                  <c:v>1.9794866372215738</c:v>
                </c:pt>
                <c:pt idx="81">
                  <c:v>1.9918200066209575</c:v>
                </c:pt>
                <c:pt idx="82">
                  <c:v>2.0040774762000204</c:v>
                </c:pt>
                <c:pt idx="83">
                  <c:v>2.0162604302145541</c:v>
                </c:pt>
                <c:pt idx="84">
                  <c:v>2.0283702113484399</c:v>
                </c:pt>
                <c:pt idx="85">
                  <c:v>2.0404081224408142</c:v>
                </c:pt>
                <c:pt idx="86">
                  <c:v>2.0523754281220539</c:v>
                </c:pt>
                <c:pt idx="87">
                  <c:v>2.0642733563643936</c:v>
                </c:pt>
                <c:pt idx="88">
                  <c:v>2.0761030999525656</c:v>
                </c:pt>
                <c:pt idx="89">
                  <c:v>2.0878658178794409</c:v>
                </c:pt>
                <c:pt idx="90">
                  <c:v>2.0995626366712954</c:v>
                </c:pt>
                <c:pt idx="91">
                  <c:v>2.1111946516469904</c:v>
                </c:pt>
                <c:pt idx="92">
                  <c:v>2.1227629281150526</c:v>
                </c:pt>
                <c:pt idx="93">
                  <c:v>2.134268502512354</c:v>
                </c:pt>
                <c:pt idx="94">
                  <c:v>2.145712383487838</c:v>
                </c:pt>
                <c:pt idx="95">
                  <c:v>2.1570955529344999</c:v>
                </c:pt>
                <c:pt idx="96">
                  <c:v>2.1684189669726028</c:v>
                </c:pt>
                <c:pt idx="97">
                  <c:v>2.1796835568869315</c:v>
                </c:pt>
                <c:pt idx="98">
                  <c:v>2.1908902300206647</c:v>
                </c:pt>
                <c:pt idx="99">
                  <c:v>2.2020398706283077</c:v>
                </c:pt>
                <c:pt idx="100">
                  <c:v>2.2131333406899523</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0.82807867121082501</c:v>
                </c:pt>
                <c:pt idx="15">
                  <c:v>0.8571428571428571</c:v>
                </c:pt>
                <c:pt idx="16">
                  <c:v>0.88525333627598102</c:v>
                </c:pt>
                <c:pt idx="17">
                  <c:v>0.91249825272407492</c:v>
                </c:pt>
                <c:pt idx="18">
                  <c:v>0.93895295572314186</c:v>
                </c:pt>
                <c:pt idx="19">
                  <c:v>0.96468245806480746</c:v>
                </c:pt>
                <c:pt idx="20">
                  <c:v>0.9897433186107869</c:v>
                </c:pt>
                <c:pt idx="21">
                  <c:v>1.0141851056742199</c:v>
                </c:pt>
                <c:pt idx="22">
                  <c:v>1.0380515499762828</c:v>
                </c:pt>
                <c:pt idx="23">
                  <c:v>1.0613814640575263</c:v>
                </c:pt>
                <c:pt idx="24">
                  <c:v>1.0842094834863014</c:v>
                </c:pt>
                <c:pt idx="25">
                  <c:v>1.1065666703449761</c:v>
                </c:pt>
                <c:pt idx="26">
                  <c:v>1.1284810090360857</c:v>
                </c:pt>
                <c:pt idx="27">
                  <c:v>1.149977816999892</c:v>
                </c:pt>
                <c:pt idx="28">
                  <c:v>1.1710800875382399</c:v>
                </c:pt>
                <c:pt idx="29">
                  <c:v>1.1918087779779549</c:v>
                </c:pt>
                <c:pt idx="30">
                  <c:v>1.2121830534626528</c:v>
                </c:pt>
                <c:pt idx="31">
                  <c:v>1.2322204944484472</c:v>
                </c:pt>
                <c:pt idx="32">
                  <c:v>1.2519372742975226</c:v>
                </c:pt>
                <c:pt idx="33">
                  <c:v>1.2713483120735423</c:v>
                </c:pt>
                <c:pt idx="34">
                  <c:v>1.2904674046441389</c:v>
                </c:pt>
                <c:pt idx="35">
                  <c:v>1.3093073414159542</c:v>
                </c:pt>
                <c:pt idx="36">
                  <c:v>1.3278800044139714</c:v>
                </c:pt>
                <c:pt idx="37">
                  <c:v>1.3461964559302568</c:v>
                </c:pt>
                <c:pt idx="38">
                  <c:v>1.3642670155786651</c:v>
                </c:pt>
                <c:pt idx="39">
                  <c:v>1.3821013282797514</c:v>
                </c:pt>
                <c:pt idx="40">
                  <c:v>1.3997084244475302</c:v>
                </c:pt>
                <c:pt idx="41">
                  <c:v>1.4170967734442563</c:v>
                </c:pt>
                <c:pt idx="42">
                  <c:v>1.4342743312012722</c:v>
                </c:pt>
                <c:pt idx="43">
                  <c:v>1.451248582765748</c:v>
                </c:pt>
                <c:pt idx="44">
                  <c:v>1.4680265804188719</c:v>
                </c:pt>
                <c:pt idx="45">
                  <c:v>1.4846149779161804</c:v>
                </c:pt>
                <c:pt idx="46">
                  <c:v>1.5010200613215654</c:v>
                </c:pt>
                <c:pt idx="47">
                  <c:v>1.5172477768402002</c:v>
                </c:pt>
                <c:pt idx="48">
                  <c:v>1.5333037559998557</c:v>
                </c:pt>
                <c:pt idx="49">
                  <c:v>1.5491933384829668</c:v>
                </c:pt>
                <c:pt idx="50">
                  <c:v>1.5649215928719031</c:v>
                </c:pt>
                <c:pt idx="51">
                  <c:v>1.5804933355359234</c:v>
                </c:pt>
                <c:pt idx="52">
                  <c:v>1.5959131478593076</c:v>
                </c:pt>
                <c:pt idx="53">
                  <c:v>1.6111853919853356</c:v>
                </c:pt>
                <c:pt idx="54">
                  <c:v>1.6263142252294522</c:v>
                </c:pt>
                <c:pt idx="55">
                  <c:v>1.6413036132965795</c:v>
                </c:pt>
                <c:pt idx="56">
                  <c:v>1.65615734242165</c:v>
                </c:pt>
                <c:pt idx="57">
                  <c:v>1.6708790305386794</c:v>
                </c:pt>
                <c:pt idx="58">
                  <c:v>1.6854721375717285</c:v>
                </c:pt>
                <c:pt idx="59">
                  <c:v>1.6999399749306876</c:v>
                </c:pt>
                <c:pt idx="60">
                  <c:v>1.7142857142857142</c:v>
                </c:pt>
                <c:pt idx="61">
                  <c:v>1.7285123956861912</c:v>
                </c:pt>
                <c:pt idx="62">
                  <c:v>1.7426229350830751</c:v>
                </c:pt>
                <c:pt idx="63">
                  <c:v>1.7566201313073597</c:v>
                </c:pt>
                <c:pt idx="64">
                  <c:v>1.770506672551962</c:v>
                </c:pt>
                <c:pt idx="65">
                  <c:v>1.7842851423995423</c:v>
                </c:pt>
                <c:pt idx="66">
                  <c:v>1.7979580254345455</c:v>
                </c:pt>
                <c:pt idx="67">
                  <c:v>1.8115277124739839</c:v>
                </c:pt>
                <c:pt idx="68">
                  <c:v>1.8249965054481498</c:v>
                </c:pt>
                <c:pt idx="69">
                  <c:v>1.8383666219594756</c:v>
                </c:pt>
                <c:pt idx="70">
                  <c:v>1.8516401995451028</c:v>
                </c:pt>
                <c:pt idx="71">
                  <c:v>1.8648192996663679</c:v>
                </c:pt>
                <c:pt idx="72">
                  <c:v>1.8779059114462837</c:v>
                </c:pt>
                <c:pt idx="73">
                  <c:v>1.8909019551742052</c:v>
                </c:pt>
                <c:pt idx="74">
                  <c:v>1.9038092855951636</c:v>
                </c:pt>
                <c:pt idx="75">
                  <c:v>1.9166296949998196</c:v>
                </c:pt>
                <c:pt idx="76">
                  <c:v>1.9293649161296149</c:v>
                </c:pt>
                <c:pt idx="77">
                  <c:v>1.9420166249104489</c:v>
                </c:pt>
                <c:pt idx="78">
                  <c:v>1.9545864430270936</c:v>
                </c:pt>
                <c:pt idx="79">
                  <c:v>1.9670759403495435</c:v>
                </c:pt>
                <c:pt idx="80">
                  <c:v>1.9794866372215738</c:v>
                </c:pt>
                <c:pt idx="81">
                  <c:v>1.9918200066209575</c:v>
                </c:pt>
                <c:pt idx="82">
                  <c:v>2.0040774762000204</c:v>
                </c:pt>
                <c:pt idx="83">
                  <c:v>2.0162604302145541</c:v>
                </c:pt>
                <c:pt idx="84">
                  <c:v>2.0283702113484399</c:v>
                </c:pt>
                <c:pt idx="85">
                  <c:v>2.0404081224408142</c:v>
                </c:pt>
                <c:pt idx="86">
                  <c:v>2.0523754281220539</c:v>
                </c:pt>
                <c:pt idx="87">
                  <c:v>2.0642733563643936</c:v>
                </c:pt>
                <c:pt idx="88">
                  <c:v>2.0761030999525656</c:v>
                </c:pt>
                <c:pt idx="89">
                  <c:v>2.0878658178794409</c:v>
                </c:pt>
                <c:pt idx="90">
                  <c:v>2.0995626366712954</c:v>
                </c:pt>
                <c:pt idx="91">
                  <c:v>2.1111946516469904</c:v>
                </c:pt>
                <c:pt idx="92">
                  <c:v>2.1227629281150526</c:v>
                </c:pt>
                <c:pt idx="93">
                  <c:v>2.134268502512354</c:v>
                </c:pt>
                <c:pt idx="94">
                  <c:v>2.145712383487838</c:v>
                </c:pt>
                <c:pt idx="95">
                  <c:v>2.1570955529344999</c:v>
                </c:pt>
                <c:pt idx="96">
                  <c:v>2.1684189669726028</c:v>
                </c:pt>
                <c:pt idx="97">
                  <c:v>2.1796835568869315</c:v>
                </c:pt>
                <c:pt idx="98">
                  <c:v>2.1908902300206647</c:v>
                </c:pt>
                <c:pt idx="99">
                  <c:v>2.2020398706283077</c:v>
                </c:pt>
                <c:pt idx="100">
                  <c:v>2.2131333406899523</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24"/>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2" val="0"/>
</file>

<file path=xl/ctrlProps/ctrlProp5.xml><?xml version="1.0" encoding="utf-8"?>
<formControlPr xmlns="http://schemas.microsoft.com/office/spreadsheetml/2009/9/main" objectType="Drop" dropLines="10" dropStyle="combo" dx="22" fmlaLink="'Variable Mgmt'!$S$45" fmlaRange="'Variable Mgmt'!$R$28:$R$43" noThreeD="1" sel="5" val="3"/>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1" val="0"/>
</file>

<file path=xl/ctrlProps/ctrlProp8.xml><?xml version="1.0" encoding="utf-8"?>
<formControlPr xmlns="http://schemas.microsoft.com/office/spreadsheetml/2009/9/main" objectType="Drop" dropLines="5" dropStyle="combo" dx="22" fmlaLink="'Variable Mgmt'!$Q$15" fmlaRange="'Variable Mgmt'!$P$10:$P$14" noThreeD="1" sel="5"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34"/>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35"/>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7µH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 </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 </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107kΩ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23V...25V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28</xdr:row>
          <xdr:rowOff>0</xdr:rowOff>
        </xdr:from>
        <xdr:to>
          <xdr:col>5</xdr:col>
          <xdr:colOff>276225</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107kΩ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5</xdr:col>
          <xdr:colOff>257175</xdr:colOff>
          <xdr:row>34</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 </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 </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5</xdr:col>
          <xdr:colOff>266700</xdr:colOff>
          <xdr:row>32</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2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78.6%</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36"/>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9525</xdr:rowOff>
        </xdr:from>
        <xdr:to>
          <xdr:col>5</xdr:col>
          <xdr:colOff>400050</xdr:colOff>
          <xdr:row>4</xdr:row>
          <xdr:rowOff>238125</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LM25184</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13V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66.4%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78.6%</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78.6%</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30110"/>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34205"/>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70"/>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7µH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 </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 </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107kΩ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23V...25V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107kΩ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 </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 </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2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LM25184</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390525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66.4%</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topLeftCell="A7" zoomScale="115" zoomScaleNormal="115" zoomScaleSheetLayoutView="70" workbookViewId="0">
      <selection activeCell="E23" sqref="E23"/>
    </sheetView>
  </sheetViews>
  <sheetFormatPr defaultColWidth="9.140625" defaultRowHeight="12.75" x14ac:dyDescent="0.2"/>
  <cols>
    <col min="1" max="1" width="8.28515625" style="108" customWidth="1"/>
    <col min="2" max="2" width="8.28515625" style="47" customWidth="1"/>
    <col min="3" max="3" width="13.5703125" style="47" customWidth="1"/>
    <col min="4" max="4" width="9.85546875" style="47" customWidth="1"/>
    <col min="5" max="5" width="9.140625" style="47" customWidth="1"/>
    <col min="6" max="6" width="8.7109375" style="47" customWidth="1"/>
    <col min="7" max="7" width="2.7109375" style="47" customWidth="1"/>
    <col min="8" max="9" width="8.28515625" style="47" customWidth="1"/>
    <col min="10" max="10" width="13.7109375" style="47" customWidth="1"/>
    <col min="11" max="11" width="10" style="47" customWidth="1"/>
    <col min="12" max="12" width="9.42578125" style="47" customWidth="1"/>
    <col min="13" max="13" width="8.7109375" style="47" customWidth="1"/>
    <col min="14" max="15" width="9.140625" style="47"/>
    <col min="16" max="18" width="10.140625" style="47" customWidth="1"/>
    <col min="19" max="19" width="10" style="47" bestFit="1" customWidth="1"/>
    <col min="20" max="25" width="9.140625" style="47"/>
    <col min="26" max="26" width="29" style="47" customWidth="1"/>
    <col min="27" max="27" width="3.140625" style="47" customWidth="1"/>
    <col min="28" max="16384" width="9.140625" style="47"/>
  </cols>
  <sheetData>
    <row r="1" spans="1:27" ht="47.25" customHeight="1" x14ac:dyDescent="0.2">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 customHeight="1" x14ac:dyDescent="0.4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5.95" customHeight="1" x14ac:dyDescent="0.4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 customHeight="1" thickBot="1" x14ac:dyDescent="0.3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3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2">
      <c r="A6" s="142"/>
      <c r="B6" s="143"/>
      <c r="C6" s="144"/>
      <c r="D6" s="145" t="s">
        <v>370</v>
      </c>
      <c r="E6" s="146">
        <v>23</v>
      </c>
      <c r="F6" s="431" t="s">
        <v>0</v>
      </c>
      <c r="G6" s="91"/>
      <c r="H6" s="462"/>
      <c r="I6" s="514"/>
      <c r="J6" s="210"/>
      <c r="K6" s="515" t="s">
        <v>675</v>
      </c>
      <c r="L6" s="746">
        <f>Lmin</f>
        <v>5.5146341463414643</v>
      </c>
      <c r="M6" s="640" t="s">
        <v>96</v>
      </c>
      <c r="N6" s="50"/>
      <c r="O6" s="50"/>
      <c r="P6" s="50"/>
      <c r="Q6" s="50"/>
      <c r="R6" s="83"/>
      <c r="S6" s="83"/>
      <c r="T6" s="76"/>
      <c r="U6" s="76"/>
      <c r="V6" s="76"/>
      <c r="W6" s="76"/>
      <c r="X6" s="76"/>
      <c r="Y6" s="76"/>
      <c r="Z6" s="511"/>
      <c r="AA6" s="506"/>
    </row>
    <row r="7" spans="1:27" ht="14.25" customHeight="1" x14ac:dyDescent="0.25">
      <c r="A7" s="136"/>
      <c r="B7" s="135"/>
      <c r="C7" s="137"/>
      <c r="D7" s="147" t="s">
        <v>371</v>
      </c>
      <c r="E7" s="148">
        <v>24</v>
      </c>
      <c r="F7" s="432" t="s">
        <v>0</v>
      </c>
      <c r="G7" s="91"/>
      <c r="H7" s="89"/>
      <c r="I7" s="90"/>
      <c r="J7" s="88"/>
      <c r="K7" s="101" t="s">
        <v>368</v>
      </c>
      <c r="L7" s="148">
        <v>7</v>
      </c>
      <c r="M7" s="432" t="s">
        <v>96</v>
      </c>
      <c r="N7" s="50"/>
      <c r="O7" s="50"/>
      <c r="P7" s="50"/>
      <c r="Q7" s="50"/>
      <c r="R7" s="83"/>
      <c r="S7" s="83"/>
      <c r="T7" s="76"/>
      <c r="U7" s="76"/>
      <c r="V7" s="76"/>
      <c r="W7" s="76"/>
      <c r="X7" s="76"/>
      <c r="Y7" s="76"/>
      <c r="Z7" s="511"/>
      <c r="AA7" s="506"/>
    </row>
    <row r="8" spans="1:27" ht="15.75" customHeight="1" x14ac:dyDescent="0.2">
      <c r="A8" s="136"/>
      <c r="B8" s="135"/>
      <c r="C8" s="137"/>
      <c r="D8" s="147" t="s">
        <v>372</v>
      </c>
      <c r="E8" s="148">
        <v>25</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2">
      <c r="A9" s="136"/>
      <c r="B9" s="135"/>
      <c r="C9" s="137"/>
      <c r="D9" s="147" t="s">
        <v>369</v>
      </c>
      <c r="E9" s="592"/>
      <c r="F9" s="149"/>
      <c r="G9" s="91"/>
      <c r="H9" s="89"/>
      <c r="I9" s="90"/>
      <c r="J9" s="88"/>
      <c r="K9" s="101" t="str">
        <f>CHOOSE(MODE, "Secondary Winding DCR", "Secondary Winding #1 DCR")</f>
        <v>Secondary Winding DCR</v>
      </c>
      <c r="L9" s="148">
        <v>30</v>
      </c>
      <c r="M9" s="432" t="s">
        <v>20</v>
      </c>
      <c r="N9" s="50"/>
      <c r="O9" s="50"/>
      <c r="P9" s="50"/>
      <c r="Q9" s="50"/>
      <c r="R9" s="83"/>
      <c r="S9" s="83"/>
      <c r="T9" s="76"/>
      <c r="U9" s="76"/>
      <c r="V9" s="76"/>
      <c r="W9" s="76"/>
      <c r="X9" s="76"/>
      <c r="Y9" s="76"/>
      <c r="Z9" s="511"/>
      <c r="AA9" s="506"/>
    </row>
    <row r="10" spans="1:27" ht="15.75" customHeight="1" x14ac:dyDescent="0.2">
      <c r="A10" s="136"/>
      <c r="B10" s="135"/>
      <c r="C10" s="137"/>
      <c r="D10" s="147" t="str">
        <f>CHOOSE(MODE, "Output Voltage, VOUT ", "Output Voltage, VOUT1")</f>
        <v xml:space="preserve">Output Voltage, VOUT </v>
      </c>
      <c r="E10" s="148">
        <v>5</v>
      </c>
      <c r="F10" s="432" t="s">
        <v>0</v>
      </c>
      <c r="G10" s="91"/>
      <c r="H10" s="89"/>
      <c r="I10" s="90"/>
      <c r="J10" s="88"/>
      <c r="K10" s="101" t="str">
        <f>CHOOSE(MODE, "", "Secondary Winding #2 DCR")</f>
        <v/>
      </c>
      <c r="L10" s="148">
        <v>50</v>
      </c>
      <c r="M10" s="432" t="str">
        <f>CHOOSE(MODE, "", "mΩ")</f>
        <v/>
      </c>
      <c r="N10" s="50"/>
      <c r="O10" s="50"/>
      <c r="P10" s="50"/>
      <c r="Q10" s="50"/>
      <c r="R10" s="83"/>
      <c r="S10" s="83"/>
      <c r="T10" s="76"/>
      <c r="U10" s="76"/>
      <c r="V10" s="76"/>
      <c r="W10" s="76"/>
      <c r="X10" s="76"/>
      <c r="Y10" s="76"/>
      <c r="Z10" s="511"/>
      <c r="AA10" s="506"/>
    </row>
    <row r="11" spans="1:27" ht="15.75" customHeight="1" thickBot="1" x14ac:dyDescent="0.25">
      <c r="A11" s="139"/>
      <c r="B11" s="156"/>
      <c r="C11" s="512"/>
      <c r="D11" s="518" t="str">
        <f>CHOOSE(MODE, "Rated Output Current, IOUT ", "Rated Output Current, IOUT1")</f>
        <v xml:space="preserve">Rated Output Current, IOUT </v>
      </c>
      <c r="E11" s="519">
        <v>1</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2">
      <c r="A12" s="76"/>
      <c r="B12" s="76"/>
      <c r="C12" s="76"/>
      <c r="D12" s="147" t="str">
        <f>CHOOSE(MODE, "", "Output Voltage, VOUT2")</f>
        <v/>
      </c>
      <c r="E12" s="148">
        <v>5</v>
      </c>
      <c r="F12" s="432" t="str">
        <f>CHOOSE(MODE, "", "V", "V")</f>
        <v/>
      </c>
      <c r="G12" s="91"/>
      <c r="H12" s="89"/>
      <c r="I12" s="90"/>
      <c r="J12" s="88"/>
      <c r="K12" s="87" t="str">
        <f>IF(MODE=1, "Transformer Turns Ratio, Pri : Sec", "Turns Ratio, PRI : SEC1")</f>
        <v>Transformer Turns Ratio, Pri : Sec</v>
      </c>
      <c r="L12" s="440"/>
      <c r="M12" s="461"/>
      <c r="N12" s="50"/>
      <c r="O12" s="50"/>
      <c r="P12" s="50"/>
      <c r="Q12" s="50"/>
      <c r="R12" s="83"/>
      <c r="S12" s="83"/>
      <c r="T12" s="76"/>
      <c r="U12" s="76"/>
      <c r="V12" s="76"/>
      <c r="W12" s="76"/>
      <c r="X12" s="76"/>
      <c r="Y12" s="76"/>
      <c r="Z12" s="511"/>
      <c r="AA12" s="506"/>
    </row>
    <row r="13" spans="1:27" ht="15.75" customHeight="1" thickBot="1" x14ac:dyDescent="0.25">
      <c r="A13" s="139"/>
      <c r="B13" s="156"/>
      <c r="C13" s="512"/>
      <c r="D13" s="518" t="str">
        <f>CHOOSE(MODE, "", "Rated Output Current, IOUT2")</f>
        <v/>
      </c>
      <c r="E13" s="519">
        <v>0.2</v>
      </c>
      <c r="F13" s="432" t="str">
        <f>CHOOSE(MODE, "", "A", "A")</f>
        <v/>
      </c>
      <c r="G13" s="91"/>
      <c r="H13" s="136"/>
      <c r="I13" s="135"/>
      <c r="J13" s="137"/>
      <c r="K13" s="88" t="str">
        <f>CHOOSE(MODE, "SW Voltage at VIN(max) - Spike Not Included", "Turns Ratio, SEC2 : SEC1")</f>
        <v>SW Voltage at VIN(max) - Spike Not Included</v>
      </c>
      <c r="L13" s="639">
        <f>CHOOSE(MODE, ROUND('Variable Mgmt'!B50,0), ROUND(Nsec1sec2,2))</f>
        <v>36</v>
      </c>
      <c r="M13" s="461" t="str">
        <f>CHOOSE(MODE, "V", "")</f>
        <v>V</v>
      </c>
      <c r="N13" s="50"/>
      <c r="O13" s="50"/>
      <c r="P13" s="50"/>
      <c r="Q13" s="50"/>
      <c r="R13" s="83"/>
      <c r="S13" s="83"/>
      <c r="T13" s="76"/>
      <c r="U13" s="76"/>
      <c r="V13" s="76"/>
      <c r="W13" s="76"/>
      <c r="X13" s="76"/>
      <c r="Y13" s="76"/>
      <c r="Z13" s="511"/>
      <c r="AA13" s="506"/>
    </row>
    <row r="14" spans="1:27" ht="15.75" customHeight="1" x14ac:dyDescent="0.2">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2">
      <c r="A15" s="429"/>
      <c r="B15" s="76"/>
      <c r="C15" s="76"/>
      <c r="D15" s="76"/>
      <c r="E15" s="76"/>
      <c r="F15" s="788"/>
      <c r="G15" s="92"/>
      <c r="H15" s="136"/>
      <c r="I15" s="135"/>
      <c r="J15" s="611"/>
      <c r="K15" s="88" t="str">
        <f>CHOOSE(MODE, "Max Output Current at VIN(min)", "Max Output Power at VIN(min)")</f>
        <v>Max Output Current at VIN(min)</v>
      </c>
      <c r="L15" s="754">
        <f>CHOOSE(MODE, 'Variable Mgmt'!B46, 'Variable Mgmt'!B45)</f>
        <v>2.7488910820451844</v>
      </c>
      <c r="M15" s="642" t="str">
        <f>CHOOSE(MODE, "A", "W")</f>
        <v>A</v>
      </c>
      <c r="N15" s="50"/>
      <c r="O15" s="50"/>
      <c r="P15" s="50"/>
      <c r="Q15" s="50"/>
      <c r="R15" s="83"/>
      <c r="S15" s="83"/>
      <c r="T15" s="76"/>
      <c r="U15" s="76"/>
      <c r="V15" s="76"/>
      <c r="W15" s="76"/>
      <c r="X15" s="76"/>
      <c r="Y15" s="76"/>
      <c r="Z15" s="511"/>
      <c r="AA15" s="506"/>
    </row>
    <row r="16" spans="1:27" ht="16.5" customHeight="1" thickBot="1" x14ac:dyDescent="0.35">
      <c r="A16" s="107" t="s">
        <v>297</v>
      </c>
      <c r="B16" s="93"/>
      <c r="C16" s="94"/>
      <c r="D16" s="94"/>
      <c r="E16" s="95"/>
      <c r="F16" s="94"/>
      <c r="G16" s="91"/>
      <c r="H16" s="742"/>
      <c r="I16" s="50"/>
      <c r="J16" s="50"/>
      <c r="K16" s="212" t="s">
        <v>673</v>
      </c>
      <c r="L16" s="755">
        <f>Don_Vinmin*100</f>
        <v>31.952662721893493</v>
      </c>
      <c r="M16" s="642" t="s">
        <v>674</v>
      </c>
      <c r="N16" s="50"/>
      <c r="O16" s="50"/>
      <c r="P16" s="50"/>
      <c r="Q16" s="50"/>
      <c r="R16" s="83"/>
      <c r="S16" s="83"/>
      <c r="T16" s="76"/>
      <c r="U16" s="76"/>
      <c r="V16" s="76"/>
      <c r="W16" s="76"/>
      <c r="X16" s="76"/>
      <c r="Y16" s="76"/>
      <c r="Z16" s="511"/>
      <c r="AA16" s="506"/>
    </row>
    <row r="17" spans="1:27" ht="15.75" customHeight="1" x14ac:dyDescent="0.2">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25">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2">
      <c r="A19" s="98"/>
      <c r="B19" s="90"/>
      <c r="C19" s="153"/>
      <c r="D19" s="147" t="s">
        <v>104</v>
      </c>
      <c r="E19" s="152">
        <v>3</v>
      </c>
      <c r="F19" s="435" t="s">
        <v>20</v>
      </c>
      <c r="G19" s="91"/>
      <c r="H19" s="90"/>
      <c r="I19" s="50"/>
      <c r="J19" s="50"/>
      <c r="K19" s="749" t="s">
        <v>809</v>
      </c>
      <c r="L19" s="751">
        <f>'Calculations - Single'!U105</f>
        <v>1.5072403230297966</v>
      </c>
      <c r="M19" s="90" t="s">
        <v>1</v>
      </c>
      <c r="N19" s="50"/>
      <c r="O19" s="50"/>
      <c r="P19" s="50"/>
      <c r="Q19" s="50"/>
      <c r="R19" s="83"/>
      <c r="S19" s="83"/>
      <c r="T19" s="76"/>
      <c r="U19" s="76"/>
      <c r="V19" s="76"/>
      <c r="W19" s="76"/>
      <c r="X19" s="76"/>
      <c r="Y19" s="76"/>
      <c r="Z19" s="511"/>
      <c r="AA19" s="506"/>
    </row>
    <row r="20" spans="1:27" ht="15.75" customHeight="1" thickBot="1" x14ac:dyDescent="0.35">
      <c r="A20" s="102"/>
      <c r="B20" s="103"/>
      <c r="C20" s="109"/>
      <c r="D20" s="212" t="s">
        <v>506</v>
      </c>
      <c r="E20" s="213">
        <f>Vinripple2</f>
        <v>52.001040167053276</v>
      </c>
      <c r="F20" s="106" t="s">
        <v>103</v>
      </c>
      <c r="G20" s="91"/>
      <c r="H20" s="90"/>
      <c r="I20" s="50"/>
      <c r="J20" s="50"/>
      <c r="K20" s="752" t="s">
        <v>810</v>
      </c>
      <c r="L20" s="753">
        <f>Nps*L19</f>
        <v>3.0144806460595932</v>
      </c>
      <c r="M20" s="105" t="s">
        <v>1</v>
      </c>
      <c r="N20" s="50"/>
      <c r="O20" s="50"/>
      <c r="P20" s="50"/>
      <c r="Q20" s="50"/>
      <c r="R20" s="83"/>
      <c r="S20" s="83"/>
      <c r="T20" s="76"/>
      <c r="U20" s="76"/>
      <c r="V20" s="76"/>
      <c r="W20" s="76"/>
      <c r="X20" s="76"/>
      <c r="Y20" s="76"/>
      <c r="Z20" s="511"/>
      <c r="AA20" s="506"/>
    </row>
    <row r="21" spans="1:27" ht="15.75" customHeight="1" thickBot="1" x14ac:dyDescent="0.25">
      <c r="A21" s="426"/>
      <c r="B21" s="427"/>
      <c r="C21" s="428"/>
      <c r="D21" s="428" t="str">
        <f>CHOOSE(MODE, "Minimum Output Capacitance", "Minimum Output Capacitance, Output #1")</f>
        <v>Minimum Output Capacitance</v>
      </c>
      <c r="E21" s="748">
        <f>'Variable Mgmt'!B102</f>
        <v>101.93868054563885</v>
      </c>
      <c r="F21" s="433" t="s">
        <v>97</v>
      </c>
      <c r="G21" s="596"/>
      <c r="H21" s="586"/>
      <c r="I21" s="595"/>
      <c r="J21" s="507"/>
      <c r="K21" s="428" t="str">
        <f>CHOOSE(MODE, "", "Minimum Output Capacitance, Output #2")</f>
        <v/>
      </c>
      <c r="L21" s="638">
        <f>'Variable Mgmt'!B112</f>
        <v>4.7</v>
      </c>
      <c r="M21" s="433" t="s">
        <v>97</v>
      </c>
      <c r="N21" s="50"/>
      <c r="O21" s="50"/>
      <c r="P21" s="50"/>
      <c r="Q21" s="50"/>
      <c r="R21" s="83"/>
      <c r="S21" s="83"/>
      <c r="T21" s="76"/>
      <c r="U21" s="76"/>
      <c r="V21" s="76"/>
      <c r="W21" s="76"/>
      <c r="X21" s="76"/>
      <c r="Y21" s="76"/>
      <c r="Z21" s="511"/>
      <c r="AA21" s="506"/>
    </row>
    <row r="22" spans="1:27" ht="15.75" customHeight="1" x14ac:dyDescent="0.2">
      <c r="A22" s="89"/>
      <c r="B22" s="90"/>
      <c r="C22" s="137"/>
      <c r="D22" s="154" t="s">
        <v>140</v>
      </c>
      <c r="E22" s="148">
        <v>100</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2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35">
      <c r="A24" s="102"/>
      <c r="B24" s="105"/>
      <c r="C24" s="105"/>
      <c r="D24" s="212" t="str">
        <f>CHOOSE(MODE, "Resulting Output Voltage Ripple", "Resulting Output Voltage Ripple, Output #1")</f>
        <v>Resulting Output Voltage Ripple</v>
      </c>
      <c r="E24" s="213">
        <f>Vripple1_actual</f>
        <v>9.2291444444444437</v>
      </c>
      <c r="F24" s="106" t="s">
        <v>103</v>
      </c>
      <c r="G24" s="596"/>
      <c r="H24" s="105"/>
      <c r="I24" s="509"/>
      <c r="J24" s="508"/>
      <c r="K24" s="212" t="str">
        <f>CHOOSE(MODE, "", "Resulting Output Voltage Ripple, Output #2")</f>
        <v/>
      </c>
      <c r="L24" s="213">
        <f>Vripple2_actual</f>
        <v>1.5325717171717175</v>
      </c>
      <c r="M24" s="106" t="s">
        <v>103</v>
      </c>
      <c r="N24" s="50"/>
      <c r="O24" s="50"/>
      <c r="P24" s="50"/>
      <c r="Q24" s="50"/>
      <c r="R24" s="83"/>
      <c r="S24" s="83"/>
      <c r="T24" s="76"/>
      <c r="U24" s="76"/>
      <c r="V24" s="76"/>
      <c r="W24" s="76"/>
      <c r="X24" s="76"/>
      <c r="Y24" s="76"/>
      <c r="Z24" s="511"/>
      <c r="AA24" s="506"/>
    </row>
    <row r="25" spans="1:27" ht="13.5" customHeight="1" x14ac:dyDescent="0.2">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35">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2">
      <c r="A27" s="142"/>
      <c r="B27" s="143"/>
      <c r="C27" s="210"/>
      <c r="D27" s="210" t="s">
        <v>374</v>
      </c>
      <c r="E27" s="589">
        <f>Rfb_recommend</f>
        <v>106.4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25">
      <c r="A28" s="136"/>
      <c r="B28" s="135"/>
      <c r="C28" s="137"/>
      <c r="D28" s="154" t="s">
        <v>373</v>
      </c>
      <c r="E28" s="155">
        <v>107</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 customHeight="1" x14ac:dyDescent="0.2">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2">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3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2">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2">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25">
      <c r="A34" s="139"/>
      <c r="B34" s="156"/>
      <c r="C34" s="156"/>
      <c r="D34" s="512" t="s">
        <v>388</v>
      </c>
      <c r="E34" s="532">
        <f>RTC</f>
        <v>107</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2">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2">
      <c r="A36" s="136"/>
      <c r="B36" s="135"/>
      <c r="C36" s="153"/>
      <c r="D36" s="154" t="str">
        <f>CHOOSE(MODE_UVLO, "Input UVLO Turn-On Threshold", "*Connect EN pin to VIN or Logic HIGH")</f>
        <v>*Connect EN pin to VIN or Logic HIGH</v>
      </c>
      <c r="E36" s="155">
        <v>18</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25">
      <c r="A37" s="139"/>
      <c r="B37" s="156"/>
      <c r="C37" s="156"/>
      <c r="D37" s="437" t="str">
        <f>CHOOSE(MODE_UVLO, "Input UVLO Turn-Off Threshold", "")</f>
        <v/>
      </c>
      <c r="E37" s="438">
        <v>16</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2">
      <c r="A38" s="462"/>
      <c r="B38" s="135"/>
      <c r="C38" s="153"/>
      <c r="D38" s="137" t="s">
        <v>378</v>
      </c>
      <c r="E38" s="580">
        <f>'Variable Mgmt'!F157</f>
        <v>280</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25">
      <c r="A39" s="139"/>
      <c r="B39" s="156"/>
      <c r="C39" s="156"/>
      <c r="D39" s="512" t="s">
        <v>293</v>
      </c>
      <c r="E39" s="513">
        <f>'Variable Mgmt'!F158</f>
        <v>25.5</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2">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2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25">
      <c r="A42" s="576"/>
      <c r="B42" s="507"/>
      <c r="C42" s="507"/>
      <c r="D42" s="577" t="s">
        <v>655</v>
      </c>
      <c r="E42" s="581">
        <v>0.32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25">
      <c r="A43" s="429"/>
      <c r="B43" s="76"/>
      <c r="C43" s="76"/>
      <c r="D43" s="636" t="s">
        <v>656</v>
      </c>
      <c r="E43" s="99">
        <v>0.4</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2">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25">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3">
      <c r="A46" s="89"/>
      <c r="B46" s="90"/>
      <c r="C46" s="90"/>
      <c r="D46" s="88" t="s">
        <v>798</v>
      </c>
      <c r="E46" s="374">
        <f>CHOOSE(MODE, 'Calculations - Single'!BP105, 'Calculations - Dual'!BO105)</f>
        <v>299.40737685932038</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35">
      <c r="A47" s="102"/>
      <c r="B47" s="103"/>
      <c r="C47" s="103"/>
      <c r="D47" s="377" t="s">
        <v>799</v>
      </c>
      <c r="E47" s="521">
        <f>E45+E46/1000*ThetaJA</f>
        <v>67.275702451232135</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2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2">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2">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2">
      <c r="A51" s="776"/>
      <c r="B51" s="777"/>
      <c r="C51" s="777"/>
      <c r="D51" s="789" t="str">
        <f>CHOOSE(MODE, "Recommended Csnb", "Recommended Csnb1")</f>
        <v>Recommended Csnb</v>
      </c>
      <c r="E51" s="790">
        <v>22</v>
      </c>
      <c r="F51" s="779" t="s">
        <v>15</v>
      </c>
      <c r="G51" s="90"/>
      <c r="H51" s="776"/>
      <c r="I51" s="783"/>
      <c r="J51" s="783"/>
      <c r="K51" s="789" t="str">
        <f>CHOOSE(MODE, "", "Recommended Csnb2")</f>
        <v/>
      </c>
      <c r="L51" s="790" t="str">
        <f>CHOOSE(MODE, "", 22)</f>
        <v/>
      </c>
      <c r="M51" s="779" t="str">
        <f>CHOOSE(MODE, "", "pF")</f>
        <v/>
      </c>
      <c r="N51" s="50"/>
      <c r="O51" s="50"/>
      <c r="P51" s="50"/>
      <c r="Q51" s="50"/>
      <c r="R51" s="83"/>
      <c r="S51" s="83"/>
      <c r="T51" s="76"/>
      <c r="U51" s="76"/>
      <c r="V51" s="76"/>
      <c r="W51" s="76"/>
      <c r="X51" s="76"/>
      <c r="Y51" s="76"/>
      <c r="Z51" s="511"/>
      <c r="AA51" s="506"/>
    </row>
    <row r="52" spans="1:35" ht="15.75" customHeight="1" x14ac:dyDescent="0.2">
      <c r="A52" s="780"/>
      <c r="B52" s="90"/>
      <c r="C52" s="90"/>
      <c r="D52" s="88" t="s">
        <v>853</v>
      </c>
      <c r="E52" s="374">
        <f>(VIN_max/Npri_sec1+E10)*1.5</f>
        <v>26.25</v>
      </c>
      <c r="F52" s="781" t="s">
        <v>0</v>
      </c>
      <c r="G52" s="90"/>
      <c r="H52" s="780"/>
      <c r="I52" s="50"/>
      <c r="J52" s="50"/>
      <c r="K52" s="88" t="str">
        <f>CHOOSE(MODE, "", "Snubber Capacitor Voltage Rating &gt;")</f>
        <v/>
      </c>
      <c r="L52" s="374" t="str">
        <f>CHOOSE(MODE, "", (VIN_max/Npri_sec2+ABS(E12))*1.5)</f>
        <v/>
      </c>
      <c r="M52" s="781" t="str">
        <f>CHOOSE(MODE, "", "V")</f>
        <v/>
      </c>
      <c r="N52" s="50"/>
      <c r="O52" s="50"/>
      <c r="P52" s="50"/>
      <c r="Q52" s="50"/>
      <c r="R52" s="83"/>
      <c r="S52" s="83"/>
      <c r="T52" s="76"/>
      <c r="U52" s="76"/>
      <c r="V52" s="76"/>
      <c r="W52" s="76"/>
      <c r="X52" s="76"/>
      <c r="Y52" s="76"/>
      <c r="Z52" s="511"/>
      <c r="AA52" s="506"/>
    </row>
    <row r="53" spans="1:35" ht="15.75" customHeight="1" x14ac:dyDescent="0.2">
      <c r="A53" s="780"/>
      <c r="B53" s="90"/>
      <c r="C53" s="90"/>
      <c r="D53" s="88" t="str">
        <f>CHOOSE(MODE, "Recommended Rsnb", "Recommended Rsnb1")</f>
        <v>Recommended Rsnb</v>
      </c>
      <c r="E53" s="374">
        <v>100</v>
      </c>
      <c r="F53" s="782" t="s">
        <v>136</v>
      </c>
      <c r="G53" s="90"/>
      <c r="H53" s="780"/>
      <c r="I53" s="50"/>
      <c r="J53" s="50"/>
      <c r="K53" s="88" t="str">
        <f>CHOOSE(MODE, "", "Recommended Rsnb2")</f>
        <v/>
      </c>
      <c r="L53" s="374" t="str">
        <f>CHOOSE(MODE, "", 100)</f>
        <v/>
      </c>
      <c r="M53" s="782" t="str">
        <f>CHOOSE(MODE, "", "Ω")</f>
        <v/>
      </c>
      <c r="N53" s="50"/>
      <c r="O53" s="50"/>
      <c r="P53" s="50"/>
      <c r="Q53" s="50"/>
      <c r="R53" s="83"/>
      <c r="S53" s="83"/>
      <c r="T53" s="76"/>
      <c r="U53" s="76"/>
      <c r="V53" s="76"/>
      <c r="W53" s="76"/>
      <c r="X53" s="76"/>
      <c r="Y53" s="76"/>
      <c r="Z53" s="511"/>
      <c r="AA53" s="506"/>
    </row>
    <row r="54" spans="1:35" ht="15.75" customHeight="1" x14ac:dyDescent="0.2">
      <c r="A54" s="772"/>
      <c r="B54" s="773"/>
      <c r="C54" s="773"/>
      <c r="D54" s="791" t="s">
        <v>854</v>
      </c>
      <c r="E54" s="792">
        <f>E52*E52*E51*0.000000000001*350000*4</f>
        <v>2.1223125000000002E-2</v>
      </c>
      <c r="F54" s="775" t="s">
        <v>45</v>
      </c>
      <c r="G54" s="90"/>
      <c r="H54" s="772"/>
      <c r="I54" s="786"/>
      <c r="J54" s="786"/>
      <c r="K54" s="791" t="str">
        <f>CHOOSE(MODE, "", "Snubber Resistor Power Dissipation Rating &gt;")</f>
        <v/>
      </c>
      <c r="L54" s="792" t="str">
        <f>CHOOSE(MODE, "", L52*L52*L51*0.000000000001*350000*4)</f>
        <v/>
      </c>
      <c r="M54" s="775" t="str">
        <f>CHOOSE(MODE, "", "W")</f>
        <v/>
      </c>
      <c r="N54" s="50"/>
      <c r="O54" s="50"/>
      <c r="P54" s="50"/>
      <c r="Q54" s="50"/>
      <c r="R54" s="83"/>
      <c r="S54" s="83"/>
      <c r="T54" s="76"/>
      <c r="U54" s="76"/>
      <c r="V54" s="76"/>
      <c r="W54" s="76"/>
      <c r="X54" s="76"/>
      <c r="Y54" s="76"/>
      <c r="Z54" s="511"/>
      <c r="AA54" s="506"/>
    </row>
    <row r="55" spans="1:35" ht="15.75" customHeight="1" x14ac:dyDescent="0.2">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2">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2">
      <c r="A57" s="776"/>
      <c r="B57" s="777"/>
      <c r="C57" s="777"/>
      <c r="D57" s="778" t="str">
        <f>CHOOSE(MODE, "Min Load Current, IOUTmin ", "Min Load Current, IOUT1min")</f>
        <v xml:space="preserve">Min Load Current, IOUTmin </v>
      </c>
      <c r="E57" s="795">
        <v>5.0000000000000001E-3</v>
      </c>
      <c r="F57" s="779" t="s">
        <v>1</v>
      </c>
      <c r="G57" s="90"/>
      <c r="H57" s="776"/>
      <c r="I57" s="783"/>
      <c r="J57" s="783"/>
      <c r="K57" s="778" t="str">
        <f>CHOOSE(MODE, " ", "Min Load Current, IOUT2min")</f>
        <v xml:space="preserve"> </v>
      </c>
      <c r="L57" s="797">
        <v>-5.0000000000000001E-3</v>
      </c>
      <c r="M57" s="784" t="str">
        <f>CHOOSE(MODE, "", "A")</f>
        <v/>
      </c>
      <c r="N57" s="50"/>
      <c r="O57" s="50"/>
      <c r="P57" s="50"/>
      <c r="Q57" s="50"/>
      <c r="R57" s="83"/>
      <c r="S57" s="83"/>
      <c r="T57" s="76"/>
      <c r="U57" s="76"/>
      <c r="V57" s="76"/>
      <c r="W57" s="76"/>
      <c r="X57" s="76"/>
      <c r="Y57" s="76"/>
      <c r="Z57" s="511"/>
      <c r="AA57" s="506"/>
    </row>
    <row r="58" spans="1:35" ht="15.75" customHeight="1" x14ac:dyDescent="0.2">
      <c r="A58" s="780"/>
      <c r="B58" s="90"/>
      <c r="C58" s="90"/>
      <c r="D58" s="87" t="str">
        <f>CHOOSE(MODE,"Max Output Voltage Limit, VOUTmax","Max Output Voltage Limit, VOUT1max")</f>
        <v>Max Output Voltage Limit, VOUTmax</v>
      </c>
      <c r="E58" s="796">
        <v>17</v>
      </c>
      <c r="F58" s="781" t="s">
        <v>0</v>
      </c>
      <c r="G58" s="90"/>
      <c r="H58" s="780"/>
      <c r="I58" s="50"/>
      <c r="J58" s="50"/>
      <c r="K58" s="87" t="str">
        <f>CHOOSE(MODE,"","Max Output Voltage Limit, VOUT2max")</f>
        <v/>
      </c>
      <c r="L58" s="798">
        <v>-17</v>
      </c>
      <c r="M58" s="785" t="str">
        <f>CHOOSE(MODE,"","V")</f>
        <v/>
      </c>
      <c r="N58" s="50"/>
      <c r="O58" s="50"/>
      <c r="P58" s="50"/>
      <c r="Q58" s="50"/>
      <c r="R58" s="83"/>
      <c r="S58" s="83"/>
      <c r="T58" s="76"/>
      <c r="U58" s="76"/>
      <c r="V58" s="76"/>
      <c r="W58" s="76"/>
      <c r="X58" s="76"/>
      <c r="Y58" s="76"/>
      <c r="Z58" s="511"/>
      <c r="AA58" s="506"/>
    </row>
    <row r="59" spans="1:35" ht="15.75" customHeight="1" x14ac:dyDescent="0.2">
      <c r="A59" s="780"/>
      <c r="B59" s="90"/>
      <c r="C59" s="83"/>
      <c r="D59" s="88" t="str">
        <f>CHOOSE(MODE," Zener Clamp Dz or Dymmy Load Rdmy","Zener Clamp Dz1 or Dummy Load Rdmy1")</f>
        <v xml:space="preserve"> Zener Clamp Dz or Dymmy Load Rdmy</v>
      </c>
      <c r="E59" s="799" t="str">
        <f>CHOOSE(MODE, IF('Calculations - Single'!G329="Yes",IF(E58&gt;ROUND(Vout*11.25,0)/10, "Dz", "Rdmy"), "None"), IF('Calculations - Dual'!G329="Yes",IF(E58&gt;ROUND(Vout*11.25,0)/10, "Dz1", "Rdmy1"), "None"))</f>
        <v>Dz</v>
      </c>
      <c r="F59" s="781" t="s">
        <v>78</v>
      </c>
      <c r="G59" s="90"/>
      <c r="H59" s="780"/>
      <c r="I59" s="50"/>
      <c r="J59" s="50"/>
      <c r="K59" s="88" t="str">
        <f>CHOOSE(MODE,"","Zener Clamp Dz2 or Dummy Load Rdmy2")</f>
        <v/>
      </c>
      <c r="L59" s="799" t="str">
        <f>CHOOSE(MODE, "", IF('Calculations - Dual'!N329="Yes",IF(ABS(L58)&gt;ROUND(Vout2*11.25,0)/10, "Dz2", "Rdmy2"), "None"))</f>
        <v/>
      </c>
      <c r="M59" s="785"/>
      <c r="N59" s="50"/>
      <c r="O59" s="50"/>
      <c r="P59" s="50"/>
      <c r="Q59" s="50"/>
      <c r="R59" s="83"/>
      <c r="S59" s="83"/>
      <c r="T59" s="76"/>
      <c r="U59" s="76"/>
      <c r="V59" s="76"/>
      <c r="W59" s="76"/>
      <c r="X59" s="76"/>
      <c r="Y59" s="76"/>
      <c r="Z59" s="511"/>
      <c r="AA59" s="506"/>
    </row>
    <row r="60" spans="1:35" ht="15.75" customHeight="1" x14ac:dyDescent="0.2">
      <c r="A60" s="780"/>
      <c r="B60" s="90"/>
      <c r="C60" s="97"/>
      <c r="D60" s="88" t="str">
        <f>"Selection "&amp;IF(E59="Dz", "Zener Clamp (5%)", IF(E59="Rdym", "Dummy Load (1%)", ""))</f>
        <v>Selection Zener Clamp (5%)</v>
      </c>
      <c r="E60" s="794">
        <f>CHOOSE(MODE,IF(OR(E59="Rdmy",E59="Rdmy1"),'Standard Value Calculator'!J23,IF(E59="None","None",ROUND(E58/0.0105,0)/100)),IF(OR(E59="Rdmy",E59="Rdmy1"),'Standard Value Calculator'!J24,IF(E59="None","None",ROUND(E58/0.0105,0)/100)))</f>
        <v>16.190000000000001</v>
      </c>
      <c r="F60" s="782" t="str">
        <f>IF(OR(E59="DZ", E59="DZ1"), "V", IF(OR(E59="Rdmy", E59="Rdmy1"),"Ohm", ""))</f>
        <v>V</v>
      </c>
      <c r="G60" s="90"/>
      <c r="H60" s="780"/>
      <c r="I60" s="50"/>
      <c r="J60" s="50"/>
      <c r="K60" s="88" t="str">
        <f>CHOOSE(MODE, "", "Selection "&amp;IF(L59="Dz", "Zener Clamp (5%)", IF(L59="Rdym", "Dummy Load (1%)", "")))</f>
        <v/>
      </c>
      <c r="L60" s="800" t="str">
        <f>CHOOSE(MODE,"",IF(L59="Rdmy2",'Standard Value Calculator'!J25,IF(L59="None","None",ROUND(ABS(L58)/0.0105,0)/100)))</f>
        <v/>
      </c>
      <c r="M60" s="782" t="str">
        <f>IF(L59="DZ2", "V", IF(L59="Rdmy2","Ohm", ""))</f>
        <v/>
      </c>
      <c r="N60" s="50"/>
      <c r="O60" s="50"/>
      <c r="P60" s="50"/>
      <c r="Q60" s="50"/>
      <c r="R60" s="83"/>
      <c r="S60" s="83"/>
      <c r="T60" s="76"/>
      <c r="U60" s="76"/>
      <c r="V60" s="76"/>
      <c r="W60" s="76"/>
      <c r="X60" s="76"/>
      <c r="Y60" s="76"/>
      <c r="Z60" s="511"/>
      <c r="AA60" s="506"/>
    </row>
    <row r="61" spans="1:35" ht="15.75" customHeight="1" x14ac:dyDescent="0.2">
      <c r="A61" s="772"/>
      <c r="B61" s="773"/>
      <c r="C61" s="773"/>
      <c r="D61" s="791" t="s">
        <v>839</v>
      </c>
      <c r="E61" s="774">
        <f>IF(OR(E59="Rdmy",E59="Rdmy1"),(Vout*1.08)^2/E60*4, IF(OR(E59="Dz",E59="Dz1"), E60*1.065*E57*4*0+'Standard Value Calculator'!I27*5, "N/A"))</f>
        <v>0.14880952380952381</v>
      </c>
      <c r="F61" s="775" t="s">
        <v>45</v>
      </c>
      <c r="G61" s="90"/>
      <c r="H61" s="772"/>
      <c r="I61" s="786"/>
      <c r="J61" s="786"/>
      <c r="K61" s="791" t="str">
        <f>CHOOSE(MODE, "", "Selected Device Min Power Rating&gt;")</f>
        <v/>
      </c>
      <c r="L61" s="774" t="str">
        <f>CHOOSE(MODE, "", IF(L59="Rdmy2",(Vout2*1.08)^2/L60*4, IF(L59="Dz2", ABS(L60*1.065*L57*4*0+'Standard Value Calculator'!I29*5), "N/A")))</f>
        <v/>
      </c>
      <c r="M61" s="775" t="str">
        <f>CHOOSE(MODE, "", "W")</f>
        <v/>
      </c>
      <c r="N61" s="50"/>
      <c r="O61" s="50"/>
      <c r="P61" s="50"/>
      <c r="Q61" s="50"/>
      <c r="R61" s="83"/>
      <c r="S61" s="83"/>
      <c r="T61" s="76"/>
      <c r="U61" s="76"/>
      <c r="V61" s="76"/>
      <c r="W61" s="76"/>
      <c r="X61" s="76"/>
      <c r="Y61" s="76"/>
      <c r="Z61" s="511"/>
      <c r="AA61" s="506"/>
    </row>
    <row r="62" spans="1:35" ht="15.75" customHeight="1" thickBot="1" x14ac:dyDescent="0.2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2">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2">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2">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2">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2">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2">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9525</xdr:colOff>
                    <xdr:row>28</xdr:row>
                    <xdr:rowOff>0</xdr:rowOff>
                  </from>
                  <to>
                    <xdr:col>5</xdr:col>
                    <xdr:colOff>276225</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9525</xdr:colOff>
                    <xdr:row>34</xdr:row>
                    <xdr:rowOff>0</xdr:rowOff>
                  </from>
                  <to>
                    <xdr:col>5</xdr:col>
                    <xdr:colOff>257175</xdr:colOff>
                    <xdr:row>34</xdr:row>
                    <xdr:rowOff>200025</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9525</xdr:rowOff>
                  </from>
                  <to>
                    <xdr:col>5</xdr:col>
                    <xdr:colOff>266700</xdr:colOff>
                    <xdr:row>32</xdr:row>
                    <xdr:rowOff>9525</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9525</xdr:rowOff>
                  </from>
                  <to>
                    <xdr:col>5</xdr:col>
                    <xdr:colOff>400050</xdr:colOff>
                    <xdr:row>4</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77" t="str">
        <f>CHOOSE(MODE, "EFF_SINGLE", "EFF_DUAL")</f>
        <v>EFF_SINGLE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77" t="str">
        <f>CHOOSE(MODE, "Fsw_SINGLE", "Fsw_DUAL")</f>
        <v>Fsw_SINGLE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75" x14ac:dyDescent="0.2"/>
  <cols>
    <col min="1" max="1" width="12.7109375" style="364" customWidth="1"/>
    <col min="2" max="2" width="124.7109375" style="11" customWidth="1"/>
    <col min="3" max="4" width="9.140625" style="364"/>
    <col min="5" max="5" width="124.7109375" style="7" customWidth="1"/>
    <col min="8" max="8" width="124.7109375" style="365" customWidth="1"/>
  </cols>
  <sheetData>
    <row r="2" spans="1:15" x14ac:dyDescent="0.2">
      <c r="A2" s="364" t="str">
        <f>'Variable Mgmt'!K52</f>
        <v>SCH_SINGLE_UVLOint_SSadj_TCyes</v>
      </c>
    </row>
    <row r="5" spans="1:15" s="364" customFormat="1" ht="13.5" customHeight="1" x14ac:dyDescent="0.2">
      <c r="E5" s="365"/>
      <c r="H5" s="365"/>
    </row>
    <row r="6" spans="1:15" s="364" customFormat="1" ht="16.5" customHeight="1" x14ac:dyDescent="0.2">
      <c r="E6" s="365"/>
      <c r="H6" s="365"/>
    </row>
    <row r="7" spans="1:15" ht="357" customHeight="1" x14ac:dyDescent="0.2">
      <c r="B7" s="12"/>
      <c r="E7" s="391"/>
      <c r="F7" s="11"/>
      <c r="G7" s="11"/>
      <c r="I7" s="11"/>
      <c r="J7" s="11"/>
      <c r="K7" s="11"/>
      <c r="L7" s="11"/>
      <c r="M7" s="11"/>
      <c r="N7" s="11"/>
    </row>
    <row r="8" spans="1:15" s="364" customFormat="1" ht="17.25" customHeight="1" x14ac:dyDescent="0.2">
      <c r="B8" s="365"/>
      <c r="E8" s="365"/>
      <c r="H8" s="365"/>
      <c r="O8" s="366"/>
    </row>
    <row r="9" spans="1:15" ht="357" customHeight="1" x14ac:dyDescent="0.2">
      <c r="B9" s="112"/>
      <c r="D9" s="365"/>
      <c r="E9" s="391"/>
      <c r="F9" s="364"/>
      <c r="G9" s="11"/>
      <c r="I9" s="11"/>
      <c r="J9" s="11"/>
      <c r="K9" s="11"/>
      <c r="L9" s="11"/>
      <c r="M9" s="11"/>
      <c r="N9" s="11"/>
      <c r="O9" s="367"/>
    </row>
    <row r="10" spans="1:15" s="364" customFormat="1" x14ac:dyDescent="0.2">
      <c r="E10" s="365"/>
      <c r="H10" s="365"/>
    </row>
    <row r="11" spans="1:15" ht="357" customHeight="1" x14ac:dyDescent="0.2">
      <c r="B11" s="391"/>
      <c r="D11" s="365"/>
      <c r="E11" s="365"/>
      <c r="F11" s="364"/>
      <c r="G11" s="11"/>
      <c r="I11" s="11"/>
      <c r="J11" s="11"/>
      <c r="K11" s="11"/>
      <c r="L11" s="11"/>
      <c r="M11" s="11"/>
      <c r="N11" s="11"/>
      <c r="O11" s="367"/>
    </row>
    <row r="12" spans="1:15" x14ac:dyDescent="0.2">
      <c r="B12" s="364"/>
      <c r="E12" s="365"/>
      <c r="F12" s="364"/>
      <c r="G12" s="11"/>
      <c r="I12" s="11"/>
      <c r="J12" s="11"/>
      <c r="K12" s="11"/>
      <c r="L12" s="11"/>
      <c r="M12" s="11"/>
      <c r="N12" s="11"/>
    </row>
    <row r="13" spans="1:15" ht="357" customHeight="1" x14ac:dyDescent="0.2">
      <c r="B13" s="391"/>
      <c r="E13" s="365"/>
      <c r="F13" s="364"/>
      <c r="G13" s="11"/>
      <c r="I13" s="11"/>
      <c r="J13" s="11"/>
      <c r="K13" s="11"/>
      <c r="L13" s="11"/>
      <c r="M13" s="11"/>
      <c r="N13" s="11"/>
      <c r="O13" s="367"/>
    </row>
    <row r="14" spans="1:15" x14ac:dyDescent="0.2">
      <c r="B14" s="364"/>
      <c r="E14" s="365"/>
      <c r="F14" s="364"/>
      <c r="G14" s="11"/>
      <c r="I14" s="11"/>
      <c r="J14" s="11"/>
      <c r="K14" s="11"/>
      <c r="L14" s="11"/>
      <c r="M14" s="11"/>
      <c r="N14" s="11"/>
    </row>
    <row r="15" spans="1:15" ht="357" customHeight="1" x14ac:dyDescent="0.2">
      <c r="E15" s="365"/>
      <c r="F15" s="364"/>
      <c r="G15" s="11"/>
      <c r="I15" s="11"/>
      <c r="J15" s="11"/>
      <c r="K15" s="11"/>
      <c r="L15" s="11"/>
      <c r="M15" s="11"/>
      <c r="N15" s="11"/>
      <c r="O15" s="367"/>
    </row>
    <row r="16" spans="1:15" x14ac:dyDescent="0.2">
      <c r="B16" s="364"/>
      <c r="E16" s="365"/>
      <c r="F16" s="11"/>
      <c r="G16" s="11"/>
      <c r="I16" s="11"/>
      <c r="J16" s="11"/>
      <c r="K16" s="11"/>
      <c r="L16" s="11"/>
      <c r="M16" s="11"/>
      <c r="N16" s="11"/>
    </row>
    <row r="17" spans="2:15" ht="357" customHeight="1" x14ac:dyDescent="0.2">
      <c r="B17" s="391"/>
      <c r="E17" s="365"/>
      <c r="F17" s="364"/>
      <c r="G17" s="11"/>
      <c r="I17" s="11"/>
      <c r="J17" s="11"/>
      <c r="K17" s="11"/>
      <c r="L17" s="11"/>
      <c r="M17" s="11"/>
      <c r="N17" s="11"/>
      <c r="O17" s="367"/>
    </row>
    <row r="18" spans="2:15" ht="12" customHeight="1" x14ac:dyDescent="0.2">
      <c r="B18" s="364"/>
      <c r="E18" s="365"/>
      <c r="F18" s="11"/>
      <c r="G18" s="11"/>
      <c r="I18" s="11"/>
      <c r="J18" s="11"/>
      <c r="K18" s="11"/>
      <c r="L18" s="11"/>
      <c r="M18" s="11"/>
      <c r="N18" s="11"/>
    </row>
    <row r="19" spans="2:15" ht="357" customHeight="1" x14ac:dyDescent="0.2">
      <c r="B19" s="364"/>
      <c r="E19" s="365"/>
      <c r="F19" s="11"/>
      <c r="G19" s="11"/>
      <c r="I19" s="11"/>
      <c r="J19" s="11"/>
      <c r="K19" s="11"/>
      <c r="L19" s="11"/>
      <c r="M19" s="11"/>
      <c r="N19" s="11"/>
    </row>
    <row r="20" spans="2:15" ht="13.5" customHeight="1" x14ac:dyDescent="0.2">
      <c r="B20" s="364"/>
      <c r="E20" s="365"/>
      <c r="F20" s="11"/>
      <c r="G20" s="11"/>
      <c r="I20" s="11"/>
      <c r="J20" s="11"/>
      <c r="K20" s="11"/>
      <c r="L20" s="11"/>
      <c r="M20" s="11"/>
      <c r="N20" s="11"/>
    </row>
    <row r="21" spans="2:15" ht="357" customHeight="1" x14ac:dyDescent="0.2">
      <c r="B21" s="364"/>
      <c r="E21" s="365"/>
      <c r="F21" s="11"/>
      <c r="G21" s="11"/>
      <c r="I21" s="11"/>
      <c r="J21" s="11"/>
      <c r="K21" s="11"/>
      <c r="L21" s="11"/>
      <c r="M21" s="11"/>
      <c r="N21" s="11"/>
    </row>
    <row r="22" spans="2:15" x14ac:dyDescent="0.2">
      <c r="B22" s="364"/>
      <c r="E22" s="365"/>
      <c r="F22" s="11"/>
      <c r="G22" s="11"/>
      <c r="I22" s="11"/>
      <c r="J22" s="11"/>
      <c r="K22" s="11"/>
      <c r="L22" s="11"/>
      <c r="M22" s="11"/>
      <c r="N22" s="11"/>
    </row>
    <row r="23" spans="2:15" ht="357" customHeight="1" x14ac:dyDescent="0.2">
      <c r="B23" s="364"/>
      <c r="E23" s="365"/>
      <c r="F23" s="11"/>
      <c r="G23" s="11"/>
      <c r="I23" s="11"/>
      <c r="J23" s="11"/>
      <c r="K23" s="11"/>
      <c r="L23" s="11"/>
      <c r="M23" s="11"/>
      <c r="N23" s="11"/>
    </row>
    <row r="24" spans="2:15" x14ac:dyDescent="0.2">
      <c r="B24" s="364"/>
      <c r="E24" s="365"/>
      <c r="F24" s="11"/>
      <c r="G24" s="11"/>
      <c r="I24" s="11"/>
      <c r="J24" s="11"/>
      <c r="K24" s="11"/>
      <c r="L24" s="11"/>
      <c r="M24" s="11"/>
      <c r="N24" s="11"/>
    </row>
    <row r="25" spans="2:15" ht="327.75" customHeight="1" x14ac:dyDescent="0.2">
      <c r="B25" s="364"/>
      <c r="E25" s="365"/>
      <c r="F25" s="11"/>
      <c r="G25" s="11"/>
      <c r="I25" s="11"/>
      <c r="J25" s="11"/>
      <c r="K25" s="11"/>
      <c r="L25" s="11"/>
      <c r="M25" s="11"/>
      <c r="N25" s="11"/>
    </row>
    <row r="26" spans="2:15" x14ac:dyDescent="0.2">
      <c r="E26" s="365"/>
      <c r="F26" s="11"/>
      <c r="G26" s="11"/>
      <c r="I26" s="11"/>
      <c r="J26" s="11"/>
      <c r="K26" s="11"/>
      <c r="L26" s="11"/>
      <c r="M26" s="11"/>
      <c r="N26" s="11"/>
    </row>
    <row r="27" spans="2:15" ht="327.60000000000002" customHeight="1" x14ac:dyDescent="0.2">
      <c r="B27" s="364"/>
      <c r="E27" s="365"/>
      <c r="F27" s="11"/>
      <c r="G27" s="11"/>
      <c r="I27" s="11"/>
      <c r="J27" s="11"/>
      <c r="K27" s="11"/>
      <c r="L27" s="11"/>
      <c r="M27" s="11"/>
      <c r="N27" s="11"/>
    </row>
    <row r="28" spans="2:15" x14ac:dyDescent="0.2">
      <c r="B28" s="364"/>
      <c r="E28" s="365"/>
      <c r="F28" s="11"/>
      <c r="G28" s="11"/>
      <c r="I28" s="11"/>
      <c r="J28" s="11"/>
      <c r="K28" s="11"/>
      <c r="L28" s="11"/>
      <c r="M28" s="11"/>
      <c r="N28" s="11"/>
    </row>
    <row r="29" spans="2:15" ht="327.75" customHeight="1" x14ac:dyDescent="0.2">
      <c r="B29" s="364"/>
      <c r="E29" s="365"/>
      <c r="F29" s="11"/>
      <c r="G29" s="11"/>
      <c r="I29" s="11"/>
      <c r="J29" s="11"/>
      <c r="K29" s="11"/>
      <c r="L29" s="11"/>
      <c r="M29" s="11"/>
      <c r="N29" s="11"/>
    </row>
    <row r="30" spans="2:15" ht="13.5" customHeight="1" x14ac:dyDescent="0.2">
      <c r="B30" s="364"/>
      <c r="E30" s="365"/>
      <c r="F30" s="11"/>
      <c r="G30" s="11"/>
      <c r="I30" s="11"/>
      <c r="J30" s="11"/>
      <c r="K30" s="11"/>
      <c r="L30" s="11"/>
      <c r="M30" s="11"/>
      <c r="N30" s="11"/>
    </row>
    <row r="31" spans="2:15" ht="327.75" customHeight="1" x14ac:dyDescent="0.2">
      <c r="B31" s="364"/>
      <c r="E31" s="365"/>
      <c r="F31" s="11"/>
      <c r="G31" s="11"/>
      <c r="I31" s="11"/>
      <c r="J31" s="11"/>
      <c r="K31" s="11"/>
      <c r="L31" s="11"/>
      <c r="M31" s="11"/>
      <c r="N31" s="11"/>
    </row>
    <row r="32" spans="2:15" ht="13.5" customHeight="1" x14ac:dyDescent="0.2">
      <c r="B32" s="364"/>
      <c r="E32" s="365"/>
      <c r="F32" s="11"/>
      <c r="G32" s="11"/>
      <c r="I32" s="11"/>
      <c r="J32" s="11"/>
      <c r="K32" s="11"/>
      <c r="L32" s="11"/>
      <c r="M32" s="11"/>
      <c r="N32" s="11"/>
    </row>
    <row r="33" spans="2:20" ht="327.75" customHeight="1" x14ac:dyDescent="0.2">
      <c r="B33" s="364"/>
      <c r="E33" s="365"/>
      <c r="F33" s="11"/>
      <c r="G33" s="11"/>
      <c r="I33" s="11"/>
      <c r="J33" s="11"/>
      <c r="K33" s="11"/>
      <c r="L33" s="11"/>
      <c r="M33" s="11"/>
      <c r="N33" s="11"/>
    </row>
    <row r="34" spans="2:20" ht="13.5" customHeight="1" x14ac:dyDescent="0.2">
      <c r="B34" s="364"/>
      <c r="E34" s="365"/>
      <c r="F34" s="11"/>
      <c r="G34" s="11"/>
      <c r="I34" s="11"/>
      <c r="J34" s="11"/>
      <c r="K34" s="11"/>
      <c r="L34" s="11"/>
      <c r="M34" s="11"/>
      <c r="N34" s="11"/>
    </row>
    <row r="35" spans="2:20" ht="327.60000000000002" customHeight="1" x14ac:dyDescent="0.2">
      <c r="B35" s="364"/>
      <c r="E35" s="365"/>
      <c r="F35" s="11"/>
      <c r="G35" s="11"/>
      <c r="I35" s="11"/>
      <c r="J35" s="11"/>
      <c r="K35" s="11"/>
      <c r="L35" s="11"/>
      <c r="M35" s="11"/>
      <c r="N35" s="11"/>
    </row>
    <row r="36" spans="2:20" ht="13.5" customHeight="1" x14ac:dyDescent="0.2">
      <c r="B36" s="364"/>
      <c r="E36" s="365"/>
      <c r="F36" s="11"/>
      <c r="G36" s="11"/>
      <c r="I36" s="11"/>
      <c r="J36" s="11"/>
      <c r="K36" s="11"/>
      <c r="L36" s="11"/>
      <c r="M36" s="11"/>
      <c r="N36" s="11"/>
    </row>
    <row r="37" spans="2:20" ht="327.75" customHeight="1" x14ac:dyDescent="0.2">
      <c r="B37" s="364"/>
      <c r="E37" s="365"/>
      <c r="F37" s="11"/>
      <c r="G37" s="11"/>
      <c r="I37" s="11"/>
      <c r="J37" s="11"/>
      <c r="K37" s="11"/>
      <c r="L37" s="11"/>
      <c r="M37" s="11"/>
      <c r="N37" s="11"/>
    </row>
    <row r="38" spans="2:20" ht="13.5" customHeight="1" x14ac:dyDescent="0.35">
      <c r="B38" s="364"/>
      <c r="E38" s="365"/>
      <c r="F38" s="11"/>
      <c r="G38" s="368"/>
      <c r="I38" s="369"/>
      <c r="J38" s="11"/>
      <c r="K38" s="11"/>
      <c r="L38" s="11"/>
      <c r="M38" s="11"/>
      <c r="N38" s="11"/>
    </row>
    <row r="39" spans="2:20" ht="327.75" customHeight="1" x14ac:dyDescent="0.2">
      <c r="B39" s="364"/>
      <c r="E39" s="365"/>
      <c r="F39" s="11"/>
      <c r="G39" s="11"/>
      <c r="I39" s="369"/>
      <c r="J39" s="11"/>
      <c r="K39" s="11"/>
      <c r="L39" s="11"/>
      <c r="M39" s="11"/>
      <c r="N39" s="11"/>
    </row>
    <row r="40" spans="2:20" x14ac:dyDescent="0.2">
      <c r="B40" s="364"/>
      <c r="E40" s="365"/>
      <c r="F40" s="11"/>
      <c r="G40" s="11"/>
      <c r="I40" s="11"/>
      <c r="J40" s="11"/>
      <c r="K40" s="11"/>
      <c r="L40" s="11"/>
      <c r="M40" s="11"/>
      <c r="N40" s="11"/>
      <c r="O40" s="11"/>
      <c r="P40" s="11"/>
      <c r="Q40" s="13"/>
      <c r="S40" s="370"/>
      <c r="T40" s="370"/>
    </row>
    <row r="41" spans="2:20" ht="327.75" customHeight="1" x14ac:dyDescent="0.2">
      <c r="B41" s="364"/>
      <c r="E41" s="365"/>
      <c r="F41" s="11"/>
      <c r="G41" s="11"/>
      <c r="I41" s="11"/>
      <c r="J41" s="11"/>
      <c r="K41" s="11"/>
      <c r="L41" s="11"/>
      <c r="M41" s="11"/>
      <c r="N41" s="11"/>
      <c r="O41" s="11"/>
      <c r="P41" s="11"/>
      <c r="Q41" s="13"/>
      <c r="S41" s="370"/>
    </row>
    <row r="42" spans="2:20" x14ac:dyDescent="0.2">
      <c r="B42" s="364"/>
      <c r="E42" s="365"/>
      <c r="F42" s="11"/>
      <c r="G42" s="11"/>
      <c r="I42" s="11"/>
      <c r="J42" s="11"/>
      <c r="K42" s="11"/>
      <c r="L42" s="11"/>
      <c r="M42" s="11"/>
      <c r="N42" s="11"/>
      <c r="O42" s="11"/>
      <c r="P42" s="11"/>
      <c r="Q42" s="13"/>
      <c r="S42" s="370"/>
    </row>
    <row r="43" spans="2:20" ht="327.75" customHeight="1" x14ac:dyDescent="0.2">
      <c r="B43" s="364"/>
      <c r="E43" s="365"/>
      <c r="F43" s="11"/>
      <c r="G43" s="11"/>
      <c r="I43" s="11"/>
      <c r="J43" s="11"/>
      <c r="K43" s="11"/>
      <c r="L43" s="11"/>
      <c r="M43" s="11"/>
      <c r="N43" s="11"/>
      <c r="O43" s="11"/>
      <c r="P43" s="11"/>
      <c r="Q43" s="13"/>
      <c r="S43" s="370"/>
    </row>
    <row r="44" spans="2:20" x14ac:dyDescent="0.2">
      <c r="B44" s="364"/>
      <c r="E44" s="365"/>
      <c r="F44" s="11"/>
      <c r="G44" s="11"/>
      <c r="I44" s="11"/>
      <c r="J44" s="11"/>
      <c r="K44" s="11"/>
      <c r="L44" s="11"/>
      <c r="M44" s="11"/>
      <c r="N44" s="11"/>
      <c r="O44" s="11"/>
      <c r="P44" s="11"/>
      <c r="Q44" s="13"/>
      <c r="S44" s="370"/>
    </row>
    <row r="45" spans="2:20" ht="327.75" customHeight="1" x14ac:dyDescent="0.2">
      <c r="B45" s="364"/>
      <c r="E45" s="365"/>
      <c r="F45" s="11"/>
      <c r="G45" s="11"/>
      <c r="I45" s="11"/>
      <c r="J45" s="11"/>
      <c r="K45" s="11"/>
      <c r="L45" s="11"/>
      <c r="M45" s="11"/>
      <c r="N45" s="11"/>
      <c r="O45" s="11"/>
      <c r="P45" s="11"/>
      <c r="Q45" s="13"/>
      <c r="S45" s="370"/>
    </row>
    <row r="46" spans="2:20" x14ac:dyDescent="0.2">
      <c r="B46" s="364"/>
      <c r="E46" s="365"/>
      <c r="F46" s="11"/>
      <c r="G46" s="11"/>
      <c r="I46" s="11"/>
      <c r="J46" s="11"/>
      <c r="K46" s="11"/>
      <c r="L46" s="11"/>
      <c r="M46" s="11"/>
      <c r="N46" s="11"/>
      <c r="O46" s="11"/>
      <c r="P46" s="11"/>
      <c r="Q46" s="13"/>
      <c r="S46" s="370"/>
    </row>
    <row r="47" spans="2:20" ht="327.75" customHeight="1" x14ac:dyDescent="0.2">
      <c r="B47" s="364"/>
      <c r="E47" s="365"/>
      <c r="F47" s="11"/>
      <c r="G47" s="11"/>
      <c r="I47" s="11"/>
      <c r="J47" s="11"/>
      <c r="K47" s="11"/>
      <c r="L47" s="11"/>
      <c r="M47" s="11"/>
      <c r="N47" s="11"/>
      <c r="O47" s="11"/>
      <c r="P47" s="11"/>
      <c r="Q47" s="13"/>
      <c r="S47" s="371"/>
    </row>
    <row r="48" spans="2:20" x14ac:dyDescent="0.2">
      <c r="B48" s="364"/>
      <c r="E48" s="365"/>
      <c r="F48" s="11"/>
      <c r="G48" s="11"/>
      <c r="I48" s="11"/>
      <c r="J48" s="11"/>
      <c r="K48" s="11"/>
      <c r="L48" s="11"/>
      <c r="M48" s="11"/>
      <c r="N48" s="11"/>
      <c r="O48" s="11"/>
      <c r="P48" s="11"/>
      <c r="Q48" s="13"/>
      <c r="S48" s="370"/>
    </row>
    <row r="49" spans="2:19" ht="327.75" customHeight="1" x14ac:dyDescent="0.2">
      <c r="B49" s="364"/>
      <c r="E49" s="365"/>
      <c r="F49" s="11"/>
      <c r="G49" s="11"/>
      <c r="I49" s="11"/>
      <c r="J49" s="11"/>
      <c r="K49" s="11"/>
      <c r="L49" s="11"/>
      <c r="M49" s="11"/>
      <c r="N49" s="11"/>
      <c r="O49" s="11"/>
      <c r="P49" s="11"/>
      <c r="Q49" s="13"/>
      <c r="S49" s="370"/>
    </row>
    <row r="50" spans="2:19" x14ac:dyDescent="0.2">
      <c r="B50" s="364"/>
      <c r="E50" s="365"/>
      <c r="F50" s="11"/>
      <c r="G50" s="11"/>
      <c r="I50" s="11"/>
      <c r="J50" s="11"/>
      <c r="K50" s="11"/>
      <c r="L50" s="11"/>
      <c r="M50" s="11"/>
      <c r="N50" s="11"/>
      <c r="O50" s="11"/>
      <c r="P50" s="11"/>
      <c r="Q50" s="13"/>
      <c r="S50" s="370"/>
    </row>
    <row r="51" spans="2:19" x14ac:dyDescent="0.2">
      <c r="B51" s="364"/>
      <c r="E51" s="365"/>
      <c r="F51" s="11"/>
      <c r="G51" s="11"/>
      <c r="I51" s="11"/>
      <c r="J51" s="11"/>
      <c r="K51" s="11"/>
      <c r="L51" s="11"/>
      <c r="M51" s="11"/>
      <c r="N51" s="11"/>
      <c r="O51" s="11"/>
      <c r="P51" s="11"/>
      <c r="Q51" s="13"/>
      <c r="S51" s="370"/>
    </row>
    <row r="52" spans="2:19" x14ac:dyDescent="0.2">
      <c r="B52" s="364"/>
      <c r="E52" s="365"/>
      <c r="F52" s="11"/>
      <c r="G52" s="11"/>
      <c r="I52" s="11"/>
      <c r="J52" s="11"/>
      <c r="K52" s="11"/>
      <c r="L52" s="11"/>
      <c r="M52" s="11"/>
      <c r="N52" s="11"/>
      <c r="O52" s="11"/>
      <c r="P52" s="11"/>
      <c r="Q52" s="13"/>
      <c r="S52" s="370"/>
    </row>
    <row r="53" spans="2:19" x14ac:dyDescent="0.2">
      <c r="B53" s="364"/>
      <c r="E53" s="365"/>
      <c r="F53" s="11"/>
      <c r="G53" s="11"/>
      <c r="I53" s="11"/>
      <c r="J53" s="11"/>
      <c r="K53" s="11"/>
      <c r="L53" s="11"/>
      <c r="M53" s="11"/>
      <c r="N53" s="11"/>
    </row>
    <row r="54" spans="2:19" x14ac:dyDescent="0.2">
      <c r="B54" s="364"/>
      <c r="E54" s="365"/>
      <c r="F54" s="11"/>
      <c r="G54" s="11"/>
      <c r="I54" s="11"/>
      <c r="J54" s="11"/>
      <c r="K54" s="11"/>
      <c r="L54" s="11"/>
      <c r="M54" s="11"/>
      <c r="N54" s="11"/>
    </row>
    <row r="55" spans="2:19" x14ac:dyDescent="0.2">
      <c r="B55" s="364"/>
      <c r="E55" s="365"/>
      <c r="F55" s="11"/>
      <c r="G55" s="11"/>
      <c r="I55" s="11"/>
      <c r="J55" s="11"/>
      <c r="K55" s="11"/>
      <c r="L55" s="11"/>
      <c r="M55" s="11"/>
      <c r="N55" s="11"/>
      <c r="R55" s="14"/>
    </row>
    <row r="56" spans="2:19" x14ac:dyDescent="0.2">
      <c r="B56" s="364"/>
      <c r="E56" s="365"/>
      <c r="F56" s="11"/>
      <c r="G56" s="11"/>
      <c r="I56" s="11"/>
      <c r="J56" s="11"/>
      <c r="K56" s="11"/>
      <c r="L56" s="11"/>
      <c r="M56" s="11"/>
      <c r="N56" s="11"/>
    </row>
    <row r="57" spans="2:19" x14ac:dyDescent="0.2">
      <c r="B57" s="364"/>
      <c r="E57" s="365"/>
      <c r="F57" s="11"/>
      <c r="G57" s="11"/>
      <c r="I57" s="11"/>
      <c r="J57" s="11"/>
      <c r="K57" s="11"/>
      <c r="L57" s="11"/>
      <c r="M57" s="11"/>
      <c r="N57" s="11"/>
    </row>
    <row r="58" spans="2:19" x14ac:dyDescent="0.2">
      <c r="E58" s="12"/>
      <c r="F58" s="11"/>
      <c r="G58" s="11"/>
      <c r="I58" s="11"/>
      <c r="J58" s="11"/>
      <c r="K58" s="11"/>
      <c r="L58" s="11"/>
      <c r="M58" s="11"/>
      <c r="N58" s="11"/>
    </row>
    <row r="59" spans="2:19" x14ac:dyDescent="0.2">
      <c r="E59" s="12"/>
      <c r="F59" s="11"/>
      <c r="G59" s="11"/>
      <c r="I59" s="11"/>
      <c r="J59" s="11"/>
      <c r="K59" s="11"/>
      <c r="L59" s="11"/>
      <c r="M59" s="11"/>
      <c r="N59" s="11"/>
    </row>
    <row r="60" spans="2:19" x14ac:dyDescent="0.2">
      <c r="E60" s="12"/>
      <c r="F60" s="11"/>
      <c r="G60" s="11"/>
      <c r="I60" s="11"/>
      <c r="J60" s="11"/>
      <c r="K60" s="11"/>
      <c r="L60" s="11"/>
      <c r="M60" s="11"/>
      <c r="N60" s="11"/>
    </row>
    <row r="61" spans="2:19" x14ac:dyDescent="0.2">
      <c r="E61" s="12"/>
      <c r="F61" s="11"/>
      <c r="G61" s="11"/>
      <c r="I61" s="11"/>
      <c r="J61" s="11"/>
      <c r="K61" s="11"/>
      <c r="L61" s="11"/>
      <c r="M61" s="11"/>
      <c r="N61" s="11"/>
    </row>
    <row r="62" spans="2:19" x14ac:dyDescent="0.2">
      <c r="E62" s="12"/>
      <c r="F62" s="11"/>
      <c r="G62" s="11"/>
      <c r="I62" s="11"/>
      <c r="J62" s="11"/>
      <c r="K62" s="11"/>
      <c r="L62" s="11"/>
      <c r="M62" s="11"/>
      <c r="N62" s="11"/>
    </row>
    <row r="63" spans="2:19" x14ac:dyDescent="0.2">
      <c r="E63" s="12"/>
      <c r="F63" s="11"/>
      <c r="G63" s="11"/>
      <c r="I63" s="11"/>
      <c r="J63" s="11"/>
      <c r="K63" s="11"/>
      <c r="L63" s="11"/>
      <c r="M63" s="11"/>
      <c r="N63" s="11"/>
    </row>
    <row r="64" spans="2:19" x14ac:dyDescent="0.2">
      <c r="E64" s="12"/>
      <c r="F64" s="11"/>
      <c r="G64" s="11"/>
      <c r="I64" s="11"/>
      <c r="J64" s="11"/>
      <c r="K64" s="11"/>
      <c r="L64" s="11"/>
      <c r="M64" s="11"/>
      <c r="N64" s="11"/>
    </row>
    <row r="65" spans="5:18" x14ac:dyDescent="0.2">
      <c r="E65" s="12"/>
      <c r="F65" s="11"/>
      <c r="G65" s="11"/>
      <c r="I65" s="11"/>
      <c r="J65" s="11"/>
      <c r="K65" s="11"/>
      <c r="L65" s="11"/>
      <c r="M65" s="11"/>
      <c r="N65" s="11"/>
    </row>
    <row r="66" spans="5:18" x14ac:dyDescent="0.2">
      <c r="E66" s="12"/>
      <c r="F66" s="11"/>
      <c r="G66" s="11"/>
      <c r="I66" s="11"/>
      <c r="J66" s="11"/>
      <c r="K66" s="11"/>
      <c r="L66" s="11"/>
      <c r="M66" s="11"/>
      <c r="N66" s="11"/>
      <c r="R66" s="14"/>
    </row>
    <row r="67" spans="5:18" x14ac:dyDescent="0.2">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4.4999999999999999E-8</v>
      </c>
      <c r="C3">
        <f>Cout</f>
        <v>100</v>
      </c>
      <c r="D3">
        <f>Cin</f>
        <v>10</v>
      </c>
      <c r="E3">
        <f>Cb</f>
        <v>0</v>
      </c>
      <c r="H3" t="s">
        <v>73</v>
      </c>
      <c r="I3" t="s">
        <v>74</v>
      </c>
      <c r="J3" s="3" t="s">
        <v>70</v>
      </c>
    </row>
    <row r="4" spans="1:11" x14ac:dyDescent="0.2">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x14ac:dyDescent="0.2">
      <c r="A5" t="s">
        <v>69</v>
      </c>
      <c r="J5" s="3"/>
      <c r="K5" s="17"/>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x14ac:dyDescent="0.2">
      <c r="A8">
        <v>0.68</v>
      </c>
      <c r="B8">
        <f t="shared" si="3"/>
        <v>0</v>
      </c>
      <c r="C8">
        <f t="shared" si="4"/>
        <v>0</v>
      </c>
      <c r="D8">
        <f t="shared" si="5"/>
        <v>0</v>
      </c>
      <c r="E8">
        <f t="shared" si="6"/>
        <v>0</v>
      </c>
      <c r="J8" s="3"/>
      <c r="K8" s="17"/>
    </row>
    <row r="9" spans="1:11" x14ac:dyDescent="0.2">
      <c r="A9">
        <v>0.82</v>
      </c>
      <c r="B9">
        <f t="shared" si="3"/>
        <v>0</v>
      </c>
      <c r="C9">
        <f t="shared" si="4"/>
        <v>0</v>
      </c>
      <c r="D9">
        <f t="shared" si="5"/>
        <v>0</v>
      </c>
      <c r="E9">
        <f t="shared" si="6"/>
        <v>0</v>
      </c>
      <c r="H9" t="s">
        <v>383</v>
      </c>
      <c r="I9">
        <f>RTC_1</f>
        <v>107000</v>
      </c>
      <c r="J9" s="3">
        <f t="shared" si="1"/>
        <v>107000</v>
      </c>
      <c r="K9" s="17" t="s">
        <v>136</v>
      </c>
    </row>
    <row r="10" spans="1:11" x14ac:dyDescent="0.2">
      <c r="A10">
        <v>1</v>
      </c>
      <c r="B10">
        <f t="shared" si="3"/>
        <v>0</v>
      </c>
      <c r="C10">
        <f t="shared" si="4"/>
        <v>0</v>
      </c>
      <c r="D10">
        <f t="shared" si="5"/>
        <v>0</v>
      </c>
      <c r="E10">
        <f t="shared" si="6"/>
        <v>0</v>
      </c>
      <c r="H10" t="s">
        <v>17</v>
      </c>
      <c r="I10">
        <f>Rfb</f>
        <v>107000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107000</v>
      </c>
      <c r="K10" s="17"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7" t="s">
        <v>130</v>
      </c>
      <c r="I16">
        <f>Ruvlo1</f>
        <v>279.99999999999972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280</v>
      </c>
      <c r="K16" s="17" t="s">
        <v>113</v>
      </c>
    </row>
    <row r="17" spans="1:11" x14ac:dyDescent="0.2">
      <c r="A17">
        <v>3.9</v>
      </c>
      <c r="B17">
        <f t="shared" si="3"/>
        <v>0</v>
      </c>
      <c r="C17">
        <f t="shared" si="4"/>
        <v>0</v>
      </c>
      <c r="D17">
        <f t="shared" si="5"/>
        <v>0</v>
      </c>
      <c r="E17">
        <f t="shared" si="6"/>
        <v>0</v>
      </c>
      <c r="H17" s="77" t="s">
        <v>131</v>
      </c>
      <c r="I17" s="177">
        <f>Ruvlo2</f>
        <v>25.454545454545453</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25.5</v>
      </c>
      <c r="K17" s="17" t="s">
        <v>113</v>
      </c>
    </row>
    <row r="18" spans="1:11" x14ac:dyDescent="0.2">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7"/>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77"/>
      <c r="J22" s="3"/>
      <c r="K22" s="17"/>
    </row>
    <row r="23" spans="1:11" x14ac:dyDescent="0.2">
      <c r="A23">
        <v>12</v>
      </c>
      <c r="B23">
        <f t="shared" si="3"/>
        <v>0</v>
      </c>
      <c r="C23">
        <f t="shared" si="4"/>
        <v>0</v>
      </c>
      <c r="D23">
        <f t="shared" si="5"/>
        <v>0</v>
      </c>
      <c r="E23">
        <f t="shared" si="6"/>
        <v>0</v>
      </c>
      <c r="H23" t="s">
        <v>838</v>
      </c>
      <c r="I23">
        <f>'Calculations - Single'!H329</f>
        <v>5788.1250000000036</v>
      </c>
      <c r="J23" s="3">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5760</v>
      </c>
      <c r="K23" s="17" t="s">
        <v>136</v>
      </c>
    </row>
    <row r="24" spans="1:11" x14ac:dyDescent="0.2">
      <c r="A24">
        <v>15</v>
      </c>
      <c r="B24">
        <f t="shared" si="3"/>
        <v>0</v>
      </c>
      <c r="C24">
        <f t="shared" si="4"/>
        <v>0</v>
      </c>
      <c r="D24">
        <f t="shared" si="5"/>
        <v>0</v>
      </c>
      <c r="E24">
        <f t="shared" si="6"/>
        <v>0</v>
      </c>
      <c r="H24" t="s">
        <v>849</v>
      </c>
      <c r="I24">
        <f>'Calculations - Dual'!H329</f>
        <v>5788.1250000000036</v>
      </c>
      <c r="J24" s="3">
        <f t="shared" si="8"/>
        <v>5760</v>
      </c>
    </row>
    <row r="25" spans="1:11" x14ac:dyDescent="0.2">
      <c r="A25">
        <v>18</v>
      </c>
      <c r="B25">
        <f t="shared" si="3"/>
        <v>0</v>
      </c>
      <c r="C25">
        <f t="shared" si="4"/>
        <v>0</v>
      </c>
      <c r="D25">
        <f t="shared" si="5"/>
        <v>0</v>
      </c>
      <c r="E25">
        <f t="shared" si="6"/>
        <v>0</v>
      </c>
      <c r="H25" s="77" t="s">
        <v>848</v>
      </c>
      <c r="I25">
        <f>'Calculations - Dual'!O329</f>
        <v>503.31521739130437</v>
      </c>
      <c r="J25" s="3">
        <f t="shared" si="8"/>
        <v>499</v>
      </c>
      <c r="K25" s="17"/>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c r="H27" t="s">
        <v>859</v>
      </c>
      <c r="I27">
        <f>'Calculations - Single'!G327</f>
        <v>2.976190476190476E-2</v>
      </c>
    </row>
    <row r="28" spans="1:11" x14ac:dyDescent="0.2">
      <c r="A28">
        <v>33</v>
      </c>
      <c r="B28">
        <f t="shared" si="3"/>
        <v>0</v>
      </c>
      <c r="C28">
        <f t="shared" si="4"/>
        <v>0</v>
      </c>
      <c r="D28">
        <f t="shared" si="5"/>
        <v>0</v>
      </c>
      <c r="E28">
        <f t="shared" si="6"/>
        <v>0</v>
      </c>
      <c r="H28" s="77" t="s">
        <v>860</v>
      </c>
      <c r="I28">
        <f>'Calculations - Dual'!G327</f>
        <v>2.976190476190476E-2</v>
      </c>
      <c r="K28" s="17"/>
    </row>
    <row r="29" spans="1:11" x14ac:dyDescent="0.2">
      <c r="A29">
        <v>39</v>
      </c>
      <c r="B29">
        <f t="shared" si="3"/>
        <v>0</v>
      </c>
      <c r="C29">
        <f t="shared" si="4"/>
        <v>0</v>
      </c>
      <c r="D29">
        <f t="shared" si="5"/>
        <v>0</v>
      </c>
      <c r="E29">
        <f t="shared" si="6"/>
        <v>0</v>
      </c>
      <c r="H29" s="77" t="s">
        <v>861</v>
      </c>
      <c r="I29">
        <f>'Calculations - Dual'!N327</f>
        <v>2.976190476190476E-2</v>
      </c>
      <c r="K29" s="77"/>
    </row>
    <row r="30" spans="1:11" x14ac:dyDescent="0.2">
      <c r="A30">
        <v>47</v>
      </c>
      <c r="B30">
        <f t="shared" si="3"/>
        <v>0</v>
      </c>
      <c r="C30">
        <f t="shared" si="4"/>
        <v>0</v>
      </c>
      <c r="D30">
        <f t="shared" si="5"/>
        <v>0</v>
      </c>
      <c r="E30">
        <f t="shared" si="6"/>
        <v>0</v>
      </c>
      <c r="H30" s="4"/>
      <c r="K30" s="77"/>
    </row>
    <row r="31" spans="1:11" x14ac:dyDescent="0.2">
      <c r="A31">
        <v>56</v>
      </c>
      <c r="B31">
        <f t="shared" si="3"/>
        <v>0</v>
      </c>
      <c r="C31">
        <f t="shared" si="4"/>
        <v>0</v>
      </c>
      <c r="D31">
        <f t="shared" si="5"/>
        <v>0</v>
      </c>
      <c r="E31">
        <f t="shared" si="6"/>
        <v>0</v>
      </c>
      <c r="H31" s="4">
        <f>Npri_sec2</f>
        <v>2</v>
      </c>
      <c r="K31" s="17"/>
    </row>
    <row r="32" spans="1:11" x14ac:dyDescent="0.2">
      <c r="A32">
        <v>68</v>
      </c>
      <c r="B32">
        <f t="shared" si="3"/>
        <v>0</v>
      </c>
      <c r="C32">
        <f t="shared" si="4"/>
        <v>0</v>
      </c>
      <c r="D32">
        <f t="shared" si="5"/>
        <v>0</v>
      </c>
      <c r="E32">
        <f t="shared" si="6"/>
        <v>0</v>
      </c>
      <c r="H32" s="4"/>
      <c r="K32" s="77"/>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7"/>
    </row>
    <row r="35" spans="1:8" x14ac:dyDescent="0.2">
      <c r="A35">
        <f t="shared" ref="A35:A98" si="9">A23*10</f>
        <v>120</v>
      </c>
      <c r="B35">
        <f t="shared" si="3"/>
        <v>0</v>
      </c>
      <c r="C35">
        <f t="shared" si="4"/>
        <v>0</v>
      </c>
      <c r="D35">
        <f t="shared" si="5"/>
        <v>0</v>
      </c>
      <c r="E35">
        <f t="shared" si="6"/>
        <v>0</v>
      </c>
      <c r="H35" s="77"/>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47000</v>
      </c>
      <c r="C65">
        <f t="shared" si="4"/>
        <v>0</v>
      </c>
      <c r="D65">
        <f t="shared" si="5"/>
        <v>0</v>
      </c>
      <c r="E65">
        <f t="shared" si="10"/>
        <v>0</v>
      </c>
    </row>
    <row r="66" spans="1:5" x14ac:dyDescent="0.2">
      <c r="A66">
        <f t="shared" si="9"/>
        <v>47000</v>
      </c>
      <c r="B66">
        <f t="shared" si="3"/>
        <v>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75" x14ac:dyDescent="0.2"/>
  <cols>
    <col min="1" max="1" width="9.5703125" style="115" customWidth="1"/>
    <col min="2" max="2" width="11.42578125" style="115" customWidth="1"/>
    <col min="3" max="3" width="13.42578125" style="115" customWidth="1"/>
    <col min="4" max="4" width="20.140625" style="115" customWidth="1"/>
    <col min="5" max="5" width="17.28515625" style="115" customWidth="1"/>
    <col min="6" max="6" width="13.5703125" style="115" customWidth="1"/>
    <col min="7" max="7" width="16.140625" style="115" customWidth="1"/>
    <col min="8" max="8" width="18.140625" style="115" customWidth="1"/>
    <col min="9" max="9" width="10.85546875" style="115" customWidth="1"/>
    <col min="10" max="10" width="15.85546875" style="115" customWidth="1"/>
    <col min="11" max="11" width="11.85546875" style="471" customWidth="1"/>
    <col min="12" max="12" width="7.85546875" style="470" customWidth="1"/>
    <col min="13" max="13" width="11.7109375" style="115" customWidth="1"/>
    <col min="14" max="254" width="9.140625" style="115"/>
    <col min="255" max="255" width="8.7109375" style="115" bestFit="1" customWidth="1"/>
    <col min="256" max="256" width="13.28515625" style="115" customWidth="1"/>
    <col min="257" max="257" width="16.140625" style="115" bestFit="1" customWidth="1"/>
    <col min="258" max="258" width="23.5703125" style="115" customWidth="1"/>
    <col min="259" max="259" width="17.28515625" style="115" customWidth="1"/>
    <col min="260" max="260" width="20.5703125" style="115" bestFit="1" customWidth="1"/>
    <col min="261" max="261" width="17.140625" style="115" customWidth="1"/>
    <col min="262" max="262" width="21.85546875" style="115" bestFit="1" customWidth="1"/>
    <col min="263" max="263" width="17.140625" style="115" bestFit="1" customWidth="1"/>
    <col min="264" max="264" width="18.140625" style="115" bestFit="1" customWidth="1"/>
    <col min="265" max="265" width="26.42578125" style="115" customWidth="1"/>
    <col min="266" max="510" width="9.140625" style="115"/>
    <col min="511" max="511" width="8.7109375" style="115" bestFit="1" customWidth="1"/>
    <col min="512" max="512" width="13.28515625" style="115" customWidth="1"/>
    <col min="513" max="513" width="16.140625" style="115" bestFit="1" customWidth="1"/>
    <col min="514" max="514" width="23.5703125" style="115" customWidth="1"/>
    <col min="515" max="515" width="17.28515625" style="115" customWidth="1"/>
    <col min="516" max="516" width="20.5703125" style="115" bestFit="1" customWidth="1"/>
    <col min="517" max="517" width="17.140625" style="115" customWidth="1"/>
    <col min="518" max="518" width="21.85546875" style="115" bestFit="1" customWidth="1"/>
    <col min="519" max="519" width="17.140625" style="115" bestFit="1" customWidth="1"/>
    <col min="520" max="520" width="18.140625" style="115" bestFit="1" customWidth="1"/>
    <col min="521" max="521" width="26.42578125" style="115" customWidth="1"/>
    <col min="522" max="766" width="9.140625" style="115"/>
    <col min="767" max="767" width="8.7109375" style="115" bestFit="1" customWidth="1"/>
    <col min="768" max="768" width="13.28515625" style="115" customWidth="1"/>
    <col min="769" max="769" width="16.140625" style="115" bestFit="1" customWidth="1"/>
    <col min="770" max="770" width="23.5703125" style="115" customWidth="1"/>
    <col min="771" max="771" width="17.28515625" style="115" customWidth="1"/>
    <col min="772" max="772" width="20.5703125" style="115" bestFit="1" customWidth="1"/>
    <col min="773" max="773" width="17.140625" style="115" customWidth="1"/>
    <col min="774" max="774" width="21.85546875" style="115" bestFit="1" customWidth="1"/>
    <col min="775" max="775" width="17.140625" style="115" bestFit="1" customWidth="1"/>
    <col min="776" max="776" width="18.140625" style="115" bestFit="1" customWidth="1"/>
    <col min="777" max="777" width="26.42578125" style="115" customWidth="1"/>
    <col min="778" max="1022" width="9.140625" style="115"/>
    <col min="1023" max="1023" width="8.7109375" style="115" bestFit="1" customWidth="1"/>
    <col min="1024" max="1024" width="13.28515625" style="115" customWidth="1"/>
    <col min="1025" max="1025" width="16.140625" style="115" bestFit="1" customWidth="1"/>
    <col min="1026" max="1026" width="23.5703125" style="115" customWidth="1"/>
    <col min="1027" max="1027" width="17.28515625" style="115" customWidth="1"/>
    <col min="1028" max="1028" width="20.5703125" style="115" bestFit="1" customWidth="1"/>
    <col min="1029" max="1029" width="17.140625" style="115" customWidth="1"/>
    <col min="1030" max="1030" width="21.85546875" style="115" bestFit="1" customWidth="1"/>
    <col min="1031" max="1031" width="17.140625" style="115" bestFit="1" customWidth="1"/>
    <col min="1032" max="1032" width="18.140625" style="115" bestFit="1" customWidth="1"/>
    <col min="1033" max="1033" width="26.42578125" style="115" customWidth="1"/>
    <col min="1034" max="1278" width="9.140625" style="115"/>
    <col min="1279" max="1279" width="8.7109375" style="115" bestFit="1" customWidth="1"/>
    <col min="1280" max="1280" width="13.28515625" style="115" customWidth="1"/>
    <col min="1281" max="1281" width="16.140625" style="115" bestFit="1" customWidth="1"/>
    <col min="1282" max="1282" width="23.5703125" style="115" customWidth="1"/>
    <col min="1283" max="1283" width="17.28515625" style="115" customWidth="1"/>
    <col min="1284" max="1284" width="20.5703125" style="115" bestFit="1" customWidth="1"/>
    <col min="1285" max="1285" width="17.140625" style="115" customWidth="1"/>
    <col min="1286" max="1286" width="21.85546875" style="115" bestFit="1" customWidth="1"/>
    <col min="1287" max="1287" width="17.140625" style="115" bestFit="1" customWidth="1"/>
    <col min="1288" max="1288" width="18.140625" style="115" bestFit="1" customWidth="1"/>
    <col min="1289" max="1289" width="26.42578125" style="115" customWidth="1"/>
    <col min="1290" max="1534" width="9.140625" style="115"/>
    <col min="1535" max="1535" width="8.7109375" style="115" bestFit="1" customWidth="1"/>
    <col min="1536" max="1536" width="13.28515625" style="115" customWidth="1"/>
    <col min="1537" max="1537" width="16.140625" style="115" bestFit="1" customWidth="1"/>
    <col min="1538" max="1538" width="23.5703125" style="115" customWidth="1"/>
    <col min="1539" max="1539" width="17.28515625" style="115" customWidth="1"/>
    <col min="1540" max="1540" width="20.5703125" style="115" bestFit="1" customWidth="1"/>
    <col min="1541" max="1541" width="17.140625" style="115" customWidth="1"/>
    <col min="1542" max="1542" width="21.85546875" style="115" bestFit="1" customWidth="1"/>
    <col min="1543" max="1543" width="17.140625" style="115" bestFit="1" customWidth="1"/>
    <col min="1544" max="1544" width="18.140625" style="115" bestFit="1" customWidth="1"/>
    <col min="1545" max="1545" width="26.42578125" style="115" customWidth="1"/>
    <col min="1546" max="1790" width="9.140625" style="115"/>
    <col min="1791" max="1791" width="8.7109375" style="115" bestFit="1" customWidth="1"/>
    <col min="1792" max="1792" width="13.28515625" style="115" customWidth="1"/>
    <col min="1793" max="1793" width="16.140625" style="115" bestFit="1" customWidth="1"/>
    <col min="1794" max="1794" width="23.5703125" style="115" customWidth="1"/>
    <col min="1795" max="1795" width="17.28515625" style="115" customWidth="1"/>
    <col min="1796" max="1796" width="20.5703125" style="115" bestFit="1" customWidth="1"/>
    <col min="1797" max="1797" width="17.140625" style="115" customWidth="1"/>
    <col min="1798" max="1798" width="21.85546875" style="115" bestFit="1" customWidth="1"/>
    <col min="1799" max="1799" width="17.140625" style="115" bestFit="1" customWidth="1"/>
    <col min="1800" max="1800" width="18.140625" style="115" bestFit="1" customWidth="1"/>
    <col min="1801" max="1801" width="26.42578125" style="115" customWidth="1"/>
    <col min="1802" max="2046" width="9.140625" style="115"/>
    <col min="2047" max="2047" width="8.7109375" style="115" bestFit="1" customWidth="1"/>
    <col min="2048" max="2048" width="13.28515625" style="115" customWidth="1"/>
    <col min="2049" max="2049" width="16.140625" style="115" bestFit="1" customWidth="1"/>
    <col min="2050" max="2050" width="23.5703125" style="115" customWidth="1"/>
    <col min="2051" max="2051" width="17.28515625" style="115" customWidth="1"/>
    <col min="2052" max="2052" width="20.5703125" style="115" bestFit="1" customWidth="1"/>
    <col min="2053" max="2053" width="17.140625" style="115" customWidth="1"/>
    <col min="2054" max="2054" width="21.85546875" style="115" bestFit="1" customWidth="1"/>
    <col min="2055" max="2055" width="17.140625" style="115" bestFit="1" customWidth="1"/>
    <col min="2056" max="2056" width="18.140625" style="115" bestFit="1" customWidth="1"/>
    <col min="2057" max="2057" width="26.42578125" style="115" customWidth="1"/>
    <col min="2058" max="2302" width="9.140625" style="115"/>
    <col min="2303" max="2303" width="8.7109375" style="115" bestFit="1" customWidth="1"/>
    <col min="2304" max="2304" width="13.28515625" style="115" customWidth="1"/>
    <col min="2305" max="2305" width="16.140625" style="115" bestFit="1" customWidth="1"/>
    <col min="2306" max="2306" width="23.5703125" style="115" customWidth="1"/>
    <col min="2307" max="2307" width="17.28515625" style="115" customWidth="1"/>
    <col min="2308" max="2308" width="20.5703125" style="115" bestFit="1" customWidth="1"/>
    <col min="2309" max="2309" width="17.140625" style="115" customWidth="1"/>
    <col min="2310" max="2310" width="21.85546875" style="115" bestFit="1" customWidth="1"/>
    <col min="2311" max="2311" width="17.140625" style="115" bestFit="1" customWidth="1"/>
    <col min="2312" max="2312" width="18.140625" style="115" bestFit="1" customWidth="1"/>
    <col min="2313" max="2313" width="26.42578125" style="115" customWidth="1"/>
    <col min="2314" max="2558" width="9.140625" style="115"/>
    <col min="2559" max="2559" width="8.7109375" style="115" bestFit="1" customWidth="1"/>
    <col min="2560" max="2560" width="13.28515625" style="115" customWidth="1"/>
    <col min="2561" max="2561" width="16.140625" style="115" bestFit="1" customWidth="1"/>
    <col min="2562" max="2562" width="23.5703125" style="115" customWidth="1"/>
    <col min="2563" max="2563" width="17.28515625" style="115" customWidth="1"/>
    <col min="2564" max="2564" width="20.5703125" style="115" bestFit="1" customWidth="1"/>
    <col min="2565" max="2565" width="17.140625" style="115" customWidth="1"/>
    <col min="2566" max="2566" width="21.85546875" style="115" bestFit="1" customWidth="1"/>
    <col min="2567" max="2567" width="17.140625" style="115" bestFit="1" customWidth="1"/>
    <col min="2568" max="2568" width="18.140625" style="115" bestFit="1" customWidth="1"/>
    <col min="2569" max="2569" width="26.42578125" style="115" customWidth="1"/>
    <col min="2570" max="2814" width="9.140625" style="115"/>
    <col min="2815" max="2815" width="8.7109375" style="115" bestFit="1" customWidth="1"/>
    <col min="2816" max="2816" width="13.28515625" style="115" customWidth="1"/>
    <col min="2817" max="2817" width="16.140625" style="115" bestFit="1" customWidth="1"/>
    <col min="2818" max="2818" width="23.5703125" style="115" customWidth="1"/>
    <col min="2819" max="2819" width="17.28515625" style="115" customWidth="1"/>
    <col min="2820" max="2820" width="20.5703125" style="115" bestFit="1" customWidth="1"/>
    <col min="2821" max="2821" width="17.140625" style="115" customWidth="1"/>
    <col min="2822" max="2822" width="21.85546875" style="115" bestFit="1" customWidth="1"/>
    <col min="2823" max="2823" width="17.140625" style="115" bestFit="1" customWidth="1"/>
    <col min="2824" max="2824" width="18.140625" style="115" bestFit="1" customWidth="1"/>
    <col min="2825" max="2825" width="26.42578125" style="115" customWidth="1"/>
    <col min="2826" max="3070" width="9.140625" style="115"/>
    <col min="3071" max="3071" width="8.7109375" style="115" bestFit="1" customWidth="1"/>
    <col min="3072" max="3072" width="13.28515625" style="115" customWidth="1"/>
    <col min="3073" max="3073" width="16.140625" style="115" bestFit="1" customWidth="1"/>
    <col min="3074" max="3074" width="23.5703125" style="115" customWidth="1"/>
    <col min="3075" max="3075" width="17.28515625" style="115" customWidth="1"/>
    <col min="3076" max="3076" width="20.5703125" style="115" bestFit="1" customWidth="1"/>
    <col min="3077" max="3077" width="17.140625" style="115" customWidth="1"/>
    <col min="3078" max="3078" width="21.85546875" style="115" bestFit="1" customWidth="1"/>
    <col min="3079" max="3079" width="17.140625" style="115" bestFit="1" customWidth="1"/>
    <col min="3080" max="3080" width="18.140625" style="115" bestFit="1" customWidth="1"/>
    <col min="3081" max="3081" width="26.42578125" style="115" customWidth="1"/>
    <col min="3082" max="3326" width="9.140625" style="115"/>
    <col min="3327" max="3327" width="8.7109375" style="115" bestFit="1" customWidth="1"/>
    <col min="3328" max="3328" width="13.28515625" style="115" customWidth="1"/>
    <col min="3329" max="3329" width="16.140625" style="115" bestFit="1" customWidth="1"/>
    <col min="3330" max="3330" width="23.5703125" style="115" customWidth="1"/>
    <col min="3331" max="3331" width="17.28515625" style="115" customWidth="1"/>
    <col min="3332" max="3332" width="20.5703125" style="115" bestFit="1" customWidth="1"/>
    <col min="3333" max="3333" width="17.140625" style="115" customWidth="1"/>
    <col min="3334" max="3334" width="21.85546875" style="115" bestFit="1" customWidth="1"/>
    <col min="3335" max="3335" width="17.140625" style="115" bestFit="1" customWidth="1"/>
    <col min="3336" max="3336" width="18.140625" style="115" bestFit="1" customWidth="1"/>
    <col min="3337" max="3337" width="26.42578125" style="115" customWidth="1"/>
    <col min="3338" max="3582" width="9.140625" style="115"/>
    <col min="3583" max="3583" width="8.7109375" style="115" bestFit="1" customWidth="1"/>
    <col min="3584" max="3584" width="13.28515625" style="115" customWidth="1"/>
    <col min="3585" max="3585" width="16.140625" style="115" bestFit="1" customWidth="1"/>
    <col min="3586" max="3586" width="23.5703125" style="115" customWidth="1"/>
    <col min="3587" max="3587" width="17.28515625" style="115" customWidth="1"/>
    <col min="3588" max="3588" width="20.5703125" style="115" bestFit="1" customWidth="1"/>
    <col min="3589" max="3589" width="17.140625" style="115" customWidth="1"/>
    <col min="3590" max="3590" width="21.85546875" style="115" bestFit="1" customWidth="1"/>
    <col min="3591" max="3591" width="17.140625" style="115" bestFit="1" customWidth="1"/>
    <col min="3592" max="3592" width="18.140625" style="115" bestFit="1" customWidth="1"/>
    <col min="3593" max="3593" width="26.42578125" style="115" customWidth="1"/>
    <col min="3594" max="3838" width="9.140625" style="115"/>
    <col min="3839" max="3839" width="8.7109375" style="115" bestFit="1" customWidth="1"/>
    <col min="3840" max="3840" width="13.28515625" style="115" customWidth="1"/>
    <col min="3841" max="3841" width="16.140625" style="115" bestFit="1" customWidth="1"/>
    <col min="3842" max="3842" width="23.5703125" style="115" customWidth="1"/>
    <col min="3843" max="3843" width="17.28515625" style="115" customWidth="1"/>
    <col min="3844" max="3844" width="20.5703125" style="115" bestFit="1" customWidth="1"/>
    <col min="3845" max="3845" width="17.140625" style="115" customWidth="1"/>
    <col min="3846" max="3846" width="21.85546875" style="115" bestFit="1" customWidth="1"/>
    <col min="3847" max="3847" width="17.140625" style="115" bestFit="1" customWidth="1"/>
    <col min="3848" max="3848" width="18.140625" style="115" bestFit="1" customWidth="1"/>
    <col min="3849" max="3849" width="26.42578125" style="115" customWidth="1"/>
    <col min="3850" max="4094" width="9.140625" style="115"/>
    <col min="4095" max="4095" width="8.7109375" style="115" bestFit="1" customWidth="1"/>
    <col min="4096" max="4096" width="13.28515625" style="115" customWidth="1"/>
    <col min="4097" max="4097" width="16.140625" style="115" bestFit="1" customWidth="1"/>
    <col min="4098" max="4098" width="23.5703125" style="115" customWidth="1"/>
    <col min="4099" max="4099" width="17.28515625" style="115" customWidth="1"/>
    <col min="4100" max="4100" width="20.5703125" style="115" bestFit="1" customWidth="1"/>
    <col min="4101" max="4101" width="17.140625" style="115" customWidth="1"/>
    <col min="4102" max="4102" width="21.85546875" style="115" bestFit="1" customWidth="1"/>
    <col min="4103" max="4103" width="17.140625" style="115" bestFit="1" customWidth="1"/>
    <col min="4104" max="4104" width="18.140625" style="115" bestFit="1" customWidth="1"/>
    <col min="4105" max="4105" width="26.42578125" style="115" customWidth="1"/>
    <col min="4106" max="4350" width="9.140625" style="115"/>
    <col min="4351" max="4351" width="8.7109375" style="115" bestFit="1" customWidth="1"/>
    <col min="4352" max="4352" width="13.28515625" style="115" customWidth="1"/>
    <col min="4353" max="4353" width="16.140625" style="115" bestFit="1" customWidth="1"/>
    <col min="4354" max="4354" width="23.5703125" style="115" customWidth="1"/>
    <col min="4355" max="4355" width="17.28515625" style="115" customWidth="1"/>
    <col min="4356" max="4356" width="20.5703125" style="115" bestFit="1" customWidth="1"/>
    <col min="4357" max="4357" width="17.140625" style="115" customWidth="1"/>
    <col min="4358" max="4358" width="21.85546875" style="115" bestFit="1" customWidth="1"/>
    <col min="4359" max="4359" width="17.140625" style="115" bestFit="1" customWidth="1"/>
    <col min="4360" max="4360" width="18.140625" style="115" bestFit="1" customWidth="1"/>
    <col min="4361" max="4361" width="26.42578125" style="115" customWidth="1"/>
    <col min="4362" max="4606" width="9.140625" style="115"/>
    <col min="4607" max="4607" width="8.7109375" style="115" bestFit="1" customWidth="1"/>
    <col min="4608" max="4608" width="13.28515625" style="115" customWidth="1"/>
    <col min="4609" max="4609" width="16.140625" style="115" bestFit="1" customWidth="1"/>
    <col min="4610" max="4610" width="23.5703125" style="115" customWidth="1"/>
    <col min="4611" max="4611" width="17.28515625" style="115" customWidth="1"/>
    <col min="4612" max="4612" width="20.5703125" style="115" bestFit="1" customWidth="1"/>
    <col min="4613" max="4613" width="17.140625" style="115" customWidth="1"/>
    <col min="4614" max="4614" width="21.85546875" style="115" bestFit="1" customWidth="1"/>
    <col min="4615" max="4615" width="17.140625" style="115" bestFit="1" customWidth="1"/>
    <col min="4616" max="4616" width="18.140625" style="115" bestFit="1" customWidth="1"/>
    <col min="4617" max="4617" width="26.42578125" style="115" customWidth="1"/>
    <col min="4618" max="4862" width="9.140625" style="115"/>
    <col min="4863" max="4863" width="8.7109375" style="115" bestFit="1" customWidth="1"/>
    <col min="4864" max="4864" width="13.28515625" style="115" customWidth="1"/>
    <col min="4865" max="4865" width="16.140625" style="115" bestFit="1" customWidth="1"/>
    <col min="4866" max="4866" width="23.5703125" style="115" customWidth="1"/>
    <col min="4867" max="4867" width="17.28515625" style="115" customWidth="1"/>
    <col min="4868" max="4868" width="20.5703125" style="115" bestFit="1" customWidth="1"/>
    <col min="4869" max="4869" width="17.140625" style="115" customWidth="1"/>
    <col min="4870" max="4870" width="21.85546875" style="115" bestFit="1" customWidth="1"/>
    <col min="4871" max="4871" width="17.140625" style="115" bestFit="1" customWidth="1"/>
    <col min="4872" max="4872" width="18.140625" style="115" bestFit="1" customWidth="1"/>
    <col min="4873" max="4873" width="26.42578125" style="115" customWidth="1"/>
    <col min="4874" max="5118" width="9.140625" style="115"/>
    <col min="5119" max="5119" width="8.7109375" style="115" bestFit="1" customWidth="1"/>
    <col min="5120" max="5120" width="13.28515625" style="115" customWidth="1"/>
    <col min="5121" max="5121" width="16.140625" style="115" bestFit="1" customWidth="1"/>
    <col min="5122" max="5122" width="23.5703125" style="115" customWidth="1"/>
    <col min="5123" max="5123" width="17.28515625" style="115" customWidth="1"/>
    <col min="5124" max="5124" width="20.5703125" style="115" bestFit="1" customWidth="1"/>
    <col min="5125" max="5125" width="17.140625" style="115" customWidth="1"/>
    <col min="5126" max="5126" width="21.85546875" style="115" bestFit="1" customWidth="1"/>
    <col min="5127" max="5127" width="17.140625" style="115" bestFit="1" customWidth="1"/>
    <col min="5128" max="5128" width="18.140625" style="115" bestFit="1" customWidth="1"/>
    <col min="5129" max="5129" width="26.42578125" style="115" customWidth="1"/>
    <col min="5130" max="5374" width="9.140625" style="115"/>
    <col min="5375" max="5375" width="8.7109375" style="115" bestFit="1" customWidth="1"/>
    <col min="5376" max="5376" width="13.28515625" style="115" customWidth="1"/>
    <col min="5377" max="5377" width="16.140625" style="115" bestFit="1" customWidth="1"/>
    <col min="5378" max="5378" width="23.5703125" style="115" customWidth="1"/>
    <col min="5379" max="5379" width="17.28515625" style="115" customWidth="1"/>
    <col min="5380" max="5380" width="20.5703125" style="115" bestFit="1" customWidth="1"/>
    <col min="5381" max="5381" width="17.140625" style="115" customWidth="1"/>
    <col min="5382" max="5382" width="21.85546875" style="115" bestFit="1" customWidth="1"/>
    <col min="5383" max="5383" width="17.140625" style="115" bestFit="1" customWidth="1"/>
    <col min="5384" max="5384" width="18.140625" style="115" bestFit="1" customWidth="1"/>
    <col min="5385" max="5385" width="26.42578125" style="115" customWidth="1"/>
    <col min="5386" max="5630" width="9.140625" style="115"/>
    <col min="5631" max="5631" width="8.7109375" style="115" bestFit="1" customWidth="1"/>
    <col min="5632" max="5632" width="13.28515625" style="115" customWidth="1"/>
    <col min="5633" max="5633" width="16.140625" style="115" bestFit="1" customWidth="1"/>
    <col min="5634" max="5634" width="23.5703125" style="115" customWidth="1"/>
    <col min="5635" max="5635" width="17.28515625" style="115" customWidth="1"/>
    <col min="5636" max="5636" width="20.5703125" style="115" bestFit="1" customWidth="1"/>
    <col min="5637" max="5637" width="17.140625" style="115" customWidth="1"/>
    <col min="5638" max="5638" width="21.85546875" style="115" bestFit="1" customWidth="1"/>
    <col min="5639" max="5639" width="17.140625" style="115" bestFit="1" customWidth="1"/>
    <col min="5640" max="5640" width="18.140625" style="115" bestFit="1" customWidth="1"/>
    <col min="5641" max="5641" width="26.42578125" style="115" customWidth="1"/>
    <col min="5642" max="5886" width="9.140625" style="115"/>
    <col min="5887" max="5887" width="8.7109375" style="115" bestFit="1" customWidth="1"/>
    <col min="5888" max="5888" width="13.28515625" style="115" customWidth="1"/>
    <col min="5889" max="5889" width="16.140625" style="115" bestFit="1" customWidth="1"/>
    <col min="5890" max="5890" width="23.5703125" style="115" customWidth="1"/>
    <col min="5891" max="5891" width="17.28515625" style="115" customWidth="1"/>
    <col min="5892" max="5892" width="20.5703125" style="115" bestFit="1" customWidth="1"/>
    <col min="5893" max="5893" width="17.140625" style="115" customWidth="1"/>
    <col min="5894" max="5894" width="21.85546875" style="115" bestFit="1" customWidth="1"/>
    <col min="5895" max="5895" width="17.140625" style="115" bestFit="1" customWidth="1"/>
    <col min="5896" max="5896" width="18.140625" style="115" bestFit="1" customWidth="1"/>
    <col min="5897" max="5897" width="26.42578125" style="115" customWidth="1"/>
    <col min="5898" max="6142" width="9.140625" style="115"/>
    <col min="6143" max="6143" width="8.7109375" style="115" bestFit="1" customWidth="1"/>
    <col min="6144" max="6144" width="13.28515625" style="115" customWidth="1"/>
    <col min="6145" max="6145" width="16.140625" style="115" bestFit="1" customWidth="1"/>
    <col min="6146" max="6146" width="23.5703125" style="115" customWidth="1"/>
    <col min="6147" max="6147" width="17.28515625" style="115" customWidth="1"/>
    <col min="6148" max="6148" width="20.5703125" style="115" bestFit="1" customWidth="1"/>
    <col min="6149" max="6149" width="17.140625" style="115" customWidth="1"/>
    <col min="6150" max="6150" width="21.85546875" style="115" bestFit="1" customWidth="1"/>
    <col min="6151" max="6151" width="17.140625" style="115" bestFit="1" customWidth="1"/>
    <col min="6152" max="6152" width="18.140625" style="115" bestFit="1" customWidth="1"/>
    <col min="6153" max="6153" width="26.42578125" style="115" customWidth="1"/>
    <col min="6154" max="6398" width="9.140625" style="115"/>
    <col min="6399" max="6399" width="8.7109375" style="115" bestFit="1" customWidth="1"/>
    <col min="6400" max="6400" width="13.28515625" style="115" customWidth="1"/>
    <col min="6401" max="6401" width="16.140625" style="115" bestFit="1" customWidth="1"/>
    <col min="6402" max="6402" width="23.5703125" style="115" customWidth="1"/>
    <col min="6403" max="6403" width="17.28515625" style="115" customWidth="1"/>
    <col min="6404" max="6404" width="20.5703125" style="115" bestFit="1" customWidth="1"/>
    <col min="6405" max="6405" width="17.140625" style="115" customWidth="1"/>
    <col min="6406" max="6406" width="21.85546875" style="115" bestFit="1" customWidth="1"/>
    <col min="6407" max="6407" width="17.140625" style="115" bestFit="1" customWidth="1"/>
    <col min="6408" max="6408" width="18.140625" style="115" bestFit="1" customWidth="1"/>
    <col min="6409" max="6409" width="26.42578125" style="115" customWidth="1"/>
    <col min="6410" max="6654" width="9.140625" style="115"/>
    <col min="6655" max="6655" width="8.7109375" style="115" bestFit="1" customWidth="1"/>
    <col min="6656" max="6656" width="13.28515625" style="115" customWidth="1"/>
    <col min="6657" max="6657" width="16.140625" style="115" bestFit="1" customWidth="1"/>
    <col min="6658" max="6658" width="23.5703125" style="115" customWidth="1"/>
    <col min="6659" max="6659" width="17.28515625" style="115" customWidth="1"/>
    <col min="6660" max="6660" width="20.5703125" style="115" bestFit="1" customWidth="1"/>
    <col min="6661" max="6661" width="17.140625" style="115" customWidth="1"/>
    <col min="6662" max="6662" width="21.85546875" style="115" bestFit="1" customWidth="1"/>
    <col min="6663" max="6663" width="17.140625" style="115" bestFit="1" customWidth="1"/>
    <col min="6664" max="6664" width="18.140625" style="115" bestFit="1" customWidth="1"/>
    <col min="6665" max="6665" width="26.42578125" style="115" customWidth="1"/>
    <col min="6666" max="6910" width="9.140625" style="115"/>
    <col min="6911" max="6911" width="8.7109375" style="115" bestFit="1" customWidth="1"/>
    <col min="6912" max="6912" width="13.28515625" style="115" customWidth="1"/>
    <col min="6913" max="6913" width="16.140625" style="115" bestFit="1" customWidth="1"/>
    <col min="6914" max="6914" width="23.5703125" style="115" customWidth="1"/>
    <col min="6915" max="6915" width="17.28515625" style="115" customWidth="1"/>
    <col min="6916" max="6916" width="20.5703125" style="115" bestFit="1" customWidth="1"/>
    <col min="6917" max="6917" width="17.140625" style="115" customWidth="1"/>
    <col min="6918" max="6918" width="21.85546875" style="115" bestFit="1" customWidth="1"/>
    <col min="6919" max="6919" width="17.140625" style="115" bestFit="1" customWidth="1"/>
    <col min="6920" max="6920" width="18.140625" style="115" bestFit="1" customWidth="1"/>
    <col min="6921" max="6921" width="26.42578125" style="115" customWidth="1"/>
    <col min="6922" max="7166" width="9.140625" style="115"/>
    <col min="7167" max="7167" width="8.7109375" style="115" bestFit="1" customWidth="1"/>
    <col min="7168" max="7168" width="13.28515625" style="115" customWidth="1"/>
    <col min="7169" max="7169" width="16.140625" style="115" bestFit="1" customWidth="1"/>
    <col min="7170" max="7170" width="23.5703125" style="115" customWidth="1"/>
    <col min="7171" max="7171" width="17.28515625" style="115" customWidth="1"/>
    <col min="7172" max="7172" width="20.5703125" style="115" bestFit="1" customWidth="1"/>
    <col min="7173" max="7173" width="17.140625" style="115" customWidth="1"/>
    <col min="7174" max="7174" width="21.85546875" style="115" bestFit="1" customWidth="1"/>
    <col min="7175" max="7175" width="17.140625" style="115" bestFit="1" customWidth="1"/>
    <col min="7176" max="7176" width="18.140625" style="115" bestFit="1" customWidth="1"/>
    <col min="7177" max="7177" width="26.42578125" style="115" customWidth="1"/>
    <col min="7178" max="7422" width="9.140625" style="115"/>
    <col min="7423" max="7423" width="8.7109375" style="115" bestFit="1" customWidth="1"/>
    <col min="7424" max="7424" width="13.28515625" style="115" customWidth="1"/>
    <col min="7425" max="7425" width="16.140625" style="115" bestFit="1" customWidth="1"/>
    <col min="7426" max="7426" width="23.5703125" style="115" customWidth="1"/>
    <col min="7427" max="7427" width="17.28515625" style="115" customWidth="1"/>
    <col min="7428" max="7428" width="20.5703125" style="115" bestFit="1" customWidth="1"/>
    <col min="7429" max="7429" width="17.140625" style="115" customWidth="1"/>
    <col min="7430" max="7430" width="21.85546875" style="115" bestFit="1" customWidth="1"/>
    <col min="7431" max="7431" width="17.140625" style="115" bestFit="1" customWidth="1"/>
    <col min="7432" max="7432" width="18.140625" style="115" bestFit="1" customWidth="1"/>
    <col min="7433" max="7433" width="26.42578125" style="115" customWidth="1"/>
    <col min="7434" max="7678" width="9.140625" style="115"/>
    <col min="7679" max="7679" width="8.7109375" style="115" bestFit="1" customWidth="1"/>
    <col min="7680" max="7680" width="13.28515625" style="115" customWidth="1"/>
    <col min="7681" max="7681" width="16.140625" style="115" bestFit="1" customWidth="1"/>
    <col min="7682" max="7682" width="23.5703125" style="115" customWidth="1"/>
    <col min="7683" max="7683" width="17.28515625" style="115" customWidth="1"/>
    <col min="7684" max="7684" width="20.5703125" style="115" bestFit="1" customWidth="1"/>
    <col min="7685" max="7685" width="17.140625" style="115" customWidth="1"/>
    <col min="7686" max="7686" width="21.85546875" style="115" bestFit="1" customWidth="1"/>
    <col min="7687" max="7687" width="17.140625" style="115" bestFit="1" customWidth="1"/>
    <col min="7688" max="7688" width="18.140625" style="115" bestFit="1" customWidth="1"/>
    <col min="7689" max="7689" width="26.42578125" style="115" customWidth="1"/>
    <col min="7690" max="7934" width="9.140625" style="115"/>
    <col min="7935" max="7935" width="8.7109375" style="115" bestFit="1" customWidth="1"/>
    <col min="7936" max="7936" width="13.28515625" style="115" customWidth="1"/>
    <col min="7937" max="7937" width="16.140625" style="115" bestFit="1" customWidth="1"/>
    <col min="7938" max="7938" width="23.5703125" style="115" customWidth="1"/>
    <col min="7939" max="7939" width="17.28515625" style="115" customWidth="1"/>
    <col min="7940" max="7940" width="20.5703125" style="115" bestFit="1" customWidth="1"/>
    <col min="7941" max="7941" width="17.140625" style="115" customWidth="1"/>
    <col min="7942" max="7942" width="21.85546875" style="115" bestFit="1" customWidth="1"/>
    <col min="7943" max="7943" width="17.140625" style="115" bestFit="1" customWidth="1"/>
    <col min="7944" max="7944" width="18.140625" style="115" bestFit="1" customWidth="1"/>
    <col min="7945" max="7945" width="26.42578125" style="115" customWidth="1"/>
    <col min="7946" max="8190" width="9.140625" style="115"/>
    <col min="8191" max="8191" width="8.7109375" style="115" bestFit="1" customWidth="1"/>
    <col min="8192" max="8192" width="13.28515625" style="115" customWidth="1"/>
    <col min="8193" max="8193" width="16.140625" style="115" bestFit="1" customWidth="1"/>
    <col min="8194" max="8194" width="23.5703125" style="115" customWidth="1"/>
    <col min="8195" max="8195" width="17.28515625" style="115" customWidth="1"/>
    <col min="8196" max="8196" width="20.5703125" style="115" bestFit="1" customWidth="1"/>
    <col min="8197" max="8197" width="17.140625" style="115" customWidth="1"/>
    <col min="8198" max="8198" width="21.85546875" style="115" bestFit="1" customWidth="1"/>
    <col min="8199" max="8199" width="17.140625" style="115" bestFit="1" customWidth="1"/>
    <col min="8200" max="8200" width="18.140625" style="115" bestFit="1" customWidth="1"/>
    <col min="8201" max="8201" width="26.42578125" style="115" customWidth="1"/>
    <col min="8202" max="8446" width="9.140625" style="115"/>
    <col min="8447" max="8447" width="8.7109375" style="115" bestFit="1" customWidth="1"/>
    <col min="8448" max="8448" width="13.28515625" style="115" customWidth="1"/>
    <col min="8449" max="8449" width="16.140625" style="115" bestFit="1" customWidth="1"/>
    <col min="8450" max="8450" width="23.5703125" style="115" customWidth="1"/>
    <col min="8451" max="8451" width="17.28515625" style="115" customWidth="1"/>
    <col min="8452" max="8452" width="20.5703125" style="115" bestFit="1" customWidth="1"/>
    <col min="8453" max="8453" width="17.140625" style="115" customWidth="1"/>
    <col min="8454" max="8454" width="21.85546875" style="115" bestFit="1" customWidth="1"/>
    <col min="8455" max="8455" width="17.140625" style="115" bestFit="1" customWidth="1"/>
    <col min="8456" max="8456" width="18.140625" style="115" bestFit="1" customWidth="1"/>
    <col min="8457" max="8457" width="26.42578125" style="115" customWidth="1"/>
    <col min="8458" max="8702" width="9.140625" style="115"/>
    <col min="8703" max="8703" width="8.7109375" style="115" bestFit="1" customWidth="1"/>
    <col min="8704" max="8704" width="13.28515625" style="115" customWidth="1"/>
    <col min="8705" max="8705" width="16.140625" style="115" bestFit="1" customWidth="1"/>
    <col min="8706" max="8706" width="23.5703125" style="115" customWidth="1"/>
    <col min="8707" max="8707" width="17.28515625" style="115" customWidth="1"/>
    <col min="8708" max="8708" width="20.5703125" style="115" bestFit="1" customWidth="1"/>
    <col min="8709" max="8709" width="17.140625" style="115" customWidth="1"/>
    <col min="8710" max="8710" width="21.85546875" style="115" bestFit="1" customWidth="1"/>
    <col min="8711" max="8711" width="17.140625" style="115" bestFit="1" customWidth="1"/>
    <col min="8712" max="8712" width="18.140625" style="115" bestFit="1" customWidth="1"/>
    <col min="8713" max="8713" width="26.42578125" style="115" customWidth="1"/>
    <col min="8714" max="8958" width="9.140625" style="115"/>
    <col min="8959" max="8959" width="8.7109375" style="115" bestFit="1" customWidth="1"/>
    <col min="8960" max="8960" width="13.28515625" style="115" customWidth="1"/>
    <col min="8961" max="8961" width="16.140625" style="115" bestFit="1" customWidth="1"/>
    <col min="8962" max="8962" width="23.5703125" style="115" customWidth="1"/>
    <col min="8963" max="8963" width="17.28515625" style="115" customWidth="1"/>
    <col min="8964" max="8964" width="20.5703125" style="115" bestFit="1" customWidth="1"/>
    <col min="8965" max="8965" width="17.140625" style="115" customWidth="1"/>
    <col min="8966" max="8966" width="21.85546875" style="115" bestFit="1" customWidth="1"/>
    <col min="8967" max="8967" width="17.140625" style="115" bestFit="1" customWidth="1"/>
    <col min="8968" max="8968" width="18.140625" style="115" bestFit="1" customWidth="1"/>
    <col min="8969" max="8969" width="26.42578125" style="115" customWidth="1"/>
    <col min="8970" max="9214" width="9.140625" style="115"/>
    <col min="9215" max="9215" width="8.7109375" style="115" bestFit="1" customWidth="1"/>
    <col min="9216" max="9216" width="13.28515625" style="115" customWidth="1"/>
    <col min="9217" max="9217" width="16.140625" style="115" bestFit="1" customWidth="1"/>
    <col min="9218" max="9218" width="23.5703125" style="115" customWidth="1"/>
    <col min="9219" max="9219" width="17.28515625" style="115" customWidth="1"/>
    <col min="9220" max="9220" width="20.5703125" style="115" bestFit="1" customWidth="1"/>
    <col min="9221" max="9221" width="17.140625" style="115" customWidth="1"/>
    <col min="9222" max="9222" width="21.85546875" style="115" bestFit="1" customWidth="1"/>
    <col min="9223" max="9223" width="17.140625" style="115" bestFit="1" customWidth="1"/>
    <col min="9224" max="9224" width="18.140625" style="115" bestFit="1" customWidth="1"/>
    <col min="9225" max="9225" width="26.42578125" style="115" customWidth="1"/>
    <col min="9226" max="9470" width="9.140625" style="115"/>
    <col min="9471" max="9471" width="8.7109375" style="115" bestFit="1" customWidth="1"/>
    <col min="9472" max="9472" width="13.28515625" style="115" customWidth="1"/>
    <col min="9473" max="9473" width="16.140625" style="115" bestFit="1" customWidth="1"/>
    <col min="9474" max="9474" width="23.5703125" style="115" customWidth="1"/>
    <col min="9475" max="9475" width="17.28515625" style="115" customWidth="1"/>
    <col min="9476" max="9476" width="20.5703125" style="115" bestFit="1" customWidth="1"/>
    <col min="9477" max="9477" width="17.140625" style="115" customWidth="1"/>
    <col min="9478" max="9478" width="21.85546875" style="115" bestFit="1" customWidth="1"/>
    <col min="9479" max="9479" width="17.140625" style="115" bestFit="1" customWidth="1"/>
    <col min="9480" max="9480" width="18.140625" style="115" bestFit="1" customWidth="1"/>
    <col min="9481" max="9481" width="26.42578125" style="115" customWidth="1"/>
    <col min="9482" max="9726" width="9.140625" style="115"/>
    <col min="9727" max="9727" width="8.7109375" style="115" bestFit="1" customWidth="1"/>
    <col min="9728" max="9728" width="13.28515625" style="115" customWidth="1"/>
    <col min="9729" max="9729" width="16.140625" style="115" bestFit="1" customWidth="1"/>
    <col min="9730" max="9730" width="23.5703125" style="115" customWidth="1"/>
    <col min="9731" max="9731" width="17.28515625" style="115" customWidth="1"/>
    <col min="9732" max="9732" width="20.5703125" style="115" bestFit="1" customWidth="1"/>
    <col min="9733" max="9733" width="17.140625" style="115" customWidth="1"/>
    <col min="9734" max="9734" width="21.85546875" style="115" bestFit="1" customWidth="1"/>
    <col min="9735" max="9735" width="17.140625" style="115" bestFit="1" customWidth="1"/>
    <col min="9736" max="9736" width="18.140625" style="115" bestFit="1" customWidth="1"/>
    <col min="9737" max="9737" width="26.42578125" style="115" customWidth="1"/>
    <col min="9738" max="9982" width="9.140625" style="115"/>
    <col min="9983" max="9983" width="8.7109375" style="115" bestFit="1" customWidth="1"/>
    <col min="9984" max="9984" width="13.28515625" style="115" customWidth="1"/>
    <col min="9985" max="9985" width="16.140625" style="115" bestFit="1" customWidth="1"/>
    <col min="9986" max="9986" width="23.5703125" style="115" customWidth="1"/>
    <col min="9987" max="9987" width="17.28515625" style="115" customWidth="1"/>
    <col min="9988" max="9988" width="20.5703125" style="115" bestFit="1" customWidth="1"/>
    <col min="9989" max="9989" width="17.140625" style="115" customWidth="1"/>
    <col min="9990" max="9990" width="21.85546875" style="115" bestFit="1" customWidth="1"/>
    <col min="9991" max="9991" width="17.140625" style="115" bestFit="1" customWidth="1"/>
    <col min="9992" max="9992" width="18.140625" style="115" bestFit="1" customWidth="1"/>
    <col min="9993" max="9993" width="26.42578125" style="115" customWidth="1"/>
    <col min="9994" max="10238" width="9.140625" style="115"/>
    <col min="10239" max="10239" width="8.7109375" style="115" bestFit="1" customWidth="1"/>
    <col min="10240" max="10240" width="13.28515625" style="115" customWidth="1"/>
    <col min="10241" max="10241" width="16.140625" style="115" bestFit="1" customWidth="1"/>
    <col min="10242" max="10242" width="23.5703125" style="115" customWidth="1"/>
    <col min="10243" max="10243" width="17.28515625" style="115" customWidth="1"/>
    <col min="10244" max="10244" width="20.5703125" style="115" bestFit="1" customWidth="1"/>
    <col min="10245" max="10245" width="17.140625" style="115" customWidth="1"/>
    <col min="10246" max="10246" width="21.85546875" style="115" bestFit="1" customWidth="1"/>
    <col min="10247" max="10247" width="17.140625" style="115" bestFit="1" customWidth="1"/>
    <col min="10248" max="10248" width="18.140625" style="115" bestFit="1" customWidth="1"/>
    <col min="10249" max="10249" width="26.42578125" style="115" customWidth="1"/>
    <col min="10250" max="10494" width="9.140625" style="115"/>
    <col min="10495" max="10495" width="8.7109375" style="115" bestFit="1" customWidth="1"/>
    <col min="10496" max="10496" width="13.28515625" style="115" customWidth="1"/>
    <col min="10497" max="10497" width="16.140625" style="115" bestFit="1" customWidth="1"/>
    <col min="10498" max="10498" width="23.5703125" style="115" customWidth="1"/>
    <col min="10499" max="10499" width="17.28515625" style="115" customWidth="1"/>
    <col min="10500" max="10500" width="20.5703125" style="115" bestFit="1" customWidth="1"/>
    <col min="10501" max="10501" width="17.140625" style="115" customWidth="1"/>
    <col min="10502" max="10502" width="21.85546875" style="115" bestFit="1" customWidth="1"/>
    <col min="10503" max="10503" width="17.140625" style="115" bestFit="1" customWidth="1"/>
    <col min="10504" max="10504" width="18.140625" style="115" bestFit="1" customWidth="1"/>
    <col min="10505" max="10505" width="26.42578125" style="115" customWidth="1"/>
    <col min="10506" max="10750" width="9.140625" style="115"/>
    <col min="10751" max="10751" width="8.7109375" style="115" bestFit="1" customWidth="1"/>
    <col min="10752" max="10752" width="13.28515625" style="115" customWidth="1"/>
    <col min="10753" max="10753" width="16.140625" style="115" bestFit="1" customWidth="1"/>
    <col min="10754" max="10754" width="23.5703125" style="115" customWidth="1"/>
    <col min="10755" max="10755" width="17.28515625" style="115" customWidth="1"/>
    <col min="10756" max="10756" width="20.5703125" style="115" bestFit="1" customWidth="1"/>
    <col min="10757" max="10757" width="17.140625" style="115" customWidth="1"/>
    <col min="10758" max="10758" width="21.85546875" style="115" bestFit="1" customWidth="1"/>
    <col min="10759" max="10759" width="17.140625" style="115" bestFit="1" customWidth="1"/>
    <col min="10760" max="10760" width="18.140625" style="115" bestFit="1" customWidth="1"/>
    <col min="10761" max="10761" width="26.42578125" style="115" customWidth="1"/>
    <col min="10762" max="11006" width="9.140625" style="115"/>
    <col min="11007" max="11007" width="8.7109375" style="115" bestFit="1" customWidth="1"/>
    <col min="11008" max="11008" width="13.28515625" style="115" customWidth="1"/>
    <col min="11009" max="11009" width="16.140625" style="115" bestFit="1" customWidth="1"/>
    <col min="11010" max="11010" width="23.5703125" style="115" customWidth="1"/>
    <col min="11011" max="11011" width="17.28515625" style="115" customWidth="1"/>
    <col min="11012" max="11012" width="20.5703125" style="115" bestFit="1" customWidth="1"/>
    <col min="11013" max="11013" width="17.140625" style="115" customWidth="1"/>
    <col min="11014" max="11014" width="21.85546875" style="115" bestFit="1" customWidth="1"/>
    <col min="11015" max="11015" width="17.140625" style="115" bestFit="1" customWidth="1"/>
    <col min="11016" max="11016" width="18.140625" style="115" bestFit="1" customWidth="1"/>
    <col min="11017" max="11017" width="26.42578125" style="115" customWidth="1"/>
    <col min="11018" max="11262" width="9.140625" style="115"/>
    <col min="11263" max="11263" width="8.7109375" style="115" bestFit="1" customWidth="1"/>
    <col min="11264" max="11264" width="13.28515625" style="115" customWidth="1"/>
    <col min="11265" max="11265" width="16.140625" style="115" bestFit="1" customWidth="1"/>
    <col min="11266" max="11266" width="23.5703125" style="115" customWidth="1"/>
    <col min="11267" max="11267" width="17.28515625" style="115" customWidth="1"/>
    <col min="11268" max="11268" width="20.5703125" style="115" bestFit="1" customWidth="1"/>
    <col min="11269" max="11269" width="17.140625" style="115" customWidth="1"/>
    <col min="11270" max="11270" width="21.85546875" style="115" bestFit="1" customWidth="1"/>
    <col min="11271" max="11271" width="17.140625" style="115" bestFit="1" customWidth="1"/>
    <col min="11272" max="11272" width="18.140625" style="115" bestFit="1" customWidth="1"/>
    <col min="11273" max="11273" width="26.42578125" style="115" customWidth="1"/>
    <col min="11274" max="11518" width="9.140625" style="115"/>
    <col min="11519" max="11519" width="8.7109375" style="115" bestFit="1" customWidth="1"/>
    <col min="11520" max="11520" width="13.28515625" style="115" customWidth="1"/>
    <col min="11521" max="11521" width="16.140625" style="115" bestFit="1" customWidth="1"/>
    <col min="11522" max="11522" width="23.5703125" style="115" customWidth="1"/>
    <col min="11523" max="11523" width="17.28515625" style="115" customWidth="1"/>
    <col min="11524" max="11524" width="20.5703125" style="115" bestFit="1" customWidth="1"/>
    <col min="11525" max="11525" width="17.140625" style="115" customWidth="1"/>
    <col min="11526" max="11526" width="21.85546875" style="115" bestFit="1" customWidth="1"/>
    <col min="11527" max="11527" width="17.140625" style="115" bestFit="1" customWidth="1"/>
    <col min="11528" max="11528" width="18.140625" style="115" bestFit="1" customWidth="1"/>
    <col min="11529" max="11529" width="26.42578125" style="115" customWidth="1"/>
    <col min="11530" max="11774" width="9.140625" style="115"/>
    <col min="11775" max="11775" width="8.7109375" style="115" bestFit="1" customWidth="1"/>
    <col min="11776" max="11776" width="13.28515625" style="115" customWidth="1"/>
    <col min="11777" max="11777" width="16.140625" style="115" bestFit="1" customWidth="1"/>
    <col min="11778" max="11778" width="23.5703125" style="115" customWidth="1"/>
    <col min="11779" max="11779" width="17.28515625" style="115" customWidth="1"/>
    <col min="11780" max="11780" width="20.5703125" style="115" bestFit="1" customWidth="1"/>
    <col min="11781" max="11781" width="17.140625" style="115" customWidth="1"/>
    <col min="11782" max="11782" width="21.85546875" style="115" bestFit="1" customWidth="1"/>
    <col min="11783" max="11783" width="17.140625" style="115" bestFit="1" customWidth="1"/>
    <col min="11784" max="11784" width="18.140625" style="115" bestFit="1" customWidth="1"/>
    <col min="11785" max="11785" width="26.42578125" style="115" customWidth="1"/>
    <col min="11786" max="12030" width="9.140625" style="115"/>
    <col min="12031" max="12031" width="8.7109375" style="115" bestFit="1" customWidth="1"/>
    <col min="12032" max="12032" width="13.28515625" style="115" customWidth="1"/>
    <col min="12033" max="12033" width="16.140625" style="115" bestFit="1" customWidth="1"/>
    <col min="12034" max="12034" width="23.5703125" style="115" customWidth="1"/>
    <col min="12035" max="12035" width="17.28515625" style="115" customWidth="1"/>
    <col min="12036" max="12036" width="20.5703125" style="115" bestFit="1" customWidth="1"/>
    <col min="12037" max="12037" width="17.140625" style="115" customWidth="1"/>
    <col min="12038" max="12038" width="21.85546875" style="115" bestFit="1" customWidth="1"/>
    <col min="12039" max="12039" width="17.140625" style="115" bestFit="1" customWidth="1"/>
    <col min="12040" max="12040" width="18.140625" style="115" bestFit="1" customWidth="1"/>
    <col min="12041" max="12041" width="26.42578125" style="115" customWidth="1"/>
    <col min="12042" max="12286" width="9.140625" style="115"/>
    <col min="12287" max="12287" width="8.7109375" style="115" bestFit="1" customWidth="1"/>
    <col min="12288" max="12288" width="13.28515625" style="115" customWidth="1"/>
    <col min="12289" max="12289" width="16.140625" style="115" bestFit="1" customWidth="1"/>
    <col min="12290" max="12290" width="23.5703125" style="115" customWidth="1"/>
    <col min="12291" max="12291" width="17.28515625" style="115" customWidth="1"/>
    <col min="12292" max="12292" width="20.5703125" style="115" bestFit="1" customWidth="1"/>
    <col min="12293" max="12293" width="17.140625" style="115" customWidth="1"/>
    <col min="12294" max="12294" width="21.85546875" style="115" bestFit="1" customWidth="1"/>
    <col min="12295" max="12295" width="17.140625" style="115" bestFit="1" customWidth="1"/>
    <col min="12296" max="12296" width="18.140625" style="115" bestFit="1" customWidth="1"/>
    <col min="12297" max="12297" width="26.42578125" style="115" customWidth="1"/>
    <col min="12298" max="12542" width="9.140625" style="115"/>
    <col min="12543" max="12543" width="8.7109375" style="115" bestFit="1" customWidth="1"/>
    <col min="12544" max="12544" width="13.28515625" style="115" customWidth="1"/>
    <col min="12545" max="12545" width="16.140625" style="115" bestFit="1" customWidth="1"/>
    <col min="12546" max="12546" width="23.5703125" style="115" customWidth="1"/>
    <col min="12547" max="12547" width="17.28515625" style="115" customWidth="1"/>
    <col min="12548" max="12548" width="20.5703125" style="115" bestFit="1" customWidth="1"/>
    <col min="12549" max="12549" width="17.140625" style="115" customWidth="1"/>
    <col min="12550" max="12550" width="21.85546875" style="115" bestFit="1" customWidth="1"/>
    <col min="12551" max="12551" width="17.140625" style="115" bestFit="1" customWidth="1"/>
    <col min="12552" max="12552" width="18.140625" style="115" bestFit="1" customWidth="1"/>
    <col min="12553" max="12553" width="26.42578125" style="115" customWidth="1"/>
    <col min="12554" max="12798" width="9.140625" style="115"/>
    <col min="12799" max="12799" width="8.7109375" style="115" bestFit="1" customWidth="1"/>
    <col min="12800" max="12800" width="13.28515625" style="115" customWidth="1"/>
    <col min="12801" max="12801" width="16.140625" style="115" bestFit="1" customWidth="1"/>
    <col min="12802" max="12802" width="23.5703125" style="115" customWidth="1"/>
    <col min="12803" max="12803" width="17.28515625" style="115" customWidth="1"/>
    <col min="12804" max="12804" width="20.5703125" style="115" bestFit="1" customWidth="1"/>
    <col min="12805" max="12805" width="17.140625" style="115" customWidth="1"/>
    <col min="12806" max="12806" width="21.85546875" style="115" bestFit="1" customWidth="1"/>
    <col min="12807" max="12807" width="17.140625" style="115" bestFit="1" customWidth="1"/>
    <col min="12808" max="12808" width="18.140625" style="115" bestFit="1" customWidth="1"/>
    <col min="12809" max="12809" width="26.42578125" style="115" customWidth="1"/>
    <col min="12810" max="13054" width="9.140625" style="115"/>
    <col min="13055" max="13055" width="8.7109375" style="115" bestFit="1" customWidth="1"/>
    <col min="13056" max="13056" width="13.28515625" style="115" customWidth="1"/>
    <col min="13057" max="13057" width="16.140625" style="115" bestFit="1" customWidth="1"/>
    <col min="13058" max="13058" width="23.5703125" style="115" customWidth="1"/>
    <col min="13059" max="13059" width="17.28515625" style="115" customWidth="1"/>
    <col min="13060" max="13060" width="20.5703125" style="115" bestFit="1" customWidth="1"/>
    <col min="13061" max="13061" width="17.140625" style="115" customWidth="1"/>
    <col min="13062" max="13062" width="21.85546875" style="115" bestFit="1" customWidth="1"/>
    <col min="13063" max="13063" width="17.140625" style="115" bestFit="1" customWidth="1"/>
    <col min="13064" max="13064" width="18.140625" style="115" bestFit="1" customWidth="1"/>
    <col min="13065" max="13065" width="26.42578125" style="115" customWidth="1"/>
    <col min="13066" max="13310" width="9.140625" style="115"/>
    <col min="13311" max="13311" width="8.7109375" style="115" bestFit="1" customWidth="1"/>
    <col min="13312" max="13312" width="13.28515625" style="115" customWidth="1"/>
    <col min="13313" max="13313" width="16.140625" style="115" bestFit="1" customWidth="1"/>
    <col min="13314" max="13314" width="23.5703125" style="115" customWidth="1"/>
    <col min="13315" max="13315" width="17.28515625" style="115" customWidth="1"/>
    <col min="13316" max="13316" width="20.5703125" style="115" bestFit="1" customWidth="1"/>
    <col min="13317" max="13317" width="17.140625" style="115" customWidth="1"/>
    <col min="13318" max="13318" width="21.85546875" style="115" bestFit="1" customWidth="1"/>
    <col min="13319" max="13319" width="17.140625" style="115" bestFit="1" customWidth="1"/>
    <col min="13320" max="13320" width="18.140625" style="115" bestFit="1" customWidth="1"/>
    <col min="13321" max="13321" width="26.42578125" style="115" customWidth="1"/>
    <col min="13322" max="13566" width="9.140625" style="115"/>
    <col min="13567" max="13567" width="8.7109375" style="115" bestFit="1" customWidth="1"/>
    <col min="13568" max="13568" width="13.28515625" style="115" customWidth="1"/>
    <col min="13569" max="13569" width="16.140625" style="115" bestFit="1" customWidth="1"/>
    <col min="13570" max="13570" width="23.5703125" style="115" customWidth="1"/>
    <col min="13571" max="13571" width="17.28515625" style="115" customWidth="1"/>
    <col min="13572" max="13572" width="20.5703125" style="115" bestFit="1" customWidth="1"/>
    <col min="13573" max="13573" width="17.140625" style="115" customWidth="1"/>
    <col min="13574" max="13574" width="21.85546875" style="115" bestFit="1" customWidth="1"/>
    <col min="13575" max="13575" width="17.140625" style="115" bestFit="1" customWidth="1"/>
    <col min="13576" max="13576" width="18.140625" style="115" bestFit="1" customWidth="1"/>
    <col min="13577" max="13577" width="26.42578125" style="115" customWidth="1"/>
    <col min="13578" max="13822" width="9.140625" style="115"/>
    <col min="13823" max="13823" width="8.7109375" style="115" bestFit="1" customWidth="1"/>
    <col min="13824" max="13824" width="13.28515625" style="115" customWidth="1"/>
    <col min="13825" max="13825" width="16.140625" style="115" bestFit="1" customWidth="1"/>
    <col min="13826" max="13826" width="23.5703125" style="115" customWidth="1"/>
    <col min="13827" max="13827" width="17.28515625" style="115" customWidth="1"/>
    <col min="13828" max="13828" width="20.5703125" style="115" bestFit="1" customWidth="1"/>
    <col min="13829" max="13829" width="17.140625" style="115" customWidth="1"/>
    <col min="13830" max="13830" width="21.85546875" style="115" bestFit="1" customWidth="1"/>
    <col min="13831" max="13831" width="17.140625" style="115" bestFit="1" customWidth="1"/>
    <col min="13832" max="13832" width="18.140625" style="115" bestFit="1" customWidth="1"/>
    <col min="13833" max="13833" width="26.42578125" style="115" customWidth="1"/>
    <col min="13834" max="14078" width="9.140625" style="115"/>
    <col min="14079" max="14079" width="8.7109375" style="115" bestFit="1" customWidth="1"/>
    <col min="14080" max="14080" width="13.28515625" style="115" customWidth="1"/>
    <col min="14081" max="14081" width="16.140625" style="115" bestFit="1" customWidth="1"/>
    <col min="14082" max="14082" width="23.5703125" style="115" customWidth="1"/>
    <col min="14083" max="14083" width="17.28515625" style="115" customWidth="1"/>
    <col min="14084" max="14084" width="20.5703125" style="115" bestFit="1" customWidth="1"/>
    <col min="14085" max="14085" width="17.140625" style="115" customWidth="1"/>
    <col min="14086" max="14086" width="21.85546875" style="115" bestFit="1" customWidth="1"/>
    <col min="14087" max="14087" width="17.140625" style="115" bestFit="1" customWidth="1"/>
    <col min="14088" max="14088" width="18.140625" style="115" bestFit="1" customWidth="1"/>
    <col min="14089" max="14089" width="26.42578125" style="115" customWidth="1"/>
    <col min="14090" max="14334" width="9.140625" style="115"/>
    <col min="14335" max="14335" width="8.7109375" style="115" bestFit="1" customWidth="1"/>
    <col min="14336" max="14336" width="13.28515625" style="115" customWidth="1"/>
    <col min="14337" max="14337" width="16.140625" style="115" bestFit="1" customWidth="1"/>
    <col min="14338" max="14338" width="23.5703125" style="115" customWidth="1"/>
    <col min="14339" max="14339" width="17.28515625" style="115" customWidth="1"/>
    <col min="14340" max="14340" width="20.5703125" style="115" bestFit="1" customWidth="1"/>
    <col min="14341" max="14341" width="17.140625" style="115" customWidth="1"/>
    <col min="14342" max="14342" width="21.85546875" style="115" bestFit="1" customWidth="1"/>
    <col min="14343" max="14343" width="17.140625" style="115" bestFit="1" customWidth="1"/>
    <col min="14344" max="14344" width="18.140625" style="115" bestFit="1" customWidth="1"/>
    <col min="14345" max="14345" width="26.42578125" style="115" customWidth="1"/>
    <col min="14346" max="14590" width="9.140625" style="115"/>
    <col min="14591" max="14591" width="8.7109375" style="115" bestFit="1" customWidth="1"/>
    <col min="14592" max="14592" width="13.28515625" style="115" customWidth="1"/>
    <col min="14593" max="14593" width="16.140625" style="115" bestFit="1" customWidth="1"/>
    <col min="14594" max="14594" width="23.5703125" style="115" customWidth="1"/>
    <col min="14595" max="14595" width="17.28515625" style="115" customWidth="1"/>
    <col min="14596" max="14596" width="20.5703125" style="115" bestFit="1" customWidth="1"/>
    <col min="14597" max="14597" width="17.140625" style="115" customWidth="1"/>
    <col min="14598" max="14598" width="21.85546875" style="115" bestFit="1" customWidth="1"/>
    <col min="14599" max="14599" width="17.140625" style="115" bestFit="1" customWidth="1"/>
    <col min="14600" max="14600" width="18.140625" style="115" bestFit="1" customWidth="1"/>
    <col min="14601" max="14601" width="26.42578125" style="115" customWidth="1"/>
    <col min="14602" max="14846" width="9.140625" style="115"/>
    <col min="14847" max="14847" width="8.7109375" style="115" bestFit="1" customWidth="1"/>
    <col min="14848" max="14848" width="13.28515625" style="115" customWidth="1"/>
    <col min="14849" max="14849" width="16.140625" style="115" bestFit="1" customWidth="1"/>
    <col min="14850" max="14850" width="23.5703125" style="115" customWidth="1"/>
    <col min="14851" max="14851" width="17.28515625" style="115" customWidth="1"/>
    <col min="14852" max="14852" width="20.5703125" style="115" bestFit="1" customWidth="1"/>
    <col min="14853" max="14853" width="17.140625" style="115" customWidth="1"/>
    <col min="14854" max="14854" width="21.85546875" style="115" bestFit="1" customWidth="1"/>
    <col min="14855" max="14855" width="17.140625" style="115" bestFit="1" customWidth="1"/>
    <col min="14856" max="14856" width="18.140625" style="115" bestFit="1" customWidth="1"/>
    <col min="14857" max="14857" width="26.42578125" style="115" customWidth="1"/>
    <col min="14858" max="15102" width="9.140625" style="115"/>
    <col min="15103" max="15103" width="8.7109375" style="115" bestFit="1" customWidth="1"/>
    <col min="15104" max="15104" width="13.28515625" style="115" customWidth="1"/>
    <col min="15105" max="15105" width="16.140625" style="115" bestFit="1" customWidth="1"/>
    <col min="15106" max="15106" width="23.5703125" style="115" customWidth="1"/>
    <col min="15107" max="15107" width="17.28515625" style="115" customWidth="1"/>
    <col min="15108" max="15108" width="20.5703125" style="115" bestFit="1" customWidth="1"/>
    <col min="15109" max="15109" width="17.140625" style="115" customWidth="1"/>
    <col min="15110" max="15110" width="21.85546875" style="115" bestFit="1" customWidth="1"/>
    <col min="15111" max="15111" width="17.140625" style="115" bestFit="1" customWidth="1"/>
    <col min="15112" max="15112" width="18.140625" style="115" bestFit="1" customWidth="1"/>
    <col min="15113" max="15113" width="26.42578125" style="115" customWidth="1"/>
    <col min="15114" max="15358" width="9.140625" style="115"/>
    <col min="15359" max="15359" width="8.7109375" style="115" bestFit="1" customWidth="1"/>
    <col min="15360" max="15360" width="13.28515625" style="115" customWidth="1"/>
    <col min="15361" max="15361" width="16.140625" style="115" bestFit="1" customWidth="1"/>
    <col min="15362" max="15362" width="23.5703125" style="115" customWidth="1"/>
    <col min="15363" max="15363" width="17.28515625" style="115" customWidth="1"/>
    <col min="15364" max="15364" width="20.5703125" style="115" bestFit="1" customWidth="1"/>
    <col min="15365" max="15365" width="17.140625" style="115" customWidth="1"/>
    <col min="15366" max="15366" width="21.85546875" style="115" bestFit="1" customWidth="1"/>
    <col min="15367" max="15367" width="17.140625" style="115" bestFit="1" customWidth="1"/>
    <col min="15368" max="15368" width="18.140625" style="115" bestFit="1" customWidth="1"/>
    <col min="15369" max="15369" width="26.42578125" style="115" customWidth="1"/>
    <col min="15370" max="15614" width="9.140625" style="115"/>
    <col min="15615" max="15615" width="8.7109375" style="115" bestFit="1" customWidth="1"/>
    <col min="15616" max="15616" width="13.28515625" style="115" customWidth="1"/>
    <col min="15617" max="15617" width="16.140625" style="115" bestFit="1" customWidth="1"/>
    <col min="15618" max="15618" width="23.5703125" style="115" customWidth="1"/>
    <col min="15619" max="15619" width="17.28515625" style="115" customWidth="1"/>
    <col min="15620" max="15620" width="20.5703125" style="115" bestFit="1" customWidth="1"/>
    <col min="15621" max="15621" width="17.140625" style="115" customWidth="1"/>
    <col min="15622" max="15622" width="21.85546875" style="115" bestFit="1" customWidth="1"/>
    <col min="15623" max="15623" width="17.140625" style="115" bestFit="1" customWidth="1"/>
    <col min="15624" max="15624" width="18.140625" style="115" bestFit="1" customWidth="1"/>
    <col min="15625" max="15625" width="26.42578125" style="115" customWidth="1"/>
    <col min="15626" max="15870" width="9.140625" style="115"/>
    <col min="15871" max="15871" width="8.7109375" style="115" bestFit="1" customWidth="1"/>
    <col min="15872" max="15872" width="13.28515625" style="115" customWidth="1"/>
    <col min="15873" max="15873" width="16.140625" style="115" bestFit="1" customWidth="1"/>
    <col min="15874" max="15874" width="23.5703125" style="115" customWidth="1"/>
    <col min="15875" max="15875" width="17.28515625" style="115" customWidth="1"/>
    <col min="15876" max="15876" width="20.5703125" style="115" bestFit="1" customWidth="1"/>
    <col min="15877" max="15877" width="17.140625" style="115" customWidth="1"/>
    <col min="15878" max="15878" width="21.85546875" style="115" bestFit="1" customWidth="1"/>
    <col min="15879" max="15879" width="17.140625" style="115" bestFit="1" customWidth="1"/>
    <col min="15880" max="15880" width="18.140625" style="115" bestFit="1" customWidth="1"/>
    <col min="15881" max="15881" width="26.42578125" style="115" customWidth="1"/>
    <col min="15882" max="16126" width="9.140625" style="115"/>
    <col min="16127" max="16127" width="8.7109375" style="115" bestFit="1" customWidth="1"/>
    <col min="16128" max="16128" width="13.28515625" style="115" customWidth="1"/>
    <col min="16129" max="16129" width="16.140625" style="115" bestFit="1" customWidth="1"/>
    <col min="16130" max="16130" width="23.5703125" style="115" customWidth="1"/>
    <col min="16131" max="16131" width="17.28515625" style="115" customWidth="1"/>
    <col min="16132" max="16132" width="20.5703125" style="115" bestFit="1" customWidth="1"/>
    <col min="16133" max="16133" width="17.140625" style="115" customWidth="1"/>
    <col min="16134" max="16134" width="21.85546875" style="115" bestFit="1" customWidth="1"/>
    <col min="16135" max="16135" width="17.140625" style="115" bestFit="1" customWidth="1"/>
    <col min="16136" max="16136" width="18.140625" style="115" bestFit="1" customWidth="1"/>
    <col min="16137" max="16137" width="26.42578125" style="115" customWidth="1"/>
    <col min="16138" max="16384" width="9.140625" style="115"/>
  </cols>
  <sheetData>
    <row r="1" spans="11:12" s="133" customFormat="1" x14ac:dyDescent="0.2">
      <c r="K1" s="479"/>
      <c r="L1" s="478"/>
    </row>
    <row r="2" spans="11:12" s="133" customFormat="1" x14ac:dyDescent="0.2">
      <c r="K2" s="479"/>
      <c r="L2" s="478"/>
    </row>
    <row r="3" spans="11:12" s="133" customFormat="1" x14ac:dyDescent="0.2">
      <c r="K3" s="479"/>
      <c r="L3" s="478"/>
    </row>
    <row r="4" spans="11:12" s="133" customFormat="1" x14ac:dyDescent="0.2">
      <c r="K4" s="479"/>
      <c r="L4" s="478"/>
    </row>
    <row r="5" spans="11:12" s="133" customFormat="1" x14ac:dyDescent="0.2">
      <c r="K5" s="479"/>
      <c r="L5" s="478"/>
    </row>
    <row r="6" spans="11:12" s="133" customFormat="1" x14ac:dyDescent="0.2">
      <c r="K6" s="479"/>
      <c r="L6" s="478"/>
    </row>
    <row r="7" spans="11:12" s="133" customFormat="1" x14ac:dyDescent="0.2">
      <c r="K7" s="479"/>
      <c r="L7" s="478"/>
    </row>
    <row r="8" spans="11:12" s="133" customFormat="1" x14ac:dyDescent="0.2">
      <c r="K8" s="479"/>
      <c r="L8" s="478"/>
    </row>
    <row r="9" spans="11:12" s="133" customFormat="1" x14ac:dyDescent="0.2">
      <c r="K9" s="479"/>
      <c r="L9" s="478"/>
    </row>
    <row r="10" spans="11:12" s="133" customFormat="1" x14ac:dyDescent="0.2">
      <c r="K10" s="479"/>
      <c r="L10" s="478"/>
    </row>
    <row r="11" spans="11:12" s="133" customFormat="1" x14ac:dyDescent="0.2">
      <c r="K11" s="479"/>
      <c r="L11" s="478"/>
    </row>
    <row r="12" spans="11:12" s="133" customFormat="1" x14ac:dyDescent="0.2">
      <c r="K12" s="479"/>
      <c r="L12" s="478"/>
    </row>
    <row r="13" spans="11:12" s="133" customFormat="1" x14ac:dyDescent="0.2">
      <c r="K13" s="479"/>
      <c r="L13" s="478"/>
    </row>
    <row r="14" spans="11:12" s="133" customFormat="1" x14ac:dyDescent="0.2">
      <c r="K14" s="479"/>
      <c r="L14" s="478"/>
    </row>
    <row r="15" spans="11:12" s="133" customFormat="1" x14ac:dyDescent="0.2">
      <c r="K15" s="479"/>
      <c r="L15" s="478"/>
    </row>
    <row r="16" spans="11:12" s="133" customFormat="1" x14ac:dyDescent="0.2">
      <c r="K16" s="479"/>
      <c r="L16" s="478"/>
    </row>
    <row r="17" spans="1:21" s="133" customFormat="1" x14ac:dyDescent="0.2">
      <c r="K17" s="479"/>
      <c r="L17" s="478"/>
    </row>
    <row r="18" spans="1:21" s="133" customFormat="1" x14ac:dyDescent="0.2">
      <c r="K18" s="479"/>
      <c r="L18" s="478"/>
    </row>
    <row r="19" spans="1:21" s="133" customFormat="1" x14ac:dyDescent="0.2">
      <c r="K19" s="479"/>
      <c r="L19" s="478"/>
    </row>
    <row r="20" spans="1:21" s="133" customFormat="1" x14ac:dyDescent="0.2">
      <c r="K20" s="479"/>
      <c r="L20" s="478"/>
    </row>
    <row r="21" spans="1:21" s="133" customFormat="1" x14ac:dyDescent="0.2">
      <c r="K21" s="479"/>
      <c r="L21" s="478"/>
    </row>
    <row r="22" spans="1:21" s="133" customFormat="1" x14ac:dyDescent="0.2">
      <c r="K22" s="479"/>
      <c r="L22" s="478"/>
    </row>
    <row r="23" spans="1:21" s="133" customFormat="1" x14ac:dyDescent="0.2">
      <c r="K23" s="479"/>
      <c r="L23" s="478"/>
    </row>
    <row r="24" spans="1:21" s="133" customFormat="1" x14ac:dyDescent="0.2">
      <c r="K24" s="479"/>
      <c r="L24" s="478"/>
    </row>
    <row r="25" spans="1:21" s="133" customFormat="1" x14ac:dyDescent="0.2">
      <c r="K25" s="479"/>
      <c r="L25" s="478"/>
      <c r="O25" s="756"/>
      <c r="P25" s="756"/>
      <c r="Q25" s="756"/>
      <c r="R25" s="756"/>
      <c r="S25" s="756"/>
      <c r="T25" s="756"/>
      <c r="U25" s="756"/>
    </row>
    <row r="26" spans="1:21" s="133" customFormat="1" x14ac:dyDescent="0.2">
      <c r="K26" s="479"/>
      <c r="L26" s="478"/>
      <c r="O26" s="756"/>
      <c r="P26" s="756"/>
      <c r="Q26" s="756"/>
      <c r="R26" s="756"/>
      <c r="S26" s="756"/>
      <c r="T26" s="756"/>
      <c r="U26" s="756"/>
    </row>
    <row r="27" spans="1:21" s="133" customFormat="1" x14ac:dyDescent="0.2">
      <c r="K27" s="479"/>
      <c r="L27" s="478"/>
      <c r="O27" s="756"/>
      <c r="P27" s="756"/>
      <c r="Q27" s="756"/>
      <c r="R27" s="756"/>
      <c r="S27" s="756"/>
      <c r="T27" s="756"/>
      <c r="U27" s="756"/>
    </row>
    <row r="28" spans="1:21" s="133" customFormat="1" ht="24.75" customHeight="1" x14ac:dyDescent="0.25">
      <c r="A28" s="502" t="str">
        <f>CHOOSE(MODE, 'Variable Mgmt'!K7,'Variable Mgmt'!K8)</f>
        <v>SINGLE Output PSR Flyback Converter, VIN = 24 V, VOUT = 5 V, IOUT = 1 A</v>
      </c>
      <c r="K28" s="478"/>
      <c r="L28" s="478"/>
      <c r="O28" s="756"/>
      <c r="P28" s="756"/>
      <c r="Q28" s="756"/>
      <c r="R28" s="756"/>
      <c r="S28" s="756"/>
      <c r="T28" s="756"/>
      <c r="U28" s="756"/>
    </row>
    <row r="29" spans="1:21" ht="24.75" customHeight="1" thickBot="1" x14ac:dyDescent="0.25">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LM25184 High Efficiency PSR Flyback Converter BOM</v>
      </c>
      <c r="O29" s="757"/>
      <c r="P29" s="757"/>
      <c r="Q29" s="757"/>
      <c r="R29" s="757"/>
      <c r="S29" s="757"/>
      <c r="T29" s="757"/>
      <c r="U29" s="757"/>
    </row>
    <row r="30" spans="1:21" ht="18" customHeight="1" x14ac:dyDescent="0.2">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00000000000001" customHeight="1" x14ac:dyDescent="0.2">
      <c r="A31" s="117">
        <f>ROUNDUP('LM(2)518x PSR flyback converter'!E18/10,0)</f>
        <v>1</v>
      </c>
      <c r="B31" s="129" t="s">
        <v>120</v>
      </c>
      <c r="C31" s="132">
        <f>Cin</f>
        <v>10</v>
      </c>
      <c r="D31" s="802" t="str">
        <f>IF(VIN_max&gt;35, "Capacitor, Ceramic, "&amp;'Variable Mgmt'!B226&amp;", 100V, X7R, 10%", "Capacitor, Ceramic, "&amp;'Variable Mgmt'!B226&amp;", 50V, X7R, 10%")</f>
        <v>Capacitor, Ceramic, 10µF, 50V,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00000000000001" customHeight="1" x14ac:dyDescent="0.2">
      <c r="A32" s="117">
        <v>1</v>
      </c>
      <c r="B32" s="129" t="s">
        <v>121</v>
      </c>
      <c r="C32" s="132">
        <f>Cout</f>
        <v>100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6.3V,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00000000000001" customHeight="1" x14ac:dyDescent="0.2">
      <c r="A33" s="117" t="str">
        <f>CHOOSE(MODE, "-", "1")</f>
        <v>-</v>
      </c>
      <c r="B33" s="129" t="s">
        <v>637</v>
      </c>
      <c r="C33" s="132" t="str">
        <f>CHOOSE(MODE, "-", Cout2)</f>
        <v>-</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v>
      </c>
      <c r="E33" s="610"/>
      <c r="F33" s="610"/>
      <c r="G33" s="130"/>
      <c r="H33" s="131" t="str">
        <f>CHOOSE(MODE, "-", "Std")</f>
        <v>-</v>
      </c>
      <c r="I33" s="484" t="str">
        <f>CHOOSE(MODE, "-", "Std")</f>
        <v>-</v>
      </c>
      <c r="J33" s="493" t="str">
        <f>CHOOSE(MODE, "-", CHOOSE(Q33,'Variable Mgmt'!T64,'Variable Mgmt'!T65,'Variable Mgmt'!T66,'Variable Mgmt'!T67,'Variable Mgmt'!T68))</f>
        <v>-</v>
      </c>
      <c r="K33" s="491" t="str">
        <f>CHOOSE(MODE, "-", CHOOSE(Q33,'Variable Mgmt'!U64,'Variable Mgmt'!U65,'Variable Mgmt'!U66,'Variable Mgmt'!U67,'Variable Mgmt'!U68))</f>
        <v>-</v>
      </c>
      <c r="L33" s="496"/>
      <c r="O33" s="759"/>
      <c r="P33" s="762"/>
      <c r="Q33" s="764">
        <v>5</v>
      </c>
      <c r="R33" s="759"/>
      <c r="S33" s="759"/>
      <c r="T33" s="759"/>
      <c r="U33" s="759"/>
    </row>
    <row r="34" spans="1:21" s="118" customFormat="1" ht="17.100000000000001" customHeight="1" x14ac:dyDescent="0.2">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00000000000001" customHeight="1" x14ac:dyDescent="0.2">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00000000000001" customHeight="1" x14ac:dyDescent="0.2">
      <c r="A36" s="124" t="str">
        <f>CHOOSE(MODE, "-", "1")</f>
        <v>-</v>
      </c>
      <c r="B36" s="125" t="s">
        <v>638</v>
      </c>
      <c r="C36" s="126" t="str">
        <f>CHOOSE(MODE, "-", "Diode")</f>
        <v>-</v>
      </c>
      <c r="D36" s="809" t="str">
        <f>CHOOSE(MODE, "-", "Rectifying Diode, Schottky")</f>
        <v>-</v>
      </c>
      <c r="E36" s="810"/>
      <c r="F36" s="810"/>
      <c r="G36" s="127" t="s">
        <v>119</v>
      </c>
      <c r="H36" s="128" t="str">
        <f>CHOOSE(MODE, "-", "Std")</f>
        <v>-</v>
      </c>
      <c r="I36" s="486" t="str">
        <f>CHOOSE(MODE, "-", "Std")</f>
        <v>-</v>
      </c>
      <c r="J36" s="628" t="str">
        <f>CHOOSE(MODE, "-", CHOOSE(Q36,'Variable Mgmt'!Y73,'Variable Mgmt'!Y74,'Variable Mgmt'!Y75,'Variable Mgmt'!Y76))</f>
        <v>-</v>
      </c>
      <c r="K36" s="629" t="str">
        <f>CHOOSE(MODE, "-", CHOOSE(Q36,'Variable Mgmt'!Z73,'Variable Mgmt'!Z74,'Variable Mgmt'!Z75,'Variable Mgmt'!Z76))</f>
        <v>-</v>
      </c>
      <c r="L36" s="496"/>
      <c r="O36" s="759"/>
      <c r="P36" s="762"/>
      <c r="Q36" s="764">
        <v>3</v>
      </c>
      <c r="R36" s="759"/>
      <c r="S36" s="759"/>
      <c r="T36" s="759"/>
      <c r="U36" s="759"/>
    </row>
    <row r="37" spans="1:21" s="118" customFormat="1" ht="17.100000000000001" customHeight="1" x14ac:dyDescent="0.2">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00000000000001" customHeight="1" x14ac:dyDescent="0.2">
      <c r="A38" s="124">
        <v>1</v>
      </c>
      <c r="B38" s="125" t="s">
        <v>636</v>
      </c>
      <c r="C38" s="126" t="str">
        <f>Vout*Nps*1.3&amp;"V"</f>
        <v>13V</v>
      </c>
      <c r="D38" s="809" t="str">
        <f>"Clamp Circuit Diode, Zener, "&amp;ROUND(Vout*Nps*13,0)/10&amp;"V"</f>
        <v>Clamp Circuit Diode, Zener, 13V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00000000000001" customHeight="1" x14ac:dyDescent="0.2">
      <c r="A39" s="124">
        <v>1</v>
      </c>
      <c r="B39" s="125" t="s">
        <v>648</v>
      </c>
      <c r="C39" s="126" t="str">
        <f>Vout*1.1&amp;"V"</f>
        <v>5.5V</v>
      </c>
      <c r="D39" s="632" t="str">
        <f>"Output Clamp Diode, Zener, "&amp;(ROUND(Vout*11.25,0)/10)&amp;"V"</f>
        <v>Output Clamp Diode, Zener, 5.6V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00000000000001" customHeight="1" x14ac:dyDescent="0.2">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00000000000001" customHeight="1" x14ac:dyDescent="0.2">
      <c r="A41" s="119">
        <v>1</v>
      </c>
      <c r="B41" s="120" t="s">
        <v>536</v>
      </c>
      <c r="C41" s="121">
        <f>Rfb/1000</f>
        <v>107</v>
      </c>
      <c r="D41" s="807">
        <f>C41</f>
        <v>107</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00000000000001" customHeight="1" x14ac:dyDescent="0.2">
      <c r="A42" s="119" t="str">
        <f>CHOOSE(MODE_UVLO, "1", "-")</f>
        <v>-</v>
      </c>
      <c r="B42" s="120" t="s">
        <v>126</v>
      </c>
      <c r="C42" s="464" t="str">
        <f>CHOOSE(MODE_UVLO, 'Variable Mgmt'!H245, "-")</f>
        <v>-</v>
      </c>
      <c r="D42" s="816" t="str">
        <f>CHOOSE(MODE_UVLO, "Resistor, Chip, "&amp;'Variable Mgmt'!C245&amp;", 1/16W, 1%", "-")</f>
        <v>-</v>
      </c>
      <c r="E42" s="817"/>
      <c r="F42" s="817"/>
      <c r="G42" s="122" t="s">
        <v>119</v>
      </c>
      <c r="H42" s="123" t="str">
        <f t="shared" ref="H42:I43" si="1">CHOOSE(MODE_UVLO, "Std", "-")</f>
        <v>-</v>
      </c>
      <c r="I42" s="485" t="str">
        <f t="shared" si="1"/>
        <v>-</v>
      </c>
      <c r="J42" s="493" t="str">
        <f>CHOOSE(MODE_UVLO, CHOOSE(Q42,'Variable Mgmt'!T64,'Variable Mgmt'!T65,'Variable Mgmt'!T66), "-")</f>
        <v>-</v>
      </c>
      <c r="K42" s="491" t="str">
        <f>CHOOSE(MODE_UVLO, CHOOSE(Q42,'Variable Mgmt'!U64,'Variable Mgmt'!U65,'Variable Mgmt'!U66,'Variable Mgmt'!U67,'Variable Mgmt'!U68),"-")</f>
        <v>-</v>
      </c>
      <c r="L42" s="496"/>
      <c r="O42" s="759"/>
      <c r="P42" s="762"/>
      <c r="Q42" s="764">
        <v>1</v>
      </c>
      <c r="R42" s="759"/>
      <c r="S42" s="759"/>
      <c r="T42" s="759"/>
      <c r="U42" s="759"/>
    </row>
    <row r="43" spans="1:21" s="118" customFormat="1" ht="17.100000000000001" customHeight="1" x14ac:dyDescent="0.2">
      <c r="A43" s="119" t="str">
        <f>CHOOSE(MODE_UVLO, "1", "-")</f>
        <v>-</v>
      </c>
      <c r="B43" s="120" t="s">
        <v>127</v>
      </c>
      <c r="C43" s="464" t="str">
        <f>CHOOSE(MODE_UVLO, 'Variable Mgmt'!H246, "-")</f>
        <v>-</v>
      </c>
      <c r="D43" s="816" t="str">
        <f>CHOOSE(MODE_UVLO, "Resistor, Chip, "&amp;'Variable Mgmt'!C246&amp;", 1/16W, 1%", "-")</f>
        <v>-</v>
      </c>
      <c r="E43" s="817"/>
      <c r="F43" s="817"/>
      <c r="G43" s="122" t="s">
        <v>119</v>
      </c>
      <c r="H43" s="123" t="str">
        <f t="shared" si="1"/>
        <v>-</v>
      </c>
      <c r="I43" s="485" t="str">
        <f t="shared" si="1"/>
        <v>-</v>
      </c>
      <c r="J43" s="493" t="str">
        <f>CHOOSE(MODE_UVLO, CHOOSE(Q43,'Variable Mgmt'!T64,'Variable Mgmt'!T65,'Variable Mgmt'!T66), "-")</f>
        <v>-</v>
      </c>
      <c r="K43" s="491" t="str">
        <f>CHOOSE(MODE_UVLO, CHOOSE(Q43,'Variable Mgmt'!U64,'Variable Mgmt'!U65,'Variable Mgmt'!U66,'Variable Mgmt'!U67,'Variable Mgmt'!U68),"-")</f>
        <v>-</v>
      </c>
      <c r="L43" s="496"/>
      <c r="O43" s="759"/>
      <c r="P43" s="762"/>
      <c r="Q43" s="764">
        <v>1</v>
      </c>
      <c r="R43" s="759"/>
      <c r="S43" s="759"/>
      <c r="T43" s="759"/>
      <c r="U43" s="759"/>
    </row>
    <row r="44" spans="1:21" s="118" customFormat="1" ht="17.100000000000001" customHeight="1" x14ac:dyDescent="0.2">
      <c r="A44" s="119" t="str">
        <f>CHOOSE(MODE_TC, "1", "-")</f>
        <v>1</v>
      </c>
      <c r="B44" s="120" t="s">
        <v>527</v>
      </c>
      <c r="C44" s="121">
        <f>CHOOSE(MODE_TC, RTC, "-")</f>
        <v>107</v>
      </c>
      <c r="D44" s="807" t="str">
        <f>CHOOSE(MODE_TC, "Resistor, Chip, "&amp;'Variable Mgmt'!B241&amp;", 1/16W, 1%", "-")</f>
        <v>Resistor, Chip, 107kΩ,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
      <c r="A45" s="124">
        <v>1</v>
      </c>
      <c r="B45" s="125" t="s">
        <v>535</v>
      </c>
      <c r="C45" s="627">
        <f>'LM(2)518x PSR flyback converter'!L7</f>
        <v>7</v>
      </c>
      <c r="D45" s="813" t="str">
        <f>"Transformer, "&amp;L*1000000&amp;"µH, "&amp;'Variable Mgmt'!W52&amp;", "&amp;Rdcr_pri*1000&amp;"mΩ Pri DCR, "&amp;Isat&amp;"A Isat"</f>
        <v>Transformer, 7µH, 2 : 1, 100mΩ Pri DCR, 5A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00000000000001" customHeight="1" x14ac:dyDescent="0.2">
      <c r="A46" s="468">
        <v>1</v>
      </c>
      <c r="B46" s="474" t="s">
        <v>128</v>
      </c>
      <c r="C46" s="495" t="str">
        <f>CHOOSE(VARIANT, "LM5180", "LM5181", "LM25180", "LM25183", "LM25184")</f>
        <v>LM25184</v>
      </c>
      <c r="D46" s="475" t="str">
        <f>CHOOSE(VARIANT, "IC, LM5180, PSR Flyback Converter, 4.5V–65V Input", "IC, LM5181, PSR Flyback Converter, 4.5V–65V Input", "IC, LM25180, PSR Flyback Converter, 4.5V–42V Input", "IC, LM25183, PSR Flyback Converter, 4.5V–42V Input", "IC, LM25184, PSR Flyback Converter, 4.5V–42V Input")</f>
        <v>IC, LM25184, PSR Flyback Converter, 4.5V–42V Input</v>
      </c>
      <c r="E46" s="476"/>
      <c r="F46" s="477"/>
      <c r="G46" s="473" t="s">
        <v>534</v>
      </c>
      <c r="H46" s="473" t="str">
        <f>CHOOSE(VARIANT, "LM5180NGUR", "LM5181NGUR", "LM25180NGUR", "LM25183NGUR", "LM25184NGUR")</f>
        <v>LM25184NGUR</v>
      </c>
      <c r="I46" s="475" t="s">
        <v>357</v>
      </c>
      <c r="J46" s="494" t="s">
        <v>355</v>
      </c>
      <c r="K46" s="492">
        <v>16</v>
      </c>
      <c r="L46" s="472"/>
      <c r="M46" s="472"/>
      <c r="N46" s="118"/>
      <c r="Q46" s="503"/>
    </row>
    <row r="47" spans="1:21" ht="17.100000000000001" customHeight="1" x14ac:dyDescent="0.2">
      <c r="J47" s="118"/>
      <c r="K47" s="482"/>
      <c r="L47" s="472"/>
      <c r="M47" s="472"/>
      <c r="N47" s="118"/>
    </row>
    <row r="48" spans="1:21" ht="17.25" customHeight="1" x14ac:dyDescent="0.25">
      <c r="H48" s="801" t="s">
        <v>359</v>
      </c>
      <c r="I48" s="801"/>
      <c r="J48" s="801"/>
      <c r="K48" s="500">
        <f>SUM(K31:K46)*1.25</f>
        <v>201</v>
      </c>
      <c r="L48" s="504" t="s">
        <v>360</v>
      </c>
      <c r="M48" s="501">
        <f>K48/25.4/25.4</f>
        <v>0.3115506231012462</v>
      </c>
      <c r="N48" s="504" t="s">
        <v>358</v>
      </c>
    </row>
    <row r="49" spans="1:14" ht="17.100000000000001" customHeight="1" x14ac:dyDescent="0.25">
      <c r="J49" s="487"/>
      <c r="K49" s="488"/>
      <c r="L49" s="489"/>
      <c r="M49" s="490"/>
      <c r="N49" s="489"/>
    </row>
    <row r="50" spans="1:14" ht="20.25" customHeight="1" x14ac:dyDescent="0.2">
      <c r="A50" s="481" t="s">
        <v>137</v>
      </c>
    </row>
    <row r="51" spans="1:14" x14ac:dyDescent="0.2">
      <c r="A51" s="115" t="s">
        <v>819</v>
      </c>
    </row>
    <row r="52" spans="1:14" x14ac:dyDescent="0.2">
      <c r="A52" s="115" t="s">
        <v>820</v>
      </c>
      <c r="K52" s="480"/>
    </row>
    <row r="53" spans="1:14" x14ac:dyDescent="0.2">
      <c r="A53" s="115" t="s">
        <v>821</v>
      </c>
    </row>
    <row r="54" spans="1:14" x14ac:dyDescent="0.2">
      <c r="A54" s="115" t="s">
        <v>822</v>
      </c>
    </row>
    <row r="55" spans="1:14" x14ac:dyDescent="0.2">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40625" defaultRowHeight="12.75" x14ac:dyDescent="0.2"/>
  <cols>
    <col min="1" max="13" width="9.140625" style="85"/>
    <col min="14" max="14" width="11.85546875" style="85" customWidth="1"/>
    <col min="15" max="16" width="9.140625" style="85"/>
    <col min="17" max="17" width="15.7109375" style="85" customWidth="1"/>
    <col min="18" max="16384" width="9.140625" style="85"/>
  </cols>
  <sheetData>
    <row r="1" spans="1:25" s="76" customFormat="1" ht="47.25" customHeight="1" x14ac:dyDescent="0.2">
      <c r="A1" s="822" t="s">
        <v>817</v>
      </c>
      <c r="B1" s="823"/>
      <c r="C1" s="823"/>
      <c r="D1" s="823"/>
      <c r="E1" s="823"/>
      <c r="F1" s="823"/>
      <c r="G1" s="823"/>
      <c r="H1" s="823"/>
      <c r="I1" s="823"/>
      <c r="J1" s="823"/>
      <c r="K1" s="823"/>
      <c r="L1" s="823"/>
      <c r="M1" s="823"/>
      <c r="N1" s="823"/>
      <c r="O1" s="823"/>
      <c r="P1" s="823"/>
      <c r="Q1" s="823"/>
      <c r="R1" s="83"/>
    </row>
    <row r="6" spans="1:25" ht="20.25" x14ac:dyDescent="0.3">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2.75" x14ac:dyDescent="0.2"/>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11.8554687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8" ht="30.75" customHeight="1" x14ac:dyDescent="0.4">
      <c r="A1" s="825" t="s">
        <v>171</v>
      </c>
      <c r="B1" s="825"/>
      <c r="C1" s="825"/>
      <c r="D1" s="825"/>
      <c r="E1" s="825"/>
      <c r="F1" s="825"/>
      <c r="G1" s="825"/>
      <c r="H1" s="825"/>
      <c r="I1" s="825"/>
    </row>
    <row r="2" spans="1:18" ht="12" customHeight="1" x14ac:dyDescent="0.2">
      <c r="A2" s="19"/>
      <c r="B2" s="19" t="s">
        <v>81</v>
      </c>
      <c r="C2" s="20"/>
      <c r="E2" s="19"/>
      <c r="F2" s="19"/>
      <c r="G2" s="19"/>
      <c r="H2" s="19"/>
      <c r="I2" s="19"/>
    </row>
    <row r="3" spans="1:18" ht="11.25" customHeight="1" x14ac:dyDescent="0.2">
      <c r="A3" s="19"/>
      <c r="B3" s="19" t="s">
        <v>100</v>
      </c>
      <c r="C3" s="21"/>
      <c r="E3" s="19"/>
      <c r="F3" s="19"/>
      <c r="G3" s="19"/>
      <c r="H3" s="19"/>
      <c r="I3" s="19"/>
    </row>
    <row r="4" spans="1:18" ht="11.25" customHeight="1" x14ac:dyDescent="0.2">
      <c r="A4" s="19"/>
      <c r="B4" s="19" t="s">
        <v>82</v>
      </c>
      <c r="C4" s="22"/>
      <c r="E4" s="19"/>
      <c r="F4" s="19"/>
      <c r="G4" s="19"/>
      <c r="H4" s="19"/>
      <c r="I4" s="19"/>
    </row>
    <row r="5" spans="1:18" x14ac:dyDescent="0.2">
      <c r="A5" s="3" t="s">
        <v>19</v>
      </c>
      <c r="B5" s="3" t="s">
        <v>6</v>
      </c>
      <c r="C5" s="3" t="s">
        <v>7</v>
      </c>
      <c r="E5" s="824" t="s">
        <v>9</v>
      </c>
      <c r="F5" s="824"/>
      <c r="G5" s="824"/>
      <c r="H5" s="824"/>
      <c r="I5" s="3" t="s">
        <v>173</v>
      </c>
    </row>
    <row r="6" spans="1:18" ht="16.5" thickBot="1" x14ac:dyDescent="0.3">
      <c r="A6" s="51" t="s">
        <v>61</v>
      </c>
      <c r="B6" s="40"/>
      <c r="C6" s="40"/>
      <c r="D6" s="40"/>
      <c r="E6" s="52"/>
      <c r="F6" s="52"/>
      <c r="G6" s="52"/>
      <c r="H6" s="52"/>
      <c r="I6" s="40"/>
    </row>
    <row r="7" spans="1:18" x14ac:dyDescent="0.2">
      <c r="A7" s="110" t="s">
        <v>145</v>
      </c>
      <c r="B7" s="9">
        <f>'LM(2)518x PSR flyback converter'!E6</f>
        <v>23</v>
      </c>
      <c r="C7" s="31" t="s">
        <v>0</v>
      </c>
      <c r="D7" s="80" t="s">
        <v>146</v>
      </c>
      <c r="E7" s="31"/>
      <c r="F7" s="31"/>
      <c r="G7" s="31"/>
      <c r="H7" s="31"/>
      <c r="I7" s="32">
        <v>1</v>
      </c>
      <c r="K7" t="str">
        <f>'Variable Mgmt'!B59&amp;" Output PSR Flyback Converter, "&amp;"VIN = "&amp;Vin&amp;" V, VOUT = "&amp;Vout&amp;" V, IOUT = "&amp;Iout&amp;" A"</f>
        <v>SINGLE Output PSR Flyback Converter, VIN = 24 V, VOUT = 5 V, IOUT = 1 A</v>
      </c>
    </row>
    <row r="8" spans="1:18" x14ac:dyDescent="0.2">
      <c r="A8" s="111" t="s">
        <v>143</v>
      </c>
      <c r="B8" s="10">
        <f>'LM(2)518x PSR flyback converter'!E7</f>
        <v>24</v>
      </c>
      <c r="C8" s="7" t="s">
        <v>0</v>
      </c>
      <c r="D8" s="7" t="s">
        <v>10</v>
      </c>
      <c r="F8" s="587"/>
      <c r="G8" s="7"/>
      <c r="H8" s="78"/>
      <c r="I8" s="25"/>
      <c r="K8" t="str">
        <f>'Variable Mgmt'!B59&amp;" Output PSR Flyback Converter, "&amp;"VIN = "&amp;Vin&amp;" V, VOUT1 = "&amp;Vout&amp;" V, IOUT1 = "&amp;Iout&amp;" A"&amp;", VOUT2 = "&amp;Vout2_actual&amp;" V, IOUT2 = "&amp;Iout2_actual&amp;" A"</f>
        <v>SINGLE Output PSR Flyback Converter, VIN = 24 V, VOUT1 = 5 V, IOUT1 = 1 A, VOUT2 = 5 V, IOUT2 = 0.2 A</v>
      </c>
    </row>
    <row r="9" spans="1:18" x14ac:dyDescent="0.2">
      <c r="A9" s="111" t="s">
        <v>144</v>
      </c>
      <c r="B9" s="10">
        <f>'LM(2)518x PSR flyback converter'!E8</f>
        <v>25</v>
      </c>
      <c r="C9" s="7" t="s">
        <v>0</v>
      </c>
      <c r="D9" s="78" t="s">
        <v>147</v>
      </c>
      <c r="F9" s="587"/>
      <c r="G9" s="7"/>
      <c r="H9" s="7"/>
      <c r="I9" s="25"/>
    </row>
    <row r="10" spans="1:18" x14ac:dyDescent="0.2">
      <c r="A10" s="111"/>
      <c r="B10" s="209"/>
      <c r="C10" s="61"/>
      <c r="D10" s="78"/>
      <c r="F10" s="7"/>
      <c r="G10" s="7"/>
      <c r="H10" s="7"/>
      <c r="I10" s="25"/>
      <c r="P10" s="159" t="s">
        <v>790</v>
      </c>
      <c r="Q10" s="165">
        <v>1</v>
      </c>
    </row>
    <row r="11" spans="1:18" x14ac:dyDescent="0.2">
      <c r="A11" s="24" t="s">
        <v>4</v>
      </c>
      <c r="B11" s="10">
        <f>'LM(2)518x PSR flyback converter'!E10</f>
        <v>5</v>
      </c>
      <c r="C11" s="7" t="s">
        <v>0</v>
      </c>
      <c r="D11" s="78" t="s">
        <v>576</v>
      </c>
      <c r="F11" s="7"/>
      <c r="G11" s="7">
        <f>(Vout+Vfwd1)*Nps</f>
        <v>10.64</v>
      </c>
      <c r="H11" s="7"/>
      <c r="I11" s="25">
        <v>1</v>
      </c>
      <c r="P11" s="159" t="s">
        <v>801</v>
      </c>
      <c r="Q11" s="165">
        <v>2</v>
      </c>
    </row>
    <row r="12" spans="1:18" x14ac:dyDescent="0.2">
      <c r="A12" s="24" t="s">
        <v>5</v>
      </c>
      <c r="B12" s="583">
        <f>'LM(2)518x PSR flyback converter'!E11</f>
        <v>1</v>
      </c>
      <c r="C12" s="78" t="s">
        <v>1</v>
      </c>
      <c r="D12" s="78" t="s">
        <v>663</v>
      </c>
      <c r="F12" s="7"/>
      <c r="G12" s="7"/>
      <c r="H12" s="7"/>
      <c r="I12" s="25">
        <v>1</v>
      </c>
      <c r="L12" s="77"/>
      <c r="P12" s="399" t="s">
        <v>791</v>
      </c>
      <c r="Q12" s="587">
        <v>3</v>
      </c>
    </row>
    <row r="13" spans="1:18" x14ac:dyDescent="0.2">
      <c r="A13" s="111" t="s">
        <v>168</v>
      </c>
      <c r="B13" s="158">
        <f>Vout/Iout</f>
        <v>5</v>
      </c>
      <c r="C13" s="114" t="s">
        <v>45</v>
      </c>
      <c r="D13" s="112" t="s">
        <v>169</v>
      </c>
      <c r="F13" s="7"/>
      <c r="G13" s="7"/>
      <c r="H13" s="7"/>
      <c r="I13" s="25"/>
      <c r="P13" s="399" t="s">
        <v>802</v>
      </c>
      <c r="Q13" s="587">
        <v>4</v>
      </c>
    </row>
    <row r="14" spans="1:18" x14ac:dyDescent="0.2">
      <c r="A14" s="111" t="s">
        <v>152</v>
      </c>
      <c r="B14" s="582">
        <f>Vout*Iout</f>
        <v>5</v>
      </c>
      <c r="C14" s="61" t="s">
        <v>45</v>
      </c>
      <c r="D14" s="112" t="s">
        <v>158</v>
      </c>
      <c r="F14" s="7"/>
      <c r="G14" s="7"/>
      <c r="H14" s="7"/>
      <c r="I14" s="25"/>
      <c r="L14" s="77"/>
      <c r="P14" s="399" t="s">
        <v>803</v>
      </c>
      <c r="Q14" s="587">
        <v>5</v>
      </c>
    </row>
    <row r="15" spans="1:18" x14ac:dyDescent="0.2">
      <c r="B15" s="376"/>
      <c r="C15" s="61"/>
      <c r="D15" s="112"/>
      <c r="F15" s="7"/>
      <c r="G15" s="7"/>
      <c r="H15" s="7"/>
      <c r="I15" s="25"/>
      <c r="L15" s="77"/>
      <c r="O15" s="378" t="s">
        <v>789</v>
      </c>
      <c r="P15" s="162" t="str">
        <f>CHOOSE(VARIANT, "LM5180", "LM5181", "LM25180", "LM25183", "LM25184")</f>
        <v>LM25184</v>
      </c>
      <c r="Q15" s="378">
        <v>5</v>
      </c>
      <c r="R15" s="5"/>
    </row>
    <row r="16" spans="1:18" x14ac:dyDescent="0.2">
      <c r="A16" s="111" t="s">
        <v>621</v>
      </c>
      <c r="B16" s="584">
        <f>ABS('LM(2)518x PSR flyback converter'!E12)</f>
        <v>5</v>
      </c>
      <c r="C16" s="7" t="s">
        <v>0</v>
      </c>
      <c r="D16" s="78" t="s">
        <v>578</v>
      </c>
      <c r="F16" s="7"/>
      <c r="G16" s="7"/>
      <c r="H16" s="7"/>
      <c r="I16" s="25"/>
      <c r="L16" s="77"/>
      <c r="O16" s="467" t="s">
        <v>792</v>
      </c>
      <c r="P16" s="743">
        <f>CHOOSE(VARIANT, 65, 65, 42, 42, 42)</f>
        <v>42</v>
      </c>
      <c r="Q16" t="s">
        <v>0</v>
      </c>
    </row>
    <row r="17" spans="1:23" x14ac:dyDescent="0.2">
      <c r="A17" s="111" t="s">
        <v>622</v>
      </c>
      <c r="B17" s="625">
        <f>'LM(2)518x PSR flyback converter'!E12</f>
        <v>5</v>
      </c>
      <c r="C17" s="61" t="s">
        <v>0</v>
      </c>
      <c r="D17" s="78"/>
      <c r="F17" s="7"/>
      <c r="G17" s="7"/>
      <c r="H17" s="7"/>
      <c r="I17" s="25"/>
      <c r="L17" s="77"/>
      <c r="O17" s="449" t="s">
        <v>851</v>
      </c>
      <c r="P17">
        <f>CHOOSE(VARIANT, 100, 100, 70, 70, 70)</f>
        <v>70</v>
      </c>
      <c r="Q17" s="77" t="s">
        <v>0</v>
      </c>
    </row>
    <row r="18" spans="1:23" x14ac:dyDescent="0.2">
      <c r="A18" s="111" t="s">
        <v>508</v>
      </c>
      <c r="B18" s="584">
        <f>ABS('LM(2)518x PSR flyback converter'!E13)</f>
        <v>0.2</v>
      </c>
      <c r="C18" s="78" t="s">
        <v>1</v>
      </c>
      <c r="D18" s="78" t="s">
        <v>577</v>
      </c>
      <c r="F18" s="7"/>
      <c r="G18" s="7"/>
      <c r="H18" s="7"/>
      <c r="I18" s="25"/>
      <c r="L18" s="77"/>
    </row>
    <row r="19" spans="1:23" x14ac:dyDescent="0.2">
      <c r="A19" s="112" t="s">
        <v>662</v>
      </c>
      <c r="B19">
        <f>Iout2*SIGN(Vout2_actual)</f>
        <v>0.2</v>
      </c>
      <c r="C19" s="77" t="s">
        <v>1</v>
      </c>
      <c r="F19" s="7"/>
      <c r="G19" s="7"/>
      <c r="H19" s="7"/>
      <c r="I19" s="25"/>
      <c r="L19" s="77"/>
      <c r="P19" s="3" t="s">
        <v>784</v>
      </c>
    </row>
    <row r="20" spans="1:23" x14ac:dyDescent="0.2">
      <c r="A20" s="111" t="s">
        <v>509</v>
      </c>
      <c r="B20" s="582">
        <f>ABS(Vout2/Iout2)</f>
        <v>25</v>
      </c>
      <c r="C20" s="114" t="s">
        <v>45</v>
      </c>
      <c r="D20" s="112" t="s">
        <v>511</v>
      </c>
      <c r="F20" s="7"/>
      <c r="G20" s="7"/>
      <c r="H20" s="7"/>
      <c r="I20" s="25"/>
      <c r="K20" s="77" t="s">
        <v>542</v>
      </c>
      <c r="L20" s="77" t="s">
        <v>543</v>
      </c>
      <c r="P20" s="3" t="s">
        <v>783</v>
      </c>
      <c r="Q20">
        <v>1</v>
      </c>
    </row>
    <row r="21" spans="1:23" x14ac:dyDescent="0.2">
      <c r="A21" s="111" t="s">
        <v>510</v>
      </c>
      <c r="B21" s="582">
        <f>ABS(Vout2*Iout2)</f>
        <v>1</v>
      </c>
      <c r="C21" s="61" t="s">
        <v>45</v>
      </c>
      <c r="D21" s="112" t="s">
        <v>512</v>
      </c>
      <c r="F21" s="7"/>
      <c r="G21" s="7"/>
      <c r="H21" s="7"/>
      <c r="I21" s="25"/>
      <c r="K21">
        <v>5</v>
      </c>
      <c r="L21" s="77">
        <v>-5</v>
      </c>
      <c r="P21" s="3" t="s">
        <v>782</v>
      </c>
      <c r="Q21">
        <v>2</v>
      </c>
    </row>
    <row r="22" spans="1:23" x14ac:dyDescent="0.2">
      <c r="A22" s="111" t="s">
        <v>513</v>
      </c>
      <c r="B22" s="582">
        <f>CHOOSE(MODE, Pout, Pout + Pout2)</f>
        <v>5</v>
      </c>
      <c r="C22" s="61" t="s">
        <v>45</v>
      </c>
      <c r="D22" s="112" t="s">
        <v>514</v>
      </c>
      <c r="F22" s="7"/>
      <c r="G22" s="7"/>
      <c r="H22" s="7"/>
      <c r="I22" s="25"/>
      <c r="K22">
        <v>0.2</v>
      </c>
      <c r="L22" s="77">
        <v>0.2</v>
      </c>
      <c r="Q22" s="3">
        <v>2</v>
      </c>
    </row>
    <row r="23" spans="1:23" x14ac:dyDescent="0.2">
      <c r="A23" s="111"/>
      <c r="B23" s="376"/>
      <c r="C23" s="61"/>
      <c r="D23" s="112"/>
      <c r="F23" s="7"/>
      <c r="G23" s="7"/>
      <c r="H23" s="7"/>
      <c r="I23" s="25"/>
      <c r="L23" s="77"/>
    </row>
    <row r="24" spans="1:23" x14ac:dyDescent="0.2">
      <c r="A24" s="34" t="str">
        <f>CHOOSE(MODE, "Turns Ratio, PRI : SEC", "Turns Ratio, PRI : SEC1")</f>
        <v>Turns Ratio, PRI : SEC</v>
      </c>
      <c r="B24" s="566" t="str">
        <f>Nps</f>
        <v>2</v>
      </c>
      <c r="C24" s="61"/>
      <c r="D24" s="112" t="str">
        <f>CHOOSE(MODE, "TR primary-secondary (single output) = Np/Ns", "TR primary-secondary1 (dual output) = Np/Nsec1")</f>
        <v>TR primary-secondary (single output) = Np/Ns</v>
      </c>
      <c r="F24" s="7"/>
      <c r="G24" s="7"/>
      <c r="H24" s="7"/>
      <c r="I24" s="25"/>
      <c r="L24" s="77"/>
    </row>
    <row r="25" spans="1:23" x14ac:dyDescent="0.2">
      <c r="A25" s="34" t="s">
        <v>590</v>
      </c>
      <c r="B25" s="177">
        <f>Npri_sec2</f>
        <v>2</v>
      </c>
      <c r="D25" s="112" t="s">
        <v>591</v>
      </c>
      <c r="F25" s="7"/>
      <c r="G25" s="7"/>
      <c r="H25" s="7"/>
      <c r="I25" s="25"/>
      <c r="L25" s="77"/>
    </row>
    <row r="26" spans="1:23" x14ac:dyDescent="0.2">
      <c r="A26" s="34" t="s">
        <v>603</v>
      </c>
      <c r="B26" s="624">
        <f>Nsec1sec2</f>
        <v>1</v>
      </c>
      <c r="D26" s="77" t="s">
        <v>592</v>
      </c>
      <c r="F26" s="7"/>
      <c r="G26" s="7"/>
      <c r="H26" s="7"/>
      <c r="I26" s="25"/>
      <c r="L26" s="77"/>
      <c r="R26" s="162" t="s">
        <v>396</v>
      </c>
      <c r="V26" s="162" t="s">
        <v>396</v>
      </c>
    </row>
    <row r="27" spans="1:23" x14ac:dyDescent="0.2">
      <c r="H27" s="7"/>
      <c r="I27" s="25"/>
      <c r="K27" s="162" t="s">
        <v>541</v>
      </c>
      <c r="R27" s="162" t="s">
        <v>585</v>
      </c>
      <c r="V27" s="162" t="s">
        <v>586</v>
      </c>
    </row>
    <row r="28" spans="1:23" x14ac:dyDescent="0.2">
      <c r="A28" s="77" t="s">
        <v>623</v>
      </c>
      <c r="B28" s="469">
        <f>Vout+VIN_max/Nps</f>
        <v>17.5</v>
      </c>
      <c r="C28" s="77" t="s">
        <v>0</v>
      </c>
      <c r="G28" s="7"/>
      <c r="H28" s="7"/>
      <c r="I28" s="25"/>
      <c r="K28" s="77" t="s">
        <v>538</v>
      </c>
      <c r="L28">
        <v>1</v>
      </c>
      <c r="R28" t="str">
        <f>"5 : 1"</f>
        <v>5 : 1</v>
      </c>
      <c r="S28">
        <v>1</v>
      </c>
      <c r="V28" t="str">
        <f>"5 : 1"</f>
        <v>5 : 1</v>
      </c>
      <c r="W28">
        <v>1</v>
      </c>
    </row>
    <row r="29" spans="1:23" x14ac:dyDescent="0.2">
      <c r="F29" s="7"/>
      <c r="G29" s="7"/>
      <c r="H29" s="7"/>
      <c r="I29" s="25"/>
      <c r="K29" s="77" t="s">
        <v>539</v>
      </c>
      <c r="L29">
        <v>2</v>
      </c>
      <c r="R29" t="str">
        <f>"4 : 1"</f>
        <v>4 : 1</v>
      </c>
      <c r="S29">
        <v>2</v>
      </c>
      <c r="V29" t="str">
        <f>"4 : 1"</f>
        <v>4 : 1</v>
      </c>
      <c r="W29">
        <v>2</v>
      </c>
    </row>
    <row r="30" spans="1:23" x14ac:dyDescent="0.2">
      <c r="A30" s="111" t="s">
        <v>443</v>
      </c>
      <c r="B30" s="375">
        <f>1%*Vout*1000</f>
        <v>50</v>
      </c>
      <c r="C30" s="61" t="s">
        <v>149</v>
      </c>
      <c r="D30" s="112" t="s">
        <v>461</v>
      </c>
      <c r="F30" s="7"/>
      <c r="G30" s="7"/>
      <c r="H30" s="7"/>
      <c r="I30" s="25"/>
      <c r="K30" s="77" t="s">
        <v>540</v>
      </c>
      <c r="L30">
        <v>3</v>
      </c>
      <c r="R30" t="str">
        <f>"3 : 1"</f>
        <v>3 : 1</v>
      </c>
      <c r="S30">
        <v>3</v>
      </c>
      <c r="V30" t="str">
        <f>"3 : 1"</f>
        <v>3 : 1</v>
      </c>
      <c r="W30">
        <v>3</v>
      </c>
    </row>
    <row r="31" spans="1:23" x14ac:dyDescent="0.2">
      <c r="A31" s="111"/>
      <c r="B31" s="375"/>
      <c r="C31" s="61"/>
      <c r="D31" s="112"/>
      <c r="F31" s="7"/>
      <c r="G31" s="7"/>
      <c r="H31" s="7"/>
      <c r="I31" s="25"/>
      <c r="K31" s="77"/>
      <c r="R31" t="str">
        <f>"2.5 : 1"</f>
        <v>2.5 : 1</v>
      </c>
      <c r="S31">
        <v>4</v>
      </c>
      <c r="V31" t="str">
        <f>"2.5 : 1"</f>
        <v>2.5 : 1</v>
      </c>
      <c r="W31">
        <v>4</v>
      </c>
    </row>
    <row r="32" spans="1:23" x14ac:dyDescent="0.2">
      <c r="A32" s="111" t="s">
        <v>560</v>
      </c>
      <c r="B32" s="375">
        <f>1%*Vout2*1000</f>
        <v>50</v>
      </c>
      <c r="C32" s="61" t="s">
        <v>149</v>
      </c>
      <c r="D32" s="112" t="s">
        <v>559</v>
      </c>
      <c r="F32" s="7"/>
      <c r="G32" s="7"/>
      <c r="H32" s="7"/>
      <c r="I32" s="25"/>
      <c r="Q32" s="527"/>
      <c r="R32" t="str">
        <f>"2 : 1"</f>
        <v>2 : 1</v>
      </c>
      <c r="S32">
        <v>5</v>
      </c>
      <c r="V32" t="str">
        <f>"2 : 1"</f>
        <v>2 : 1</v>
      </c>
      <c r="W32">
        <v>5</v>
      </c>
    </row>
    <row r="33" spans="1:23" x14ac:dyDescent="0.2">
      <c r="A33" s="78"/>
      <c r="B33" s="375"/>
      <c r="C33" s="61"/>
      <c r="D33" s="112"/>
      <c r="F33" s="7"/>
      <c r="G33" s="7"/>
      <c r="H33" s="7"/>
      <c r="I33" s="25"/>
      <c r="Q33" s="527"/>
      <c r="R33" t="str">
        <f>"1.8 : 1"</f>
        <v>1.8 : 1</v>
      </c>
      <c r="S33">
        <v>6</v>
      </c>
      <c r="V33" t="str">
        <f>"1.8 : 1"</f>
        <v>1.8 : 1</v>
      </c>
      <c r="W33">
        <v>6</v>
      </c>
    </row>
    <row r="34" spans="1:23" x14ac:dyDescent="0.2">
      <c r="F34" s="7"/>
      <c r="G34" s="7"/>
      <c r="H34" s="7"/>
      <c r="I34" s="25"/>
      <c r="R34" t="str">
        <f>"1.5 : 1"</f>
        <v>1.5 : 1</v>
      </c>
      <c r="S34">
        <v>7</v>
      </c>
      <c r="V34" t="str">
        <f>"1.5 : 1"</f>
        <v>1.5 : 1</v>
      </c>
      <c r="W34">
        <v>7</v>
      </c>
    </row>
    <row r="35" spans="1:23" x14ac:dyDescent="0.2">
      <c r="F35" s="7"/>
      <c r="G35" s="7"/>
      <c r="H35" s="7"/>
      <c r="I35" s="25"/>
      <c r="R35" s="793" t="s">
        <v>856</v>
      </c>
      <c r="S35">
        <v>8</v>
      </c>
      <c r="V35" s="793" t="s">
        <v>856</v>
      </c>
      <c r="W35">
        <v>8</v>
      </c>
    </row>
    <row r="36" spans="1:23" x14ac:dyDescent="0.2">
      <c r="A36" s="111" t="s">
        <v>47</v>
      </c>
      <c r="B36" s="626">
        <v>0.9</v>
      </c>
      <c r="C36" s="61"/>
      <c r="D36" s="78" t="s">
        <v>175</v>
      </c>
      <c r="F36" s="7"/>
      <c r="G36" s="7"/>
      <c r="H36" s="7"/>
      <c r="I36" s="25"/>
      <c r="R36" t="str">
        <f>"1 : 1"</f>
        <v>1 : 1</v>
      </c>
      <c r="S36">
        <v>9</v>
      </c>
      <c r="V36" t="str">
        <f>"1 : 1"</f>
        <v>1 : 1</v>
      </c>
      <c r="W36">
        <v>9</v>
      </c>
    </row>
    <row r="37" spans="1:23" x14ac:dyDescent="0.2">
      <c r="A37" s="111"/>
      <c r="B37" s="626"/>
      <c r="C37" s="61"/>
      <c r="D37" s="78"/>
      <c r="F37" s="7"/>
      <c r="G37" s="7"/>
      <c r="H37" s="7"/>
      <c r="I37" s="25"/>
      <c r="R37" s="793" t="s">
        <v>857</v>
      </c>
      <c r="S37">
        <v>10</v>
      </c>
      <c r="V37" s="793" t="s">
        <v>857</v>
      </c>
      <c r="W37">
        <v>10</v>
      </c>
    </row>
    <row r="38" spans="1:23" x14ac:dyDescent="0.2">
      <c r="A38" s="111" t="s">
        <v>156</v>
      </c>
      <c r="B38" s="424">
        <f>Pout/Efficiency</f>
        <v>5.5555555555555554</v>
      </c>
      <c r="C38" s="61" t="s">
        <v>45</v>
      </c>
      <c r="D38" s="112" t="s">
        <v>462</v>
      </c>
      <c r="F38" s="7"/>
      <c r="G38" s="7"/>
      <c r="H38" s="7"/>
      <c r="I38" s="25"/>
      <c r="R38" t="str">
        <f>"1 : 1.5"</f>
        <v>1 : 1.5</v>
      </c>
      <c r="S38">
        <v>11</v>
      </c>
      <c r="V38" t="str">
        <f>"1 : 1.5"</f>
        <v>1 : 1.5</v>
      </c>
      <c r="W38">
        <v>11</v>
      </c>
    </row>
    <row r="39" spans="1:23" x14ac:dyDescent="0.2">
      <c r="A39" s="111"/>
      <c r="B39" s="424"/>
      <c r="C39" s="61"/>
      <c r="D39" s="112"/>
      <c r="F39" s="7"/>
      <c r="G39" s="7"/>
      <c r="H39" s="7"/>
      <c r="I39" s="25"/>
      <c r="R39" t="str">
        <f>"1 : 1.8"</f>
        <v>1 : 1.8</v>
      </c>
      <c r="S39">
        <v>12</v>
      </c>
      <c r="V39" t="str">
        <f>"1 : 1.8"</f>
        <v>1 : 1.8</v>
      </c>
      <c r="W39">
        <v>12</v>
      </c>
    </row>
    <row r="40" spans="1:23" x14ac:dyDescent="0.2">
      <c r="A40" s="111" t="s">
        <v>153</v>
      </c>
      <c r="B40" s="167">
        <f>Pin/VIN_min</f>
        <v>0.24154589371980675</v>
      </c>
      <c r="C40" s="61" t="s">
        <v>1</v>
      </c>
      <c r="D40" s="78"/>
      <c r="F40" s="7"/>
      <c r="G40" s="7"/>
      <c r="H40" s="7"/>
      <c r="I40" s="25"/>
      <c r="R40" t="str">
        <f>"1 : 2"</f>
        <v>1 : 2</v>
      </c>
      <c r="S40">
        <v>13</v>
      </c>
      <c r="V40" t="str">
        <f>"1 : 2"</f>
        <v>1 : 2</v>
      </c>
      <c r="W40">
        <v>13</v>
      </c>
    </row>
    <row r="41" spans="1:23" x14ac:dyDescent="0.2">
      <c r="A41" s="111"/>
      <c r="B41" s="167"/>
      <c r="C41" s="61"/>
      <c r="D41" s="78"/>
      <c r="F41" s="7"/>
      <c r="G41" s="7"/>
      <c r="H41" s="7"/>
      <c r="I41" s="25"/>
      <c r="R41" t="str">
        <f>"1 : 2.5"</f>
        <v>1 : 2.5</v>
      </c>
      <c r="S41">
        <v>14</v>
      </c>
      <c r="V41" t="str">
        <f>"1 : 2.5"</f>
        <v>1 : 2.5</v>
      </c>
      <c r="W41">
        <v>14</v>
      </c>
    </row>
    <row r="42" spans="1:23" x14ac:dyDescent="0.2">
      <c r="A42" s="111" t="s">
        <v>154</v>
      </c>
      <c r="B42" s="167">
        <f>Pin/VIN_nom</f>
        <v>0.23148148148148148</v>
      </c>
      <c r="C42" s="61" t="s">
        <v>1</v>
      </c>
      <c r="D42" s="112" t="s">
        <v>159</v>
      </c>
      <c r="F42" s="7"/>
      <c r="G42" s="7"/>
      <c r="H42" s="7"/>
      <c r="I42" s="25">
        <v>1</v>
      </c>
      <c r="K42" s="77"/>
      <c r="R42" t="str">
        <f>"1 : 3"</f>
        <v>1 : 3</v>
      </c>
      <c r="S42">
        <v>15</v>
      </c>
      <c r="V42" t="str">
        <f>"1 : 3"</f>
        <v>1 : 3</v>
      </c>
      <c r="W42">
        <v>15</v>
      </c>
    </row>
    <row r="43" spans="1:23" x14ac:dyDescent="0.2">
      <c r="A43" s="111" t="s">
        <v>155</v>
      </c>
      <c r="B43" s="167">
        <f>Pin/VIN_max</f>
        <v>0.22222222222222221</v>
      </c>
      <c r="C43" s="61" t="s">
        <v>1</v>
      </c>
      <c r="D43" s="78"/>
      <c r="F43" s="7"/>
      <c r="G43" s="7"/>
      <c r="H43" s="7"/>
      <c r="I43" s="25"/>
      <c r="R43" t="str">
        <f>"1 : 4"</f>
        <v>1 : 4</v>
      </c>
      <c r="S43">
        <v>16</v>
      </c>
      <c r="V43" t="str">
        <f>"1 : 4"</f>
        <v>1 : 4</v>
      </c>
      <c r="W43">
        <v>16</v>
      </c>
    </row>
    <row r="44" spans="1:23" x14ac:dyDescent="0.2">
      <c r="A44" s="111"/>
      <c r="B44" s="167"/>
      <c r="C44" s="61"/>
      <c r="D44" s="78"/>
      <c r="F44" s="7"/>
      <c r="G44" s="7"/>
      <c r="H44" s="7"/>
      <c r="I44" s="25"/>
      <c r="R44" t="str">
        <f>"1 : 5"</f>
        <v>1 : 5</v>
      </c>
      <c r="S44">
        <v>17</v>
      </c>
      <c r="V44" t="str">
        <f>"1 : 5"</f>
        <v>1 : 5</v>
      </c>
      <c r="W44">
        <v>17</v>
      </c>
    </row>
    <row r="45" spans="1:23" x14ac:dyDescent="0.2">
      <c r="A45" s="111" t="s">
        <v>620</v>
      </c>
      <c r="B45" s="376">
        <f>CHOOSE(MODE, 'Calculations - Single'!N110, 'Calculations - Dual'!O110+'Calculations - Dual'!P110)</f>
        <v>13.744455410225921</v>
      </c>
      <c r="C45" s="112" t="s">
        <v>45</v>
      </c>
      <c r="D45" s="78" t="b">
        <f>B45&lt;Pout_total</f>
        <v>0</v>
      </c>
      <c r="F45" s="7"/>
      <c r="G45" s="7"/>
      <c r="H45" s="7"/>
      <c r="I45" s="25"/>
      <c r="Q45" s="572" t="s">
        <v>395</v>
      </c>
      <c r="R45" s="467" t="str">
        <f>CHOOSE(Turns_Ratio, "5 : 1", "4 : 1", "3 : 1", "2.5 : 1", "2 : 1", "1.8 : 1", "1.5 : 1", "1.2 : 1", "1 : 1", "1 : 1.2", "1 : 1.5", "1 : 1.8", "1 : 2",  "1 : 2.5","1 : 3", "1 : 4", "1 : 5")</f>
        <v>2 : 1</v>
      </c>
      <c r="S45" s="3">
        <v>5</v>
      </c>
      <c r="U45" s="572" t="s">
        <v>584</v>
      </c>
      <c r="V45" s="453" t="str">
        <f>CHOOSE(Turns_Ratio2, "5 : 1", "4 : 1", "3 : 1", "2.5 : 1", "2 : 1", "1.8 : 1","1.5 : 1", "1.2 : 1", "1 : 1", "1 : 1.2", "1 : 1.5", "1 : 2",  "1 : 2.5","1 : 3", "1 : 4", "1 : 5")</f>
        <v>1 : 1</v>
      </c>
      <c r="W45" s="3">
        <v>9</v>
      </c>
    </row>
    <row r="46" spans="1:23" x14ac:dyDescent="0.2">
      <c r="A46" s="111" t="s">
        <v>807</v>
      </c>
      <c r="B46" s="528">
        <f>CHOOSE(MODE, 'Calculations - Single'!N111, 'Calculations - Dual'!O111+'Calculations - Dual'!P111)/Vout</f>
        <v>2.7488910820451844</v>
      </c>
      <c r="C46" s="112" t="s">
        <v>1</v>
      </c>
      <c r="D46" s="78"/>
      <c r="F46" s="7"/>
      <c r="G46" s="7"/>
      <c r="H46" s="7"/>
      <c r="I46" s="25"/>
      <c r="Q46" s="572"/>
      <c r="R46" s="467"/>
      <c r="S46" s="3"/>
      <c r="U46" s="572"/>
      <c r="V46" s="453"/>
      <c r="W46" s="3"/>
    </row>
    <row r="47" spans="1:23" x14ac:dyDescent="0.2">
      <c r="A47" s="111" t="s">
        <v>435</v>
      </c>
      <c r="B47" s="134">
        <v>350000</v>
      </c>
      <c r="C47" s="112" t="s">
        <v>8</v>
      </c>
      <c r="D47" s="78" t="s">
        <v>579</v>
      </c>
      <c r="F47" s="7"/>
      <c r="G47" s="7"/>
      <c r="H47" s="7"/>
      <c r="I47" s="25"/>
    </row>
    <row r="48" spans="1:23" x14ac:dyDescent="0.2">
      <c r="A48" s="26" t="s">
        <v>18</v>
      </c>
      <c r="B48" s="27">
        <v>1.21</v>
      </c>
      <c r="C48" s="7" t="s">
        <v>0</v>
      </c>
      <c r="D48" s="78" t="s">
        <v>580</v>
      </c>
      <c r="F48" s="7"/>
      <c r="G48" s="7"/>
      <c r="H48" s="7"/>
      <c r="I48" s="25"/>
      <c r="Q48" s="77" t="s">
        <v>454</v>
      </c>
      <c r="R48" s="467" t="str">
        <f>CHOOSE(Turns_Ratio, "5", "4 ", "3", "2.5", "2", "1.8", "1.5", "1.2", "1", "0.833",  "0.667", "0.556", "0.5", "0.4", "0.33", "0.25", "0.2")</f>
        <v>2</v>
      </c>
    </row>
    <row r="49" spans="1:23" x14ac:dyDescent="0.2">
      <c r="A49" s="111" t="s">
        <v>393</v>
      </c>
      <c r="B49" s="168">
        <f>'LM(2)518x PSR flyback converter'!E28*1000</f>
        <v>107000</v>
      </c>
      <c r="C49" s="114" t="s">
        <v>45</v>
      </c>
      <c r="D49" s="112" t="s">
        <v>581</v>
      </c>
      <c r="F49" s="7"/>
      <c r="G49" s="7"/>
      <c r="H49" s="7"/>
      <c r="I49" s="25"/>
      <c r="Q49" s="77" t="s">
        <v>503</v>
      </c>
      <c r="R49" s="467" t="str">
        <f>CHOOSE(Turns_Ratio, "5", "4 ", "3", "2.5", "2", "1.8", "1.5", "1.2", "1", "0.833",  "0.667","0.556", "0.5", "0.4", "0.333", "0.25", "0.2")</f>
        <v>2</v>
      </c>
      <c r="V49" s="77" t="s">
        <v>588</v>
      </c>
      <c r="W49" s="162" t="str">
        <f>CHOOSE(Turns_Ratio, "1", "1", "1", "1", "1", "1", "1", "1", "1", "1.2", "1.5", "1.8",  "2", "2.5", "3", "4", "5")</f>
        <v>1</v>
      </c>
    </row>
    <row r="50" spans="1:23" x14ac:dyDescent="0.2">
      <c r="A50" s="111" t="s">
        <v>786</v>
      </c>
      <c r="B50" s="375">
        <f>VIN_max+Nps*(Vout+Vfwd2)</f>
        <v>35.799999999999997</v>
      </c>
      <c r="C50" s="78" t="s">
        <v>0</v>
      </c>
      <c r="D50" s="112" t="b">
        <f>B50&gt;F50</f>
        <v>0</v>
      </c>
      <c r="F50" s="7">
        <f>CHOOSE(VARIANT, 90, 90, 60, 60, 60)</f>
        <v>60</v>
      </c>
      <c r="G50" s="7"/>
      <c r="H50" s="7"/>
      <c r="I50" s="25"/>
      <c r="K50" s="77" t="s">
        <v>397</v>
      </c>
      <c r="Q50" s="77" t="s">
        <v>587</v>
      </c>
      <c r="R50" s="637">
        <f>ABS((Vout2+Vfwd1)/(Vout+Vfwd1))</f>
        <v>1</v>
      </c>
      <c r="V50" s="77" t="s">
        <v>587</v>
      </c>
      <c r="W50" s="623">
        <f>Nsec1sec2</f>
        <v>1</v>
      </c>
    </row>
    <row r="51" spans="1:23" ht="15.75" x14ac:dyDescent="0.3">
      <c r="A51" s="111" t="s">
        <v>394</v>
      </c>
      <c r="B51" s="528">
        <v>0.1</v>
      </c>
      <c r="C51" s="78" t="s">
        <v>45</v>
      </c>
      <c r="D51" s="112" t="s">
        <v>582</v>
      </c>
      <c r="F51" s="607" t="s">
        <v>583</v>
      </c>
      <c r="G51" s="7"/>
      <c r="H51" s="7"/>
      <c r="I51" s="25"/>
      <c r="Q51" s="483" t="s">
        <v>504</v>
      </c>
      <c r="R51" s="621">
        <f>Nps/Nsec1sec2</f>
        <v>2</v>
      </c>
      <c r="V51" s="3"/>
      <c r="W51" s="622">
        <f>W49*W50</f>
        <v>1</v>
      </c>
    </row>
    <row r="52" spans="1:23" ht="13.5" thickBot="1" x14ac:dyDescent="0.25">
      <c r="A52" s="28"/>
      <c r="B52" s="29"/>
      <c r="C52" s="81"/>
      <c r="D52" s="29"/>
      <c r="E52" s="29"/>
      <c r="F52" s="29"/>
      <c r="G52" s="29"/>
      <c r="H52" s="29"/>
      <c r="I52" s="30"/>
      <c r="K52" s="449" t="str">
        <f>"SCH_"&amp;B59&amp;"_"&amp;F64&amp;"_"&amp;I64&amp;"_"&amp;F58</f>
        <v>SCH_SINGLE_UVLOint_SSadj_TCyes</v>
      </c>
      <c r="R52" s="372">
        <f>ROUND(Nsec1sec2,1)</f>
        <v>1</v>
      </c>
      <c r="V52" s="162" t="s">
        <v>589</v>
      </c>
      <c r="W52" s="612" t="str">
        <f>CHOOSE(MODE, R45, R45&amp;" : "&amp;ROUND(W51,2))</f>
        <v>2 : 1</v>
      </c>
    </row>
    <row r="53" spans="1:23" x14ac:dyDescent="0.2">
      <c r="A53" s="7"/>
      <c r="B53" s="7"/>
      <c r="C53" s="40"/>
      <c r="D53" s="7"/>
      <c r="E53" s="7"/>
      <c r="F53" s="7"/>
      <c r="G53" s="7"/>
      <c r="H53" s="7"/>
      <c r="I53" s="7"/>
    </row>
    <row r="54" spans="1:23" ht="16.5" thickBot="1" x14ac:dyDescent="0.3">
      <c r="A54" s="51" t="s">
        <v>570</v>
      </c>
      <c r="B54" s="7"/>
      <c r="C54" s="40"/>
      <c r="D54" s="7"/>
      <c r="E54" s="7"/>
      <c r="F54" s="7"/>
      <c r="G54" s="7"/>
      <c r="H54" s="7"/>
      <c r="I54" s="7"/>
    </row>
    <row r="55" spans="1:23" ht="15.75" x14ac:dyDescent="0.25">
      <c r="A55" s="384"/>
      <c r="B55" s="385"/>
      <c r="C55" s="386"/>
      <c r="D55" s="385"/>
      <c r="E55" s="385"/>
      <c r="F55" s="385"/>
      <c r="G55" s="385"/>
      <c r="H55" s="385"/>
      <c r="I55" s="441"/>
      <c r="J55" s="441"/>
      <c r="K55" s="441"/>
      <c r="L55" s="441"/>
      <c r="M55" s="441"/>
      <c r="N55" s="441"/>
      <c r="O55" s="24"/>
    </row>
    <row r="56" spans="1:23" x14ac:dyDescent="0.2">
      <c r="A56" s="381" t="s">
        <v>363</v>
      </c>
      <c r="B56" s="78" t="s">
        <v>364</v>
      </c>
      <c r="C56" s="442">
        <v>1</v>
      </c>
      <c r="D56" s="7"/>
      <c r="E56" s="381" t="s">
        <v>381</v>
      </c>
      <c r="F56" s="78" t="s">
        <v>366</v>
      </c>
      <c r="G56" s="165" t="b">
        <v>1</v>
      </c>
      <c r="I56" s="159" t="s">
        <v>301</v>
      </c>
      <c r="J56" s="165">
        <v>1</v>
      </c>
      <c r="K56" t="str">
        <f>B59&amp;", "&amp;F58&amp;", "&amp;I58&amp;", "&amp;F64&amp;", "&amp;I64</f>
        <v>SINGLE, TCyes, IlimRes, UVLOint, SSadj</v>
      </c>
      <c r="O56" s="24"/>
      <c r="Q56" s="399" t="s">
        <v>334</v>
      </c>
      <c r="R56" s="3" t="s">
        <v>329</v>
      </c>
      <c r="S56" s="372">
        <v>1</v>
      </c>
    </row>
    <row r="57" spans="1:23" x14ac:dyDescent="0.2">
      <c r="A57" s="380"/>
      <c r="B57" s="78" t="s">
        <v>365</v>
      </c>
      <c r="C57" s="442">
        <v>2</v>
      </c>
      <c r="D57" s="7"/>
      <c r="E57" s="37"/>
      <c r="F57" s="78" t="s">
        <v>367</v>
      </c>
      <c r="G57" s="165" t="b">
        <v>0</v>
      </c>
      <c r="I57" s="159" t="s">
        <v>302</v>
      </c>
      <c r="J57" s="165">
        <v>2</v>
      </c>
      <c r="K57" t="str">
        <f>C59&amp;", "&amp;G58&amp;", "&amp;J58&amp;", "&amp;G64&amp;", "&amp;J64</f>
        <v>1, 1, 2, 2, 1</v>
      </c>
      <c r="O57" s="24"/>
      <c r="Q57" s="399" t="s">
        <v>336</v>
      </c>
      <c r="R57" s="3" t="s">
        <v>330</v>
      </c>
      <c r="S57" s="372">
        <v>2</v>
      </c>
    </row>
    <row r="58" spans="1:23" x14ac:dyDescent="0.2">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11221</v>
      </c>
      <c r="O58" s="24"/>
      <c r="Q58" s="399" t="s">
        <v>337</v>
      </c>
      <c r="R58" s="3" t="s">
        <v>331</v>
      </c>
      <c r="S58" s="372">
        <v>3</v>
      </c>
    </row>
    <row r="59" spans="1:23" x14ac:dyDescent="0.2">
      <c r="A59" s="445" t="s">
        <v>285</v>
      </c>
      <c r="B59" s="443" t="str">
        <f>CHOOSE(C59,"SINGLE", IF(Vout2_actual&gt;0, "DUAL", "BIPOLAR"))</f>
        <v>SINGLE</v>
      </c>
      <c r="C59" s="382">
        <v>1</v>
      </c>
      <c r="D59" s="7"/>
      <c r="E59" s="7"/>
      <c r="G59" s="79">
        <f>TC</f>
        <v>1</v>
      </c>
      <c r="I59" s="378"/>
      <c r="J59" s="7"/>
      <c r="O59" s="24"/>
      <c r="Q59" s="399" t="s">
        <v>335</v>
      </c>
      <c r="R59" s="3" t="s">
        <v>332</v>
      </c>
      <c r="S59" s="372">
        <v>4</v>
      </c>
    </row>
    <row r="60" spans="1:23" x14ac:dyDescent="0.2">
      <c r="A60" s="380"/>
      <c r="B60" s="3" t="b">
        <f>CHOOSE(C59, TRUE, FALSE)</f>
        <v>1</v>
      </c>
      <c r="C60" s="79" t="str">
        <f>CHOOSE(C59,"1", IF(Vout2&gt;0, "2", "3"))</f>
        <v>1</v>
      </c>
      <c r="O60" s="24"/>
      <c r="Q60" s="399" t="s">
        <v>339</v>
      </c>
      <c r="R60" s="3" t="s">
        <v>338</v>
      </c>
      <c r="S60" s="372">
        <v>5</v>
      </c>
    </row>
    <row r="61" spans="1:23" x14ac:dyDescent="0.2">
      <c r="O61" s="24"/>
      <c r="Q61" s="447" t="s">
        <v>333</v>
      </c>
      <c r="R61" s="453" t="str">
        <f>CHOOSE(S61,"6.3V","10V","16V","25V","50V")</f>
        <v>6.3V</v>
      </c>
      <c r="S61" s="467">
        <f>IF(Vout&lt;=5, 1, IF(Vout&lt;=8, 2, IF(Vout&lt;=12, 3, IF(Vout&lt;=20, 4, 5))))</f>
        <v>1</v>
      </c>
    </row>
    <row r="62" spans="1:23" x14ac:dyDescent="0.2">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2">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2">
      <c r="A64" s="446" t="s">
        <v>286</v>
      </c>
      <c r="B64" s="443" t="str">
        <f>CHOOSE(C64, "YES", "NO")</f>
        <v>YES</v>
      </c>
      <c r="C64" s="382">
        <v>1</v>
      </c>
      <c r="D64" s="7"/>
      <c r="E64" s="447" t="s">
        <v>305</v>
      </c>
      <c r="F64" s="444" t="str">
        <f>CHOOSE(G64, "UVLOadj", "UVLOint")</f>
        <v>UVLOint</v>
      </c>
      <c r="G64" s="378">
        <v>2</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2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2">
      <c r="A66" s="7"/>
      <c r="B66" s="7" t="b">
        <f>(CONFIG="2")</f>
        <v>0</v>
      </c>
      <c r="C66" s="40" t="str">
        <f>CONFIG</f>
        <v>1</v>
      </c>
      <c r="D66" s="7"/>
      <c r="E66" s="7"/>
      <c r="F66" s="7"/>
      <c r="G66" s="7"/>
      <c r="H66" s="7"/>
      <c r="I66" s="7"/>
      <c r="R66" s="466" t="s">
        <v>343</v>
      </c>
      <c r="S66" s="372">
        <v>3</v>
      </c>
      <c r="T66" s="77" t="s">
        <v>353</v>
      </c>
      <c r="U66" s="469">
        <v>2.5</v>
      </c>
    </row>
    <row r="67" spans="1:26" ht="16.5" thickBot="1" x14ac:dyDescent="0.3">
      <c r="A67" s="51" t="s">
        <v>571</v>
      </c>
      <c r="B67" s="40"/>
      <c r="C67" s="40"/>
      <c r="E67" s="7"/>
      <c r="F67" s="7"/>
      <c r="G67" s="7"/>
      <c r="H67" s="7"/>
      <c r="I67" s="7"/>
      <c r="R67" s="466" t="s">
        <v>344</v>
      </c>
      <c r="S67" s="372">
        <v>4</v>
      </c>
      <c r="T67" s="77" t="s">
        <v>351</v>
      </c>
      <c r="U67" s="469">
        <v>5.0999999999999996</v>
      </c>
    </row>
    <row r="68" spans="1:26" x14ac:dyDescent="0.2">
      <c r="A68" s="110"/>
      <c r="B68" s="605"/>
      <c r="C68" s="606"/>
      <c r="D68" s="157"/>
      <c r="E68" s="80"/>
      <c r="F68" s="31"/>
      <c r="G68" s="31"/>
      <c r="H68" s="31"/>
      <c r="I68" s="32">
        <v>1</v>
      </c>
      <c r="R68" s="466" t="s">
        <v>345</v>
      </c>
      <c r="S68" s="372">
        <v>5</v>
      </c>
      <c r="T68" s="77" t="s">
        <v>354</v>
      </c>
      <c r="U68" s="469">
        <v>8</v>
      </c>
    </row>
    <row r="69" spans="1:26" x14ac:dyDescent="0.2">
      <c r="A69" s="111" t="s">
        <v>150</v>
      </c>
      <c r="B69" s="166">
        <f>Nps*(Vout+Vfwd2)/(VIN_min+Nps*(Vout+Vfwd2))</f>
        <v>0.31952662721893493</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2">
      <c r="A70" s="111" t="s">
        <v>157</v>
      </c>
      <c r="B70" s="166">
        <f>Nps*(Vout+Vfwd1)/(VIN_nom+Nps*(Vout+Vfwd1))</f>
        <v>0.30715935334872979</v>
      </c>
      <c r="C70" s="7"/>
      <c r="F70" s="7"/>
      <c r="G70" s="7"/>
      <c r="H70" s="7"/>
      <c r="I70" s="25"/>
    </row>
    <row r="71" spans="1:26" x14ac:dyDescent="0.2">
      <c r="A71" s="111" t="s">
        <v>151</v>
      </c>
      <c r="B71" s="166">
        <f>Nps*(Vout+Vfwd1)/(VIN_max+Nps*(Vout+Vfwd1))</f>
        <v>0.2985409652076319</v>
      </c>
      <c r="C71" s="7"/>
      <c r="E71" s="78"/>
      <c r="F71" s="7"/>
      <c r="G71" s="7"/>
      <c r="H71" s="7"/>
      <c r="I71" s="25"/>
    </row>
    <row r="72" spans="1:26" x14ac:dyDescent="0.2">
      <c r="A72" s="77"/>
      <c r="B72" s="7"/>
      <c r="C72" s="7"/>
      <c r="D72" s="7"/>
      <c r="E72" s="78"/>
      <c r="F72" s="7"/>
      <c r="G72" s="7"/>
      <c r="H72" s="7"/>
      <c r="I72" s="25"/>
      <c r="R72" s="3" t="s">
        <v>645</v>
      </c>
      <c r="S72" s="3"/>
      <c r="T72" s="3" t="s">
        <v>116</v>
      </c>
      <c r="U72" s="3" t="s">
        <v>646</v>
      </c>
      <c r="W72" s="3" t="s">
        <v>645</v>
      </c>
      <c r="X72" s="3"/>
      <c r="Y72" s="3" t="s">
        <v>116</v>
      </c>
      <c r="Z72" s="3" t="s">
        <v>646</v>
      </c>
    </row>
    <row r="73" spans="1:26" x14ac:dyDescent="0.2">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2">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2">
      <c r="A75" s="111"/>
      <c r="B75" s="643"/>
      <c r="C75" s="78"/>
      <c r="D75" s="78"/>
      <c r="F75" s="7"/>
      <c r="G75" s="7"/>
      <c r="H75" s="7"/>
      <c r="I75" s="25"/>
      <c r="R75" s="77" t="s">
        <v>624</v>
      </c>
      <c r="S75" s="372">
        <v>3</v>
      </c>
      <c r="T75" s="483" t="s">
        <v>632</v>
      </c>
      <c r="U75" s="469">
        <v>64</v>
      </c>
      <c r="W75" s="77" t="s">
        <v>643</v>
      </c>
      <c r="X75" s="372">
        <v>3</v>
      </c>
      <c r="Y75" s="77" t="s">
        <v>650</v>
      </c>
      <c r="Z75">
        <v>6.5</v>
      </c>
    </row>
    <row r="76" spans="1:26" x14ac:dyDescent="0.2">
      <c r="A76" s="77"/>
      <c r="B76" s="11"/>
      <c r="C76"/>
      <c r="I76" s="25">
        <v>1</v>
      </c>
      <c r="R76" s="77" t="s">
        <v>625</v>
      </c>
      <c r="S76" s="372">
        <v>4</v>
      </c>
      <c r="T76" s="483" t="s">
        <v>631</v>
      </c>
      <c r="U76" s="469">
        <v>81</v>
      </c>
      <c r="W76" s="77" t="s">
        <v>644</v>
      </c>
      <c r="X76" s="372">
        <v>4</v>
      </c>
      <c r="Y76" s="77" t="s">
        <v>649</v>
      </c>
      <c r="Z76">
        <v>12.5</v>
      </c>
    </row>
    <row r="77" spans="1:26" x14ac:dyDescent="0.2">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2">
      <c r="A78" s="112"/>
      <c r="B78" s="644"/>
      <c r="C78" s="7"/>
      <c r="D78" s="78">
        <f>Isw_min</f>
        <v>0.82</v>
      </c>
      <c r="E78" s="78"/>
      <c r="F78" s="7"/>
      <c r="G78" s="7"/>
      <c r="H78" s="7"/>
      <c r="I78" s="25"/>
      <c r="R78" s="77" t="s">
        <v>627</v>
      </c>
      <c r="S78" s="372">
        <v>6</v>
      </c>
      <c r="T78" s="483" t="s">
        <v>629</v>
      </c>
      <c r="U78" s="469">
        <v>120</v>
      </c>
      <c r="W78" s="447" t="s">
        <v>647</v>
      </c>
    </row>
    <row r="79" spans="1:26" x14ac:dyDescent="0.2">
      <c r="A79" s="112"/>
      <c r="B79" s="644"/>
      <c r="C79" s="78"/>
      <c r="D79" s="78"/>
      <c r="E79" s="78"/>
      <c r="F79" s="7"/>
      <c r="G79" s="7"/>
      <c r="H79" s="7"/>
      <c r="I79" s="25"/>
      <c r="R79" s="77" t="s">
        <v>628</v>
      </c>
      <c r="S79" s="372">
        <v>7</v>
      </c>
      <c r="T79" s="483" t="s">
        <v>635</v>
      </c>
      <c r="U79" s="469">
        <v>143</v>
      </c>
    </row>
    <row r="80" spans="1:26" ht="15.75" x14ac:dyDescent="0.3">
      <c r="A80" s="77"/>
      <c r="B80" s="7"/>
      <c r="C80" s="78"/>
      <c r="D80" s="7"/>
      <c r="E80" s="78"/>
      <c r="F80" s="7"/>
      <c r="G80" s="7"/>
      <c r="H80" s="7"/>
      <c r="I80" s="25"/>
      <c r="K80" s="77" t="s">
        <v>321</v>
      </c>
      <c r="Q80" s="447" t="s">
        <v>460</v>
      </c>
    </row>
    <row r="81" spans="1:9" x14ac:dyDescent="0.2">
      <c r="A81" s="111" t="s">
        <v>695</v>
      </c>
      <c r="B81" s="42">
        <f>'LM(2)518x PSR flyback converter'!L7/1000000</f>
        <v>6.9999999999999999E-6</v>
      </c>
      <c r="C81" s="7" t="s">
        <v>11</v>
      </c>
      <c r="D81" s="78" t="s">
        <v>459</v>
      </c>
      <c r="F81" s="7"/>
      <c r="G81" s="7"/>
      <c r="H81" s="7"/>
      <c r="I81" s="25"/>
    </row>
    <row r="82" spans="1:9" x14ac:dyDescent="0.2">
      <c r="A82" s="111" t="s">
        <v>677</v>
      </c>
      <c r="B82" s="134">
        <f>'LM(2)518x PSR flyback converter'!L11</f>
        <v>100</v>
      </c>
      <c r="C82" s="7" t="s">
        <v>678</v>
      </c>
      <c r="D82" s="78"/>
      <c r="F82" s="7"/>
      <c r="G82" s="7"/>
      <c r="H82" s="7"/>
      <c r="I82" s="25"/>
    </row>
    <row r="83" spans="1:9" x14ac:dyDescent="0.2">
      <c r="A83" s="111" t="s">
        <v>392</v>
      </c>
      <c r="B83" s="10">
        <f>'LM(2)518x PSR flyback converter'!L8/1000</f>
        <v>0.1</v>
      </c>
      <c r="C83" s="114" t="s">
        <v>45</v>
      </c>
      <c r="D83" s="78" t="s">
        <v>457</v>
      </c>
      <c r="F83" s="7"/>
      <c r="G83" s="7"/>
      <c r="H83" s="7"/>
      <c r="I83" s="25"/>
    </row>
    <row r="84" spans="1:9" x14ac:dyDescent="0.2">
      <c r="A84" s="111" t="s">
        <v>455</v>
      </c>
      <c r="B84" s="10">
        <f>'LM(2)518x PSR flyback converter'!L9/1000</f>
        <v>0.03</v>
      </c>
      <c r="C84" s="114" t="s">
        <v>45</v>
      </c>
      <c r="D84" s="78" t="s">
        <v>458</v>
      </c>
      <c r="F84" s="7"/>
      <c r="G84" s="7"/>
      <c r="H84" s="7"/>
      <c r="I84" s="25">
        <v>2</v>
      </c>
    </row>
    <row r="85" spans="1:9" x14ac:dyDescent="0.2">
      <c r="A85" s="111" t="s">
        <v>456</v>
      </c>
      <c r="B85" s="10">
        <f>'LM(2)518x PSR flyback converter'!L10/1000</f>
        <v>0.05</v>
      </c>
      <c r="C85" s="114" t="s">
        <v>45</v>
      </c>
      <c r="D85" s="78" t="s">
        <v>553</v>
      </c>
      <c r="E85" s="78"/>
      <c r="F85" s="7"/>
      <c r="G85" s="7"/>
      <c r="H85" s="7"/>
      <c r="I85" s="25">
        <v>1</v>
      </c>
    </row>
    <row r="86" spans="1:9" x14ac:dyDescent="0.2">
      <c r="A86" s="111"/>
      <c r="B86" s="7"/>
      <c r="C86" s="7"/>
      <c r="D86" s="7"/>
      <c r="E86" s="7"/>
      <c r="F86" s="7"/>
      <c r="G86" s="7"/>
      <c r="H86" s="7"/>
      <c r="I86" s="25"/>
    </row>
    <row r="87" spans="1:9" ht="15.75" customHeight="1" x14ac:dyDescent="0.2">
      <c r="A87" s="78" t="s">
        <v>552</v>
      </c>
      <c r="B87" s="195">
        <v>100</v>
      </c>
      <c r="C87" s="112" t="s">
        <v>102</v>
      </c>
      <c r="D87" s="78"/>
      <c r="E87" s="7"/>
      <c r="F87" s="7"/>
      <c r="H87" s="7"/>
      <c r="I87" s="25"/>
    </row>
    <row r="88" spans="1:9" x14ac:dyDescent="0.2">
      <c r="A88" s="111" t="s">
        <v>549</v>
      </c>
      <c r="B88" s="187">
        <f>Rdcr_pri*(1+0.0039*(B87-25))</f>
        <v>0.12925</v>
      </c>
      <c r="C88" s="114" t="s">
        <v>45</v>
      </c>
      <c r="D88" s="7"/>
      <c r="H88" s="7"/>
      <c r="I88" s="25"/>
    </row>
    <row r="89" spans="1:9" x14ac:dyDescent="0.2">
      <c r="A89" s="111" t="s">
        <v>550</v>
      </c>
      <c r="B89" s="187">
        <f>Rdcr_sec*(1+0.0039*(B87-25))</f>
        <v>3.8774999999999997E-2</v>
      </c>
      <c r="C89" s="114" t="s">
        <v>45</v>
      </c>
      <c r="D89" s="7"/>
      <c r="H89" s="7"/>
      <c r="I89" s="25"/>
    </row>
    <row r="90" spans="1:9" x14ac:dyDescent="0.2">
      <c r="A90" s="111" t="s">
        <v>551</v>
      </c>
      <c r="B90" s="187">
        <f>Rdcr_sec2*(1+0.0039*(B87-25))</f>
        <v>6.4625000000000002E-2</v>
      </c>
      <c r="C90" s="114" t="s">
        <v>45</v>
      </c>
      <c r="D90" s="7"/>
      <c r="H90" s="7"/>
      <c r="I90" s="25"/>
    </row>
    <row r="91" spans="1:9" x14ac:dyDescent="0.2">
      <c r="A91" s="112" t="s">
        <v>805</v>
      </c>
      <c r="B91">
        <f>CHOOSE(VARIANT, 450, 375, 450, 375, 425)</f>
        <v>425</v>
      </c>
      <c r="C91" s="3" t="s">
        <v>32</v>
      </c>
      <c r="I91" s="25"/>
    </row>
    <row r="92" spans="1:9" x14ac:dyDescent="0.2">
      <c r="A92" t="s">
        <v>676</v>
      </c>
      <c r="B92" s="747">
        <f>(Vout+Vfwd1)*Nps*toff_max*0.000000001/Isw_min*1000000</f>
        <v>5.5146341463414643</v>
      </c>
      <c r="C92" s="3" t="s">
        <v>806</v>
      </c>
      <c r="I92" s="25"/>
    </row>
    <row r="93" spans="1:9" ht="13.5" thickBot="1" x14ac:dyDescent="0.25">
      <c r="A93" s="170" t="s">
        <v>815</v>
      </c>
      <c r="B93" s="761">
        <f>CHOOSE(VARIANT, 2, 1, 2, 3, 5)</f>
        <v>5</v>
      </c>
      <c r="C93" s="81" t="s">
        <v>1</v>
      </c>
      <c r="D93" s="29"/>
      <c r="E93" s="29"/>
      <c r="F93" s="29"/>
      <c r="G93" s="29"/>
      <c r="H93" s="29"/>
      <c r="I93" s="30"/>
    </row>
    <row r="94" spans="1:9" x14ac:dyDescent="0.2">
      <c r="A94" s="40"/>
      <c r="B94" s="39"/>
      <c r="C94" s="39"/>
      <c r="D94" s="7"/>
      <c r="E94" s="7"/>
      <c r="F94" s="7"/>
      <c r="G94" s="7"/>
      <c r="H94" s="7"/>
      <c r="I94" s="7"/>
    </row>
    <row r="96" spans="1:9" ht="16.5" thickBot="1" x14ac:dyDescent="0.3">
      <c r="A96" s="51" t="s">
        <v>572</v>
      </c>
      <c r="B96" s="7"/>
      <c r="D96" s="40"/>
      <c r="E96" s="7"/>
      <c r="F96" s="7"/>
      <c r="G96" s="7"/>
      <c r="H96" s="7"/>
      <c r="I96" s="7"/>
    </row>
    <row r="97" spans="1:12" x14ac:dyDescent="0.2">
      <c r="A97" s="110" t="s">
        <v>164</v>
      </c>
      <c r="B97" s="423"/>
      <c r="C97" s="169" t="s">
        <v>1</v>
      </c>
      <c r="D97" s="80" t="s">
        <v>163</v>
      </c>
      <c r="E97" s="31"/>
      <c r="F97" s="31"/>
      <c r="G97" s="31"/>
      <c r="H97" s="31"/>
      <c r="I97" s="32"/>
      <c r="L97" s="5"/>
    </row>
    <row r="98" spans="1:12" x14ac:dyDescent="0.2">
      <c r="A98" s="111" t="s">
        <v>165</v>
      </c>
      <c r="B98" s="424"/>
      <c r="C98" s="112" t="s">
        <v>1</v>
      </c>
      <c r="D98" s="7"/>
      <c r="E98" s="78"/>
      <c r="F98" s="7"/>
      <c r="G98" s="7"/>
      <c r="H98" s="7"/>
      <c r="I98" s="25"/>
      <c r="L98" s="5"/>
    </row>
    <row r="99" spans="1:12" x14ac:dyDescent="0.2">
      <c r="A99" s="111" t="s">
        <v>166</v>
      </c>
      <c r="B99" s="424"/>
      <c r="C99" s="112" t="s">
        <v>1</v>
      </c>
      <c r="D99" s="7"/>
      <c r="E99" s="78"/>
      <c r="F99" s="7"/>
      <c r="G99" s="7"/>
      <c r="H99" s="7"/>
      <c r="I99" s="25"/>
      <c r="L99" s="5"/>
    </row>
    <row r="100" spans="1:12" x14ac:dyDescent="0.2">
      <c r="A100" s="111"/>
      <c r="B100" s="171"/>
      <c r="C100" s="112"/>
      <c r="D100" s="7"/>
      <c r="E100" s="78"/>
      <c r="F100" s="7"/>
      <c r="G100" s="7"/>
      <c r="H100" s="7"/>
      <c r="I100" s="25"/>
      <c r="L100" s="5"/>
    </row>
    <row r="101" spans="1:12" x14ac:dyDescent="0.2">
      <c r="A101" s="111" t="s">
        <v>174</v>
      </c>
      <c r="B101" s="559">
        <f>Vout_ripple</f>
        <v>50</v>
      </c>
      <c r="C101" s="112" t="s">
        <v>149</v>
      </c>
      <c r="D101" s="78" t="s">
        <v>608</v>
      </c>
      <c r="F101" s="7"/>
      <c r="G101" s="7"/>
      <c r="H101" s="7"/>
      <c r="I101" s="25"/>
      <c r="L101" s="5"/>
    </row>
    <row r="102" spans="1:12" x14ac:dyDescent="0.2">
      <c r="A102" s="505" t="s">
        <v>12</v>
      </c>
      <c r="B102" s="745">
        <f>MAX(4.7, CHOOSE(MODE, 'Calculations - Single'!BA212, 'Calculations - Dual'!AW105))</f>
        <v>101.93868054563885</v>
      </c>
      <c r="C102" s="205" t="s">
        <v>97</v>
      </c>
      <c r="D102" s="78" t="s">
        <v>607</v>
      </c>
      <c r="E102" s="78"/>
      <c r="F102" s="7"/>
      <c r="G102" s="7"/>
      <c r="H102" s="7"/>
      <c r="I102" s="25"/>
    </row>
    <row r="103" spans="1:12" x14ac:dyDescent="0.2">
      <c r="A103" s="111" t="s">
        <v>14</v>
      </c>
      <c r="B103" s="602">
        <f>'LM(2)518x PSR flyback converter'!E22</f>
        <v>100</v>
      </c>
      <c r="C103" s="205" t="s">
        <v>97</v>
      </c>
      <c r="D103" s="78" t="s">
        <v>167</v>
      </c>
      <c r="F103" s="7"/>
      <c r="G103" s="7"/>
      <c r="H103" s="7"/>
      <c r="I103" s="25"/>
    </row>
    <row r="104" spans="1:12" x14ac:dyDescent="0.2">
      <c r="A104" s="204" t="s">
        <v>181</v>
      </c>
      <c r="B104" s="560">
        <f>(Vripple1_spec-Iout*B106/Cout*1000)/Iout</f>
        <v>43.593020780738442</v>
      </c>
      <c r="C104" s="114" t="s">
        <v>258</v>
      </c>
      <c r="D104" s="78" t="s">
        <v>107</v>
      </c>
      <c r="F104" s="7"/>
      <c r="G104" s="7"/>
      <c r="H104" s="7"/>
      <c r="I104" s="25"/>
    </row>
    <row r="105" spans="1:12" x14ac:dyDescent="0.2">
      <c r="A105" s="111" t="s">
        <v>54</v>
      </c>
      <c r="B105" s="197">
        <f>'LM(2)518x PSR flyback converter'!E23</f>
        <v>3</v>
      </c>
      <c r="C105" s="114" t="s">
        <v>258</v>
      </c>
      <c r="D105" s="78" t="s">
        <v>108</v>
      </c>
      <c r="F105" s="7"/>
      <c r="G105" s="7"/>
      <c r="H105" s="7"/>
      <c r="I105" s="25"/>
    </row>
    <row r="106" spans="1:12" x14ac:dyDescent="0.2">
      <c r="A106" s="111" t="s">
        <v>445</v>
      </c>
      <c r="B106" s="196">
        <f>CHOOSE(MODE, 'Calculations - Single'!AT105, 'Calculations - Dual'!AR105)</f>
        <v>0.64069792192615549</v>
      </c>
      <c r="C106" s="205" t="s">
        <v>247</v>
      </c>
      <c r="D106" s="78"/>
      <c r="F106" s="7"/>
      <c r="G106" s="7"/>
      <c r="H106" s="7"/>
      <c r="I106" s="25"/>
    </row>
    <row r="107" spans="1:12" x14ac:dyDescent="0.2">
      <c r="A107" s="34" t="s">
        <v>444</v>
      </c>
      <c r="B107" s="744">
        <f>'Calculations - Single'!BB105</f>
        <v>9.2291444444444437</v>
      </c>
      <c r="C107" s="78" t="s">
        <v>450</v>
      </c>
      <c r="D107" s="78" t="s">
        <v>610</v>
      </c>
      <c r="F107" s="7"/>
      <c r="G107" s="7"/>
      <c r="H107" s="453" t="s">
        <v>575</v>
      </c>
      <c r="I107" s="25"/>
    </row>
    <row r="108" spans="1:12" x14ac:dyDescent="0.2">
      <c r="A108" s="34"/>
      <c r="B108" s="196"/>
      <c r="C108" s="78"/>
      <c r="D108" s="78"/>
      <c r="F108" s="7"/>
      <c r="G108" s="7"/>
      <c r="H108" s="7"/>
      <c r="I108" s="25"/>
    </row>
    <row r="109" spans="1:12" x14ac:dyDescent="0.2">
      <c r="A109" s="34"/>
      <c r="B109" s="196"/>
      <c r="C109" s="78"/>
      <c r="D109" s="78"/>
      <c r="F109" s="7"/>
      <c r="G109" s="7"/>
      <c r="H109" s="7"/>
      <c r="I109" s="25"/>
    </row>
    <row r="110" spans="1:12" ht="15.75" x14ac:dyDescent="0.25">
      <c r="A110" s="649" t="s">
        <v>573</v>
      </c>
      <c r="B110" s="196"/>
      <c r="C110" s="205"/>
      <c r="D110" s="78"/>
      <c r="F110" s="7"/>
      <c r="G110" s="7"/>
      <c r="H110" s="7"/>
      <c r="I110" s="25"/>
    </row>
    <row r="111" spans="1:12" x14ac:dyDescent="0.2">
      <c r="A111" s="111" t="s">
        <v>554</v>
      </c>
      <c r="B111" s="559">
        <f>Vout_ripple2</f>
        <v>50</v>
      </c>
      <c r="C111" s="112" t="s">
        <v>149</v>
      </c>
      <c r="D111" s="78" t="s">
        <v>611</v>
      </c>
      <c r="F111" s="7"/>
      <c r="G111" s="7"/>
      <c r="H111" s="7"/>
      <c r="I111" s="25"/>
    </row>
    <row r="112" spans="1:12" x14ac:dyDescent="0.2">
      <c r="A112" s="505" t="s">
        <v>556</v>
      </c>
      <c r="B112" s="196">
        <f>MAX(4.7, 'Calculations - Dual'!AY105)</f>
        <v>4.7</v>
      </c>
      <c r="C112" s="205" t="s">
        <v>97</v>
      </c>
      <c r="D112" s="78" t="s">
        <v>607</v>
      </c>
      <c r="F112" s="7"/>
      <c r="G112" s="7"/>
      <c r="H112" s="7"/>
      <c r="I112" s="25"/>
    </row>
    <row r="113" spans="1:9" x14ac:dyDescent="0.2">
      <c r="A113" s="111" t="s">
        <v>555</v>
      </c>
      <c r="B113" s="602">
        <f>'LM(2)518x PSR flyback converter'!L22</f>
        <v>22</v>
      </c>
      <c r="C113" s="205" t="s">
        <v>97</v>
      </c>
      <c r="D113" s="78" t="s">
        <v>167</v>
      </c>
      <c r="F113" s="7"/>
      <c r="G113" s="7"/>
      <c r="H113" s="7"/>
      <c r="I113" s="25"/>
    </row>
    <row r="114" spans="1:9" x14ac:dyDescent="0.2">
      <c r="A114" s="204" t="s">
        <v>557</v>
      </c>
      <c r="B114" s="560">
        <f>(Vout_ripple2-Iout2*B116/Cout2*1000)/Iout2</f>
        <v>220.65921707418624</v>
      </c>
      <c r="C114" s="114" t="s">
        <v>258</v>
      </c>
      <c r="D114" s="78" t="s">
        <v>107</v>
      </c>
      <c r="F114" s="7"/>
      <c r="G114" s="7"/>
      <c r="H114" s="453" t="s">
        <v>574</v>
      </c>
      <c r="I114" s="25"/>
    </row>
    <row r="115" spans="1:9" x14ac:dyDescent="0.2">
      <c r="A115" s="111" t="s">
        <v>558</v>
      </c>
      <c r="B115" s="197">
        <f>'LM(2)518x PSR flyback converter'!L23</f>
        <v>2</v>
      </c>
      <c r="C115" s="114" t="s">
        <v>258</v>
      </c>
      <c r="D115" s="78" t="s">
        <v>108</v>
      </c>
      <c r="F115" s="7"/>
      <c r="G115" s="7"/>
      <c r="I115" s="25"/>
    </row>
    <row r="116" spans="1:9" x14ac:dyDescent="0.2">
      <c r="A116" s="111" t="s">
        <v>445</v>
      </c>
      <c r="B116" s="196">
        <f>'Calculations - Dual'!AS105</f>
        <v>0.6454972243679028</v>
      </c>
      <c r="C116" s="205" t="s">
        <v>247</v>
      </c>
      <c r="D116" s="78"/>
      <c r="F116" s="7"/>
      <c r="G116" s="7"/>
      <c r="H116" s="453" t="s">
        <v>574</v>
      </c>
      <c r="I116" s="25"/>
    </row>
    <row r="117" spans="1:9" x14ac:dyDescent="0.2">
      <c r="A117" s="34" t="s">
        <v>444</v>
      </c>
      <c r="B117" s="599">
        <f>'Calculations - Dual'!AZ105</f>
        <v>1.5325717171717175</v>
      </c>
      <c r="C117" s="78" t="s">
        <v>450</v>
      </c>
      <c r="D117" s="78" t="s">
        <v>609</v>
      </c>
      <c r="F117" s="7"/>
      <c r="G117" s="7"/>
      <c r="H117" s="7"/>
      <c r="I117" s="25"/>
    </row>
    <row r="118" spans="1:9" x14ac:dyDescent="0.2">
      <c r="A118" s="40"/>
      <c r="B118" s="196"/>
      <c r="C118" s="78"/>
      <c r="D118" s="78"/>
      <c r="F118" s="7"/>
      <c r="G118" s="7"/>
      <c r="H118" s="7"/>
      <c r="I118" s="25"/>
    </row>
    <row r="119" spans="1:9" ht="13.5" thickBot="1" x14ac:dyDescent="0.25">
      <c r="A119" s="29"/>
      <c r="B119" s="29"/>
      <c r="C119" s="29"/>
      <c r="D119" s="29"/>
      <c r="E119" s="29"/>
      <c r="F119" s="29"/>
      <c r="G119" s="29"/>
      <c r="H119" s="29"/>
      <c r="I119" s="30"/>
    </row>
    <row r="121" spans="1:9" ht="13.5" thickBot="1" x14ac:dyDescent="0.25">
      <c r="A121" s="7"/>
      <c r="B121" s="7"/>
      <c r="C121" s="40"/>
      <c r="D121" s="7"/>
      <c r="E121" s="7"/>
      <c r="F121" s="7"/>
      <c r="G121" s="7"/>
      <c r="H121" s="7"/>
      <c r="I121" s="7"/>
    </row>
    <row r="122" spans="1:9" ht="15.75" x14ac:dyDescent="0.25">
      <c r="A122" s="62" t="s">
        <v>55</v>
      </c>
      <c r="B122" s="63"/>
      <c r="C122" s="172"/>
      <c r="D122" s="63"/>
      <c r="E122" s="63"/>
      <c r="F122" s="63"/>
      <c r="G122" s="63"/>
      <c r="H122" s="63"/>
      <c r="I122" s="64"/>
    </row>
    <row r="123" spans="1:9" x14ac:dyDescent="0.2">
      <c r="A123" s="562" t="s">
        <v>518</v>
      </c>
      <c r="B123" s="565">
        <f>0.05*VIN_nom</f>
        <v>1.2000000000000002</v>
      </c>
      <c r="C123" s="112" t="s">
        <v>451</v>
      </c>
      <c r="D123" s="77" t="s">
        <v>446</v>
      </c>
      <c r="E123" s="7"/>
      <c r="F123" s="7"/>
      <c r="G123" s="7"/>
      <c r="H123" s="7"/>
      <c r="I123" s="66"/>
    </row>
    <row r="124" spans="1:9" x14ac:dyDescent="0.2">
      <c r="A124" s="65"/>
      <c r="B124" s="12"/>
      <c r="C124" s="61"/>
      <c r="E124" s="7"/>
      <c r="F124" s="7"/>
      <c r="G124" s="7"/>
      <c r="H124" s="7"/>
      <c r="I124" s="66"/>
    </row>
    <row r="125" spans="1:9" x14ac:dyDescent="0.2">
      <c r="A125" s="67" t="s">
        <v>58</v>
      </c>
      <c r="B125" s="425"/>
      <c r="C125" s="205" t="s">
        <v>30</v>
      </c>
      <c r="E125" s="7"/>
      <c r="F125" s="7"/>
      <c r="G125" s="7"/>
      <c r="H125" s="7"/>
      <c r="I125" s="66"/>
    </row>
    <row r="126" spans="1:9" x14ac:dyDescent="0.2">
      <c r="A126" s="67" t="s">
        <v>98</v>
      </c>
      <c r="B126" s="189">
        <f>'Calculations - Single'!BC105</f>
        <v>0.42755496435507351</v>
      </c>
      <c r="C126" s="205" t="s">
        <v>97</v>
      </c>
      <c r="E126" s="7"/>
      <c r="F126" s="7"/>
      <c r="G126" s="7"/>
      <c r="H126" s="7"/>
      <c r="I126" s="66"/>
    </row>
    <row r="127" spans="1:9" x14ac:dyDescent="0.2">
      <c r="A127" s="204" t="s">
        <v>180</v>
      </c>
      <c r="B127" s="608">
        <f>MAX(2.2,Cinmin)</f>
        <v>2.2000000000000002</v>
      </c>
      <c r="C127" s="205" t="s">
        <v>97</v>
      </c>
      <c r="E127" s="7"/>
      <c r="F127" s="7"/>
      <c r="G127" s="7"/>
      <c r="H127" s="7"/>
      <c r="I127" s="66"/>
    </row>
    <row r="128" spans="1:9" x14ac:dyDescent="0.2">
      <c r="A128" s="67" t="s">
        <v>28</v>
      </c>
      <c r="B128" s="563">
        <f>'LM(2)518x PSR flyback converter'!E18</f>
        <v>10</v>
      </c>
      <c r="C128" s="205" t="s">
        <v>97</v>
      </c>
      <c r="D128" s="7" t="s">
        <v>60</v>
      </c>
      <c r="F128" s="7"/>
      <c r="G128" s="7"/>
      <c r="H128" s="7"/>
      <c r="I128" s="66"/>
    </row>
    <row r="129" spans="1:9" x14ac:dyDescent="0.2">
      <c r="A129" s="67"/>
      <c r="B129" s="561"/>
      <c r="C129" s="59"/>
      <c r="D129" s="7"/>
      <c r="F129" s="7"/>
      <c r="G129" s="7"/>
      <c r="H129" s="7"/>
      <c r="I129" s="66"/>
    </row>
    <row r="130" spans="1:9" x14ac:dyDescent="0.2">
      <c r="A130" s="68" t="s">
        <v>99</v>
      </c>
      <c r="B130" s="424">
        <f>(Vinripple1-B133*B135/Cin)/B134</f>
        <v>0.5229228389571513</v>
      </c>
      <c r="C130" s="114" t="s">
        <v>45</v>
      </c>
      <c r="D130" s="7"/>
      <c r="F130" s="7"/>
      <c r="G130" s="7"/>
      <c r="H130" s="7"/>
      <c r="I130" s="66"/>
    </row>
    <row r="131" spans="1:9" x14ac:dyDescent="0.2">
      <c r="A131" s="67" t="s">
        <v>37</v>
      </c>
      <c r="B131" s="60">
        <f>'LM(2)518x PSR flyback converter'!E19/1000</f>
        <v>3.0000000000000001E-3</v>
      </c>
      <c r="C131" s="114" t="s">
        <v>45</v>
      </c>
      <c r="D131" s="78" t="s">
        <v>109</v>
      </c>
      <c r="F131" s="7"/>
      <c r="G131" s="7"/>
      <c r="H131" s="7"/>
      <c r="I131" s="66"/>
    </row>
    <row r="132" spans="1:9" x14ac:dyDescent="0.2">
      <c r="A132" s="204" t="s">
        <v>182</v>
      </c>
      <c r="B132" s="373">
        <f>'LM(2)518x PSR flyback converter'!E19</f>
        <v>3</v>
      </c>
      <c r="C132" s="17" t="s">
        <v>161</v>
      </c>
      <c r="D132" s="78"/>
      <c r="F132" s="7"/>
      <c r="G132" s="7"/>
      <c r="H132" s="7"/>
      <c r="I132" s="66"/>
    </row>
    <row r="133" spans="1:9" x14ac:dyDescent="0.2">
      <c r="A133" s="204" t="s">
        <v>448</v>
      </c>
      <c r="B133" s="430">
        <f>Pout_total/VIN_nom/Efficiency</f>
        <v>0.23148148148148148</v>
      </c>
      <c r="C133" s="78" t="s">
        <v>1</v>
      </c>
      <c r="D133" s="78"/>
      <c r="F133" s="7"/>
      <c r="G133" s="7"/>
      <c r="H133" s="7"/>
      <c r="I133" s="66"/>
    </row>
    <row r="134" spans="1:9" x14ac:dyDescent="0.2">
      <c r="A134" s="204" t="s">
        <v>452</v>
      </c>
      <c r="B134" s="430">
        <f>CHOOSE(MODE, 'Calculations - Single'!AJ105, 'Calculations - Dual'!$AI$105)</f>
        <v>2.1966785894611043</v>
      </c>
      <c r="C134" s="78" t="s">
        <v>1</v>
      </c>
      <c r="D134" s="78"/>
      <c r="F134" s="7"/>
      <c r="G134" s="7"/>
      <c r="H134" s="7"/>
      <c r="I134" s="66"/>
    </row>
    <row r="135" spans="1:9" x14ac:dyDescent="0.2">
      <c r="A135" s="204" t="s">
        <v>449</v>
      </c>
      <c r="B135" s="430">
        <f>CHOOSE(MODE, 'Calculations - Single'!AU105, 'Calculations - Dual'!$AT$105)</f>
        <v>2.2164449352167015</v>
      </c>
      <c r="C135" s="205" t="s">
        <v>247</v>
      </c>
      <c r="D135" s="78"/>
      <c r="F135" s="7"/>
      <c r="G135" s="7"/>
      <c r="H135" s="7"/>
      <c r="I135" s="66"/>
    </row>
    <row r="136" spans="1:9" x14ac:dyDescent="0.2">
      <c r="A136" s="204" t="s">
        <v>447</v>
      </c>
      <c r="B136" s="189">
        <f>CHOOSE(MODE, 'Calculations - Single'!BD105, 'Calculations - Dual'!$BB$105)</f>
        <v>52.001040167053276</v>
      </c>
      <c r="C136" s="205" t="s">
        <v>450</v>
      </c>
      <c r="D136" s="77" t="s">
        <v>453</v>
      </c>
      <c r="E136" s="564"/>
      <c r="F136" s="205"/>
      <c r="G136" s="7"/>
      <c r="H136" s="7"/>
      <c r="I136" s="66"/>
    </row>
    <row r="137" spans="1:9" ht="13.5" thickBot="1" x14ac:dyDescent="0.25">
      <c r="A137" s="69"/>
      <c r="B137" s="70"/>
      <c r="C137" s="70"/>
      <c r="D137" s="70"/>
      <c r="E137" s="71"/>
      <c r="F137" s="71"/>
      <c r="G137" s="71"/>
      <c r="H137" s="71"/>
      <c r="I137" s="72"/>
    </row>
    <row r="138" spans="1:9" x14ac:dyDescent="0.2">
      <c r="A138" s="7"/>
      <c r="B138" s="7"/>
      <c r="C138" s="40"/>
      <c r="D138" s="7"/>
      <c r="E138" s="7"/>
      <c r="F138" s="7"/>
      <c r="G138" s="7"/>
      <c r="H138" s="7"/>
      <c r="I138" s="7"/>
    </row>
    <row r="139" spans="1:9" ht="16.5" thickBot="1" x14ac:dyDescent="0.3">
      <c r="A139" s="51" t="s">
        <v>62</v>
      </c>
      <c r="B139" s="7"/>
      <c r="C139" s="40"/>
      <c r="D139" s="7"/>
      <c r="E139" s="7"/>
      <c r="F139" s="7"/>
      <c r="G139" s="7"/>
      <c r="H139" s="7"/>
      <c r="I139" s="7"/>
    </row>
    <row r="140" spans="1:9" x14ac:dyDescent="0.2">
      <c r="A140" s="53" t="s">
        <v>64</v>
      </c>
      <c r="B140" s="9">
        <f>'LM(2)518x PSR flyback converter'!E30/1000</f>
        <v>8.9999999999999993E-3</v>
      </c>
      <c r="C140" s="31" t="s">
        <v>51</v>
      </c>
      <c r="D140" s="80" t="s">
        <v>176</v>
      </c>
      <c r="E140" s="31"/>
      <c r="F140" s="31"/>
      <c r="G140" s="31"/>
      <c r="H140" s="31"/>
      <c r="I140" s="32"/>
    </row>
    <row r="141" spans="1:9" x14ac:dyDescent="0.2">
      <c r="A141" s="24" t="s">
        <v>65</v>
      </c>
      <c r="B141" s="199">
        <v>5.0000000000000004E-6</v>
      </c>
      <c r="C141" s="7" t="s">
        <v>1</v>
      </c>
      <c r="D141" s="78" t="s">
        <v>307</v>
      </c>
      <c r="E141" s="7"/>
      <c r="F141" s="7"/>
      <c r="G141" s="7"/>
      <c r="H141" s="7"/>
      <c r="I141" s="25"/>
    </row>
    <row r="142" spans="1:9" x14ac:dyDescent="0.2">
      <c r="A142" s="24" t="s">
        <v>66</v>
      </c>
      <c r="B142" s="199">
        <f>0.000005*Tss/1</f>
        <v>4.4999999999999999E-8</v>
      </c>
      <c r="C142" s="7" t="s">
        <v>13</v>
      </c>
      <c r="D142" s="78" t="s">
        <v>309</v>
      </c>
      <c r="E142" s="7"/>
      <c r="F142" s="7"/>
      <c r="G142" s="7"/>
      <c r="H142" s="7"/>
      <c r="I142" s="25"/>
    </row>
    <row r="143" spans="1:9" ht="13.5" thickBot="1" x14ac:dyDescent="0.25">
      <c r="A143" s="28" t="s">
        <v>72</v>
      </c>
      <c r="B143" s="200">
        <f>'Standard Value Calculator'!B4</f>
        <v>4.6999999999999997E-8</v>
      </c>
      <c r="C143" s="29" t="s">
        <v>13</v>
      </c>
      <c r="D143" s="81" t="s">
        <v>310</v>
      </c>
      <c r="E143" s="29"/>
      <c r="F143" s="29"/>
      <c r="G143" s="29"/>
      <c r="H143" s="29"/>
      <c r="I143" s="30"/>
    </row>
    <row r="145" spans="1:9" ht="16.5" thickBot="1" x14ac:dyDescent="0.3">
      <c r="A145" s="51" t="s">
        <v>569</v>
      </c>
      <c r="B145" s="7"/>
      <c r="C145" s="40"/>
      <c r="D145" s="7"/>
      <c r="E145" s="7"/>
      <c r="F145" s="7"/>
      <c r="G145" s="7"/>
      <c r="H145" s="7"/>
      <c r="I145" s="7"/>
    </row>
    <row r="146" spans="1:9" ht="12.75" customHeight="1" x14ac:dyDescent="0.2">
      <c r="A146" s="110"/>
      <c r="B146" s="54"/>
      <c r="C146" s="160"/>
      <c r="D146" s="80"/>
      <c r="E146" s="31"/>
      <c r="F146" s="31"/>
      <c r="G146" s="31"/>
      <c r="H146" s="31"/>
      <c r="I146" s="32"/>
    </row>
    <row r="147" spans="1:9" ht="12.75" customHeight="1" x14ac:dyDescent="0.2">
      <c r="A147" s="111" t="s">
        <v>111</v>
      </c>
      <c r="B147" s="190">
        <v>1.5</v>
      </c>
      <c r="C147" s="78" t="s">
        <v>0</v>
      </c>
      <c r="D147" s="78"/>
      <c r="E147" s="7"/>
      <c r="F147" s="7"/>
      <c r="G147" s="7"/>
      <c r="H147" s="7"/>
      <c r="I147" s="25"/>
    </row>
    <row r="148" spans="1:9" ht="12.75" customHeight="1" x14ac:dyDescent="0.2">
      <c r="A148" s="111" t="s">
        <v>112</v>
      </c>
      <c r="B148" s="190">
        <v>1.45</v>
      </c>
      <c r="C148" s="78" t="s">
        <v>0</v>
      </c>
      <c r="D148" s="78"/>
      <c r="E148" s="7"/>
      <c r="F148" s="7"/>
      <c r="G148" s="7"/>
      <c r="H148" s="7"/>
      <c r="I148" s="25"/>
    </row>
    <row r="149" spans="1:9" ht="12.75" customHeight="1" x14ac:dyDescent="0.2">
      <c r="A149" s="111" t="s">
        <v>148</v>
      </c>
      <c r="B149" s="37">
        <f>B147-B148</f>
        <v>5.0000000000000044E-2</v>
      </c>
      <c r="C149" s="78" t="s">
        <v>0</v>
      </c>
      <c r="D149" s="78"/>
      <c r="E149" s="7"/>
      <c r="F149" s="7"/>
      <c r="G149" s="7"/>
      <c r="H149" s="7"/>
      <c r="I149" s="25"/>
    </row>
    <row r="150" spans="1:9" ht="12.75" customHeight="1" x14ac:dyDescent="0.2">
      <c r="A150" s="111" t="s">
        <v>377</v>
      </c>
      <c r="B150" s="7">
        <v>0</v>
      </c>
      <c r="C150" s="112" t="s">
        <v>1</v>
      </c>
      <c r="D150" s="78"/>
      <c r="E150" s="7"/>
      <c r="F150" s="7"/>
      <c r="G150" s="7"/>
      <c r="H150" s="7"/>
      <c r="I150" s="25"/>
    </row>
    <row r="151" spans="1:9" ht="12.75" customHeight="1" x14ac:dyDescent="0.2">
      <c r="A151" s="111" t="s">
        <v>376</v>
      </c>
      <c r="B151" s="529">
        <v>5.0000000000000001E-3</v>
      </c>
      <c r="C151" s="112" t="s">
        <v>30</v>
      </c>
      <c r="D151" s="78"/>
      <c r="E151" s="7"/>
      <c r="F151" s="7"/>
      <c r="G151" s="7"/>
      <c r="H151" s="7"/>
      <c r="I151" s="25"/>
    </row>
    <row r="152" spans="1:9" ht="12.75" customHeight="1" x14ac:dyDescent="0.2">
      <c r="A152" s="111" t="s">
        <v>375</v>
      </c>
      <c r="B152" s="530">
        <f>Iuvlo2-Iuvlo1</f>
        <v>5.0000000000000001E-3</v>
      </c>
      <c r="C152" s="112" t="s">
        <v>30</v>
      </c>
      <c r="D152" s="78"/>
      <c r="F152" s="7"/>
      <c r="G152" s="7"/>
      <c r="H152" s="7"/>
      <c r="I152" s="25"/>
    </row>
    <row r="153" spans="1:9" ht="12.75" customHeight="1" x14ac:dyDescent="0.2">
      <c r="A153" s="111"/>
      <c r="B153" s="37"/>
      <c r="C153" s="381"/>
      <c r="D153" s="78"/>
      <c r="E153" s="7"/>
      <c r="F153" s="7"/>
      <c r="G153" s="7"/>
      <c r="H153" s="7"/>
      <c r="I153" s="25"/>
    </row>
    <row r="154" spans="1:9" ht="12.75" customHeight="1" x14ac:dyDescent="0.3">
      <c r="A154" s="111" t="s">
        <v>110</v>
      </c>
      <c r="B154" s="188">
        <f>'LM(2)518x PSR flyback converter'!E36</f>
        <v>18</v>
      </c>
      <c r="C154" s="112" t="s">
        <v>0</v>
      </c>
      <c r="E154" s="7"/>
      <c r="F154" s="7"/>
      <c r="G154" s="7"/>
      <c r="H154" s="7"/>
      <c r="I154" s="25"/>
    </row>
    <row r="155" spans="1:9" ht="12.75" customHeight="1" x14ac:dyDescent="0.3">
      <c r="A155" s="111" t="s">
        <v>294</v>
      </c>
      <c r="B155" s="188">
        <f>'LM(2)518x PSR flyback converter'!E37</f>
        <v>16</v>
      </c>
      <c r="C155" s="112" t="s">
        <v>0</v>
      </c>
      <c r="E155" s="7"/>
      <c r="F155" s="7"/>
      <c r="G155" s="7"/>
      <c r="H155" s="7"/>
      <c r="I155" s="25"/>
    </row>
    <row r="156" spans="1:9" ht="12.75" customHeight="1" x14ac:dyDescent="0.2">
      <c r="A156" s="111"/>
      <c r="B156" s="37"/>
      <c r="C156" s="112"/>
      <c r="E156" s="7"/>
      <c r="F156" s="7"/>
      <c r="G156" s="7"/>
      <c r="H156" s="7"/>
      <c r="I156" s="25"/>
    </row>
    <row r="157" spans="1:9" ht="12.75" customHeight="1" x14ac:dyDescent="0.3">
      <c r="A157" s="111" t="s">
        <v>126</v>
      </c>
      <c r="B157" s="600">
        <f>(VINuvlo_off-VINuvlo_on*Vuvlo_off/Vuvlo_on)/(Iuvlo1*Vuvlo_off/Vuvlo_on-Iuvlo2)</f>
        <v>279.99999999999972</v>
      </c>
      <c r="C157" s="17" t="s">
        <v>113</v>
      </c>
      <c r="D157" s="7">
        <f>'Standard Value Calculator'!J16</f>
        <v>280</v>
      </c>
      <c r="E157" s="17" t="s">
        <v>113</v>
      </c>
      <c r="F157" s="37">
        <f>IF(Ruvlo1&lt;0,"N/A",D157)</f>
        <v>280</v>
      </c>
      <c r="G157" s="37" t="str">
        <f>IF(Ruvlo1&lt;0,"N/A",D157&amp;"kΩ")</f>
        <v>280kΩ</v>
      </c>
      <c r="I157" s="25"/>
    </row>
    <row r="158" spans="1:9" ht="12.75" customHeight="1" x14ac:dyDescent="0.3">
      <c r="A158" s="111" t="s">
        <v>127</v>
      </c>
      <c r="B158" s="191">
        <f>D157*Vuvlo_on/(VINuvlo_on-Vuvlo_on+Ruvlo1*Iuvlo1)</f>
        <v>25.454545454545453</v>
      </c>
      <c r="C158" s="17" t="s">
        <v>113</v>
      </c>
      <c r="D158" s="7">
        <f>'Standard Value Calculator'!J17</f>
        <v>25.5</v>
      </c>
      <c r="E158" s="17" t="s">
        <v>113</v>
      </c>
      <c r="F158" s="37">
        <f>IF(F157="N/A","N/A",D158)</f>
        <v>25.5</v>
      </c>
      <c r="G158" s="37" t="str">
        <f>IF(G157="N/A","N/A",D158&amp;"kΩ")</f>
        <v>25.5kΩ</v>
      </c>
      <c r="I158" s="25"/>
    </row>
    <row r="159" spans="1:9" ht="12.75" customHeight="1" x14ac:dyDescent="0.2">
      <c r="A159" s="111"/>
      <c r="B159" s="113"/>
      <c r="C159" s="17"/>
      <c r="D159" s="37"/>
      <c r="E159" s="17"/>
      <c r="F159" s="37"/>
      <c r="G159" s="37"/>
      <c r="I159" s="25"/>
    </row>
    <row r="160" spans="1:9" ht="12.75" customHeight="1" x14ac:dyDescent="0.3">
      <c r="A160" s="111" t="s">
        <v>114</v>
      </c>
      <c r="B160" s="601">
        <f>(D157+D158)/D158*Vuvlo_on</f>
        <v>17.970588235294116</v>
      </c>
      <c r="C160" s="3" t="s">
        <v>0</v>
      </c>
      <c r="E160" s="7"/>
      <c r="F160" s="17"/>
      <c r="G160" s="7"/>
      <c r="H160" s="7"/>
      <c r="I160" s="25"/>
    </row>
    <row r="161" spans="1:9" ht="12.75" customHeight="1" x14ac:dyDescent="0.3">
      <c r="A161" s="111" t="s">
        <v>115</v>
      </c>
      <c r="B161" s="601">
        <f>(D157+D158)/D158*Vuvlo_off-Iuvlo2*D157</f>
        <v>15.97156862745098</v>
      </c>
      <c r="C161" s="3" t="s">
        <v>0</v>
      </c>
      <c r="E161" s="7"/>
      <c r="F161" s="17"/>
      <c r="G161" s="7"/>
      <c r="H161" s="7"/>
      <c r="I161" s="25"/>
    </row>
    <row r="162" spans="1:9" ht="12.75" customHeight="1" thickBot="1" x14ac:dyDescent="0.25">
      <c r="A162" s="28"/>
      <c r="B162" s="38"/>
      <c r="C162" s="161"/>
      <c r="D162" s="29"/>
      <c r="E162" s="29"/>
      <c r="F162" s="29"/>
      <c r="G162" s="29"/>
      <c r="H162" s="29"/>
      <c r="I162" s="30"/>
    </row>
    <row r="163" spans="1:9" x14ac:dyDescent="0.2">
      <c r="B163" s="16"/>
      <c r="C163" s="162"/>
    </row>
    <row r="164" spans="1:9" ht="16.5" thickBot="1" x14ac:dyDescent="0.3">
      <c r="A164" s="51" t="s">
        <v>529</v>
      </c>
      <c r="B164" s="7"/>
      <c r="C164" s="40"/>
      <c r="D164" s="7"/>
      <c r="E164" s="7"/>
      <c r="F164" s="7"/>
      <c r="G164" s="7"/>
      <c r="H164" s="7"/>
      <c r="I164" s="7"/>
    </row>
    <row r="165" spans="1:9" x14ac:dyDescent="0.2">
      <c r="A165" s="179" t="s">
        <v>16</v>
      </c>
      <c r="B165" s="180">
        <v>3.1415926500000002</v>
      </c>
      <c r="C165" s="181"/>
      <c r="D165" s="182" t="s">
        <v>170</v>
      </c>
      <c r="E165" s="31"/>
      <c r="F165" s="31"/>
      <c r="G165" s="31"/>
      <c r="H165" s="31"/>
      <c r="I165" s="32"/>
    </row>
    <row r="166" spans="1:9" x14ac:dyDescent="0.2">
      <c r="A166" s="77" t="s">
        <v>185</v>
      </c>
      <c r="B166" s="208"/>
      <c r="C166" s="183" t="s">
        <v>184</v>
      </c>
      <c r="D166" s="185" t="s">
        <v>561</v>
      </c>
      <c r="I166" s="25"/>
    </row>
    <row r="167" spans="1:9" x14ac:dyDescent="0.2">
      <c r="A167" s="77" t="s">
        <v>186</v>
      </c>
      <c r="B167" s="208"/>
      <c r="C167" s="183" t="s">
        <v>184</v>
      </c>
      <c r="D167" s="185"/>
      <c r="I167" s="25"/>
    </row>
    <row r="168" spans="1:9" x14ac:dyDescent="0.2">
      <c r="C168" s="7"/>
      <c r="D168" s="7"/>
      <c r="F168" s="7"/>
      <c r="G168" s="7"/>
      <c r="H168" s="7"/>
      <c r="I168" s="25"/>
    </row>
    <row r="169" spans="1:9" x14ac:dyDescent="0.2">
      <c r="A169" s="111" t="s">
        <v>393</v>
      </c>
      <c r="B169" s="173">
        <f>(Vout+Vfwd1)*Nps*10</f>
        <v>106.4</v>
      </c>
      <c r="C169" s="17" t="s">
        <v>113</v>
      </c>
      <c r="D169" s="78" t="s">
        <v>531</v>
      </c>
      <c r="F169" s="7"/>
      <c r="G169" s="7"/>
      <c r="H169" s="7"/>
      <c r="I169" s="25">
        <v>1</v>
      </c>
    </row>
    <row r="170" spans="1:9" x14ac:dyDescent="0.2">
      <c r="A170" s="34" t="s">
        <v>530</v>
      </c>
      <c r="B170" s="178">
        <f>Rfb/1000</f>
        <v>107</v>
      </c>
      <c r="C170" s="17" t="s">
        <v>113</v>
      </c>
      <c r="D170" s="78" t="s">
        <v>528</v>
      </c>
      <c r="F170" s="7"/>
      <c r="G170" s="7"/>
      <c r="H170" s="7"/>
      <c r="I170" s="25"/>
    </row>
    <row r="171" spans="1:9" x14ac:dyDescent="0.2">
      <c r="A171" s="111" t="s">
        <v>53</v>
      </c>
      <c r="B171" s="36">
        <f>'Standard Value Calculator'!J10/1000</f>
        <v>107</v>
      </c>
      <c r="C171" s="17" t="s">
        <v>113</v>
      </c>
      <c r="D171" s="78" t="s">
        <v>361</v>
      </c>
      <c r="F171" s="7"/>
      <c r="G171" s="7"/>
      <c r="H171" s="7"/>
      <c r="I171" s="25"/>
    </row>
    <row r="172" spans="1:9" x14ac:dyDescent="0.2">
      <c r="A172" s="78"/>
      <c r="B172" s="12"/>
      <c r="C172" s="17"/>
      <c r="D172" s="78"/>
      <c r="F172" s="7"/>
      <c r="G172" s="7"/>
      <c r="H172" s="7"/>
      <c r="I172" s="25"/>
    </row>
    <row r="173" spans="1:9" x14ac:dyDescent="0.2">
      <c r="A173" s="112" t="s">
        <v>532</v>
      </c>
      <c r="B173" s="603">
        <f>'LM(2)518x PSR flyback converter'!E33</f>
        <v>-1.5</v>
      </c>
      <c r="C173" s="112" t="s">
        <v>386</v>
      </c>
      <c r="D173" s="78"/>
      <c r="F173" s="7"/>
      <c r="G173" s="7"/>
      <c r="H173" s="7"/>
      <c r="I173" s="25"/>
    </row>
    <row r="174" spans="1:9" ht="15.75" x14ac:dyDescent="0.3">
      <c r="A174" s="24" t="s">
        <v>527</v>
      </c>
      <c r="B174" s="375">
        <f>3*B170/Nps/ABS(Diode_TC)*1000</f>
        <v>107000</v>
      </c>
      <c r="C174" s="17" t="s">
        <v>136</v>
      </c>
      <c r="D174" s="78"/>
      <c r="F174" s="7"/>
      <c r="G174" s="7"/>
      <c r="H174" s="7"/>
      <c r="I174" s="25"/>
    </row>
    <row r="175" spans="1:9" x14ac:dyDescent="0.2">
      <c r="A175" s="12" t="s">
        <v>533</v>
      </c>
      <c r="B175" s="171">
        <f>'Standard Value Calculator'!J9/1000</f>
        <v>107</v>
      </c>
      <c r="C175" s="17" t="s">
        <v>113</v>
      </c>
      <c r="D175" s="78"/>
      <c r="F175" s="7"/>
      <c r="G175" s="7"/>
      <c r="H175" s="7"/>
      <c r="I175" s="25"/>
    </row>
    <row r="176" spans="1:9" ht="13.5" thickBot="1" x14ac:dyDescent="0.25">
      <c r="A176" s="184"/>
      <c r="B176" s="184"/>
      <c r="C176" s="41"/>
      <c r="D176" s="29"/>
      <c r="E176" s="41"/>
      <c r="F176" s="29"/>
      <c r="G176" s="29"/>
      <c r="H176" s="29"/>
      <c r="I176" s="30"/>
    </row>
    <row r="177" spans="1:9" x14ac:dyDescent="0.2">
      <c r="A177" s="2"/>
      <c r="B177" s="18"/>
      <c r="C177" s="18"/>
      <c r="E177" s="18"/>
    </row>
    <row r="178" spans="1:9" x14ac:dyDescent="0.2">
      <c r="A178" s="2"/>
      <c r="B178" s="18"/>
      <c r="C178" s="18"/>
      <c r="E178" s="18"/>
    </row>
    <row r="179" spans="1:9" ht="16.5" thickBot="1" x14ac:dyDescent="0.3">
      <c r="A179" s="55" t="s">
        <v>83</v>
      </c>
      <c r="B179" s="7"/>
      <c r="C179" s="40"/>
      <c r="D179" s="7"/>
      <c r="E179" s="7"/>
      <c r="F179" s="7"/>
      <c r="G179" s="7"/>
      <c r="H179" s="7"/>
      <c r="I179" s="7"/>
    </row>
    <row r="180" spans="1:9" x14ac:dyDescent="0.2">
      <c r="A180" s="53"/>
      <c r="B180" s="31"/>
      <c r="C180" s="163"/>
      <c r="D180" s="31"/>
      <c r="E180" s="31"/>
      <c r="F180" s="31"/>
      <c r="G180" s="31"/>
      <c r="H180" s="31"/>
      <c r="I180" s="32"/>
    </row>
    <row r="181" spans="1:9" x14ac:dyDescent="0.2">
      <c r="A181" s="34" t="s">
        <v>26</v>
      </c>
      <c r="B181" s="7"/>
      <c r="C181" s="40"/>
      <c r="D181" s="7"/>
      <c r="E181" s="7"/>
      <c r="F181" s="7"/>
      <c r="G181" s="7"/>
      <c r="H181" s="7"/>
      <c r="I181" s="25"/>
    </row>
    <row r="182" spans="1:9" x14ac:dyDescent="0.2">
      <c r="A182" s="24" t="s">
        <v>36</v>
      </c>
      <c r="B182" s="134">
        <f>'LM(2)518x PSR flyback converter'!E45</f>
        <v>55</v>
      </c>
      <c r="C182" s="78" t="s">
        <v>102</v>
      </c>
      <c r="D182" s="7" t="s">
        <v>40</v>
      </c>
      <c r="F182" s="7"/>
      <c r="G182" s="7"/>
      <c r="H182" s="7"/>
      <c r="I182" s="25"/>
    </row>
    <row r="183" spans="1:9" x14ac:dyDescent="0.2">
      <c r="A183" s="34" t="s">
        <v>29</v>
      </c>
      <c r="B183" s="7"/>
      <c r="C183" s="7"/>
      <c r="D183" s="7"/>
      <c r="F183" s="7"/>
      <c r="G183" s="7"/>
      <c r="H183" s="7"/>
      <c r="I183" s="25"/>
    </row>
    <row r="184" spans="1:9" x14ac:dyDescent="0.2">
      <c r="A184" s="24" t="s">
        <v>35</v>
      </c>
      <c r="B184" s="27">
        <f>4000/1000000</f>
        <v>4.0000000000000001E-3</v>
      </c>
      <c r="C184" s="78" t="s">
        <v>138</v>
      </c>
      <c r="D184" s="78" t="s">
        <v>562</v>
      </c>
      <c r="F184" s="7"/>
      <c r="G184" s="7"/>
      <c r="H184" s="7"/>
      <c r="I184" s="25"/>
    </row>
    <row r="185" spans="1:9" ht="15.75" x14ac:dyDescent="0.3">
      <c r="A185" s="111" t="s">
        <v>177</v>
      </c>
      <c r="B185" s="27">
        <v>20</v>
      </c>
      <c r="C185" s="112" t="s">
        <v>84</v>
      </c>
      <c r="D185" s="78" t="s">
        <v>563</v>
      </c>
      <c r="F185" s="7"/>
      <c r="G185" s="7"/>
      <c r="H185" s="7"/>
      <c r="I185" s="25"/>
    </row>
    <row r="186" spans="1:9" x14ac:dyDescent="0.2">
      <c r="A186" s="24" t="s">
        <v>37</v>
      </c>
      <c r="B186" s="10">
        <f>RCinEsr</f>
        <v>3.0000000000000001E-3</v>
      </c>
      <c r="C186" s="114" t="s">
        <v>45</v>
      </c>
      <c r="D186" s="78" t="s">
        <v>178</v>
      </c>
      <c r="F186" s="7"/>
      <c r="G186" s="7"/>
      <c r="H186" s="7"/>
      <c r="I186" s="25"/>
    </row>
    <row r="187" spans="1:9" x14ac:dyDescent="0.2">
      <c r="A187" s="24"/>
      <c r="B187" s="10"/>
      <c r="C187" s="114"/>
      <c r="D187" s="78"/>
      <c r="F187" s="7"/>
      <c r="G187" s="7"/>
      <c r="H187" s="7"/>
      <c r="I187" s="25"/>
    </row>
    <row r="188" spans="1:9" x14ac:dyDescent="0.2">
      <c r="A188" s="33" t="s">
        <v>52</v>
      </c>
      <c r="B188" s="7"/>
      <c r="C188" s="7"/>
      <c r="D188" s="7"/>
      <c r="F188" s="7"/>
      <c r="G188" s="7"/>
      <c r="H188" s="7"/>
      <c r="I188" s="25"/>
    </row>
    <row r="189" spans="1:9" x14ac:dyDescent="0.2">
      <c r="A189" s="111" t="s">
        <v>284</v>
      </c>
      <c r="B189" s="27">
        <f>Vdd</f>
        <v>5</v>
      </c>
      <c r="C189" s="61" t="s">
        <v>0</v>
      </c>
      <c r="D189" s="186"/>
      <c r="F189" s="7"/>
      <c r="G189" s="7"/>
      <c r="H189" s="7"/>
      <c r="I189" s="25"/>
    </row>
    <row r="190" spans="1:9" x14ac:dyDescent="0.2">
      <c r="A190" s="24" t="s">
        <v>49</v>
      </c>
      <c r="B190" s="35">
        <f>IQ</f>
        <v>2.9E-4</v>
      </c>
      <c r="C190" s="7" t="s">
        <v>1</v>
      </c>
      <c r="D190" s="7" t="s">
        <v>50</v>
      </c>
      <c r="F190" s="7"/>
      <c r="G190" s="7"/>
      <c r="H190" s="7"/>
      <c r="I190" s="25"/>
    </row>
    <row r="191" spans="1:9" x14ac:dyDescent="0.2">
      <c r="A191" s="24"/>
      <c r="B191" s="7"/>
      <c r="C191" s="7"/>
      <c r="D191" s="7"/>
      <c r="F191" s="7"/>
      <c r="G191" s="7"/>
      <c r="H191" s="7"/>
      <c r="I191" s="25"/>
    </row>
    <row r="192" spans="1:9" x14ac:dyDescent="0.2">
      <c r="A192" s="56" t="s">
        <v>172</v>
      </c>
      <c r="B192" s="43" t="s">
        <v>6</v>
      </c>
      <c r="C192" s="14" t="s">
        <v>33</v>
      </c>
      <c r="D192" s="7"/>
      <c r="F192" s="7"/>
      <c r="G192" s="7"/>
      <c r="H192" s="7"/>
      <c r="I192" s="25"/>
    </row>
    <row r="193" spans="1:9" x14ac:dyDescent="0.2">
      <c r="A193" s="57" t="s">
        <v>44</v>
      </c>
      <c r="B193" s="44"/>
      <c r="C193" s="45" t="s">
        <v>45</v>
      </c>
      <c r="D193" s="7"/>
      <c r="F193" s="7"/>
      <c r="G193" s="7"/>
      <c r="H193" s="7"/>
      <c r="I193" s="25"/>
    </row>
    <row r="194" spans="1:9" x14ac:dyDescent="0.2">
      <c r="A194" s="57" t="s">
        <v>46</v>
      </c>
      <c r="B194" s="13">
        <v>0</v>
      </c>
      <c r="C194" s="112" t="s">
        <v>102</v>
      </c>
      <c r="D194" s="7"/>
      <c r="F194" s="7"/>
      <c r="G194" s="7"/>
      <c r="H194" s="7"/>
      <c r="I194" s="25"/>
    </row>
    <row r="195" spans="1:9" x14ac:dyDescent="0.2">
      <c r="A195" s="57" t="s">
        <v>87</v>
      </c>
      <c r="B195" s="13" t="e">
        <v>#NAME?</v>
      </c>
      <c r="C195" s="12" t="s">
        <v>1</v>
      </c>
      <c r="D195" s="7"/>
      <c r="F195" s="7"/>
      <c r="G195" s="7"/>
      <c r="H195" s="7"/>
      <c r="I195" s="25"/>
    </row>
    <row r="196" spans="1:9" x14ac:dyDescent="0.2">
      <c r="A196" s="57" t="s">
        <v>88</v>
      </c>
      <c r="B196" s="12" t="e">
        <v>#NAME?</v>
      </c>
      <c r="C196" s="12" t="s">
        <v>1</v>
      </c>
      <c r="D196" s="7"/>
      <c r="F196" s="7"/>
      <c r="G196" s="7"/>
      <c r="H196" s="7"/>
      <c r="I196" s="25"/>
    </row>
    <row r="197" spans="1:9" x14ac:dyDescent="0.2">
      <c r="A197" s="57" t="s">
        <v>89</v>
      </c>
      <c r="B197" s="12" t="e">
        <f>C197/Vin</f>
        <v>#NAME?</v>
      </c>
      <c r="C197" s="12" t="e">
        <v>#NAME?</v>
      </c>
      <c r="D197" s="7"/>
      <c r="F197" s="7"/>
      <c r="G197" s="7"/>
      <c r="H197" s="7"/>
      <c r="I197" s="25"/>
    </row>
    <row r="198" spans="1:9" x14ac:dyDescent="0.2">
      <c r="A198" s="57" t="s">
        <v>91</v>
      </c>
      <c r="B198" s="12" t="e">
        <f>SUM(B195:B197)</f>
        <v>#NAME?</v>
      </c>
      <c r="C198" s="12" t="s">
        <v>1</v>
      </c>
      <c r="D198" s="7"/>
      <c r="F198" s="7"/>
      <c r="G198" s="7"/>
      <c r="H198" s="7"/>
      <c r="I198" s="25"/>
    </row>
    <row r="199" spans="1:9" ht="13.5" thickBot="1" x14ac:dyDescent="0.25">
      <c r="A199" s="28"/>
      <c r="B199" s="29"/>
      <c r="C199" s="164"/>
      <c r="D199" s="29"/>
      <c r="E199" s="29"/>
      <c r="F199" s="29"/>
      <c r="G199" s="29"/>
      <c r="H199" s="29"/>
      <c r="I199" s="30"/>
    </row>
    <row r="200" spans="1:9" x14ac:dyDescent="0.2">
      <c r="A200" s="2"/>
      <c r="B200" s="2"/>
      <c r="C200" s="2"/>
    </row>
    <row r="201" spans="1:9" ht="21.75" customHeight="1" thickBot="1" x14ac:dyDescent="0.3">
      <c r="A201" s="51" t="s">
        <v>85</v>
      </c>
      <c r="B201" s="7"/>
      <c r="C201" s="40"/>
      <c r="D201" s="7"/>
      <c r="E201" s="7"/>
      <c r="F201" s="7"/>
      <c r="G201" s="7"/>
      <c r="H201" s="7"/>
      <c r="I201" s="7"/>
    </row>
    <row r="202" spans="1:9" x14ac:dyDescent="0.2">
      <c r="A202" s="53"/>
      <c r="B202" s="31"/>
      <c r="C202" s="163"/>
      <c r="D202" s="31"/>
      <c r="E202" s="58"/>
      <c r="F202" s="58"/>
      <c r="G202" s="58"/>
      <c r="H202" s="58"/>
      <c r="I202" s="32"/>
    </row>
    <row r="203" spans="1:9" x14ac:dyDescent="0.2">
      <c r="A203" s="24"/>
      <c r="B203" s="112"/>
      <c r="C203" s="40"/>
      <c r="D203" s="7"/>
      <c r="E203" s="203"/>
      <c r="F203" s="203"/>
      <c r="G203" s="203"/>
      <c r="H203" s="203"/>
      <c r="I203" s="25"/>
    </row>
    <row r="204" spans="1:9" x14ac:dyDescent="0.2">
      <c r="A204" s="24" t="str">
        <f>"RUV1 = "&amp;'LM(2)518x PSR flyback converter'!E38&amp;"MΩ"</f>
        <v>RUV1 = 280MΩ</v>
      </c>
      <c r="B204" s="7" t="str">
        <f>C245</f>
        <v/>
      </c>
      <c r="C204" s="40"/>
      <c r="D204" s="7"/>
      <c r="E204" s="203"/>
      <c r="F204" s="203"/>
      <c r="G204" s="203"/>
      <c r="H204" s="203"/>
      <c r="I204" s="25"/>
    </row>
    <row r="205" spans="1:9" x14ac:dyDescent="0.2">
      <c r="A205" s="24" t="str">
        <f>"RUV2 = "&amp;'LM(2)518x PSR flyback converter'!E39&amp;"kΩ"</f>
        <v>RUV2 = 25.5kΩ</v>
      </c>
      <c r="B205" s="7" t="str">
        <f>C246</f>
        <v/>
      </c>
      <c r="C205" s="40"/>
      <c r="D205" s="7"/>
      <c r="E205" s="203"/>
      <c r="F205" s="203"/>
      <c r="G205" s="203"/>
      <c r="H205" s="203"/>
      <c r="I205" s="25"/>
    </row>
    <row r="206" spans="1:9" x14ac:dyDescent="0.2">
      <c r="A206" s="24"/>
      <c r="B206" s="7"/>
      <c r="C206" s="40"/>
      <c r="D206" s="7"/>
      <c r="E206" s="203"/>
      <c r="F206" s="203"/>
      <c r="G206" s="203"/>
      <c r="H206" s="203"/>
      <c r="I206" s="25"/>
    </row>
    <row r="207" spans="1:9" x14ac:dyDescent="0.2">
      <c r="A207" s="24" t="str">
        <f>"Lmag = "&amp;'LM(2)518x PSR flyback converter'!L7&amp;"µH"</f>
        <v>Lmag = 7µH</v>
      </c>
      <c r="B207" s="7" t="str">
        <f>'LM(2)518x PSR flyback converter'!L7&amp;"µH"</f>
        <v>7µH</v>
      </c>
      <c r="C207" s="40"/>
      <c r="D207" s="7"/>
      <c r="E207" s="7"/>
      <c r="F207" s="7"/>
      <c r="G207" s="7"/>
      <c r="H207" s="7"/>
      <c r="I207" s="25"/>
    </row>
    <row r="208" spans="1:9" x14ac:dyDescent="0.2">
      <c r="A208" s="24" t="str">
        <f>"Rdcr = "&amp;Rdcr_pri*1000&amp;"mΩ"</f>
        <v>Rdcr = 100mΩ</v>
      </c>
      <c r="B208" s="202" t="str">
        <f>Rdcr_pri*1000&amp;"mΩ"</f>
        <v>100mΩ</v>
      </c>
      <c r="C208" s="40"/>
      <c r="D208" s="7"/>
      <c r="E208" s="7"/>
      <c r="F208" s="7"/>
      <c r="G208" s="7"/>
      <c r="H208" s="7"/>
      <c r="I208" s="25"/>
    </row>
    <row r="209" spans="1:9" x14ac:dyDescent="0.2">
      <c r="A209" s="111" t="s">
        <v>391</v>
      </c>
      <c r="B209" s="202" t="str">
        <f>W52</f>
        <v>2 : 1</v>
      </c>
      <c r="C209" s="40"/>
      <c r="D209" s="7"/>
      <c r="E209" s="7"/>
      <c r="F209" s="7"/>
      <c r="G209" s="7"/>
      <c r="H209" s="7"/>
      <c r="I209" s="25"/>
    </row>
    <row r="210" spans="1:9" x14ac:dyDescent="0.2">
      <c r="A210" s="24"/>
      <c r="B210" s="202"/>
      <c r="C210" s="40"/>
      <c r="D210" s="7"/>
      <c r="E210" s="7"/>
      <c r="F210" s="7"/>
      <c r="G210" s="7"/>
      <c r="H210" s="7"/>
      <c r="I210" s="25"/>
    </row>
    <row r="211" spans="1:9" x14ac:dyDescent="0.2">
      <c r="A211" s="24" t="str">
        <f>"Css = "&amp;ROUND(Css_u*1000000000,1)&amp;"nF"</f>
        <v>Css = 47nF</v>
      </c>
      <c r="B211" s="7" t="str">
        <f>ROUND(Css_u*1000000000,1)&amp;"nF"</f>
        <v>47nF</v>
      </c>
      <c r="C211" s="40"/>
      <c r="D211" s="7"/>
      <c r="E211" s="7"/>
      <c r="F211" s="7"/>
      <c r="G211" s="7"/>
      <c r="H211" s="7"/>
      <c r="I211" s="25"/>
    </row>
    <row r="212" spans="1:9" x14ac:dyDescent="0.2">
      <c r="A212" s="24"/>
      <c r="B212" s="7"/>
      <c r="C212" s="40"/>
      <c r="D212" s="7"/>
      <c r="E212" s="7"/>
      <c r="F212" s="7"/>
      <c r="G212" s="7"/>
      <c r="H212" s="7"/>
      <c r="I212" s="25"/>
    </row>
    <row r="213" spans="1:9" x14ac:dyDescent="0.2">
      <c r="A213" s="24" t="s">
        <v>57</v>
      </c>
      <c r="B213" s="7" t="str">
        <f>VIN_nom&amp;"V"</f>
        <v>24V</v>
      </c>
      <c r="C213" s="40"/>
      <c r="D213" s="7"/>
      <c r="E213" s="7"/>
      <c r="F213" s="7"/>
      <c r="G213" s="7"/>
      <c r="H213" s="7"/>
      <c r="I213" s="25"/>
    </row>
    <row r="214" spans="1:9" x14ac:dyDescent="0.2">
      <c r="A214" s="111" t="s">
        <v>187</v>
      </c>
      <c r="B214" s="7" t="str">
        <f>VIN_min&amp;"V..."&amp;VIN_max&amp;"V"</f>
        <v>23V...25V</v>
      </c>
      <c r="C214" s="40"/>
      <c r="D214" s="7"/>
      <c r="E214" s="7"/>
      <c r="F214" s="7"/>
      <c r="G214" s="7"/>
      <c r="H214" s="7"/>
      <c r="I214" s="25"/>
    </row>
    <row r="215" spans="1:9" x14ac:dyDescent="0.2">
      <c r="A215" s="111"/>
      <c r="B215" s="7"/>
      <c r="C215" s="40"/>
      <c r="D215" s="7"/>
      <c r="E215" s="7"/>
      <c r="F215" s="7"/>
      <c r="G215" s="7"/>
      <c r="H215" s="7"/>
      <c r="I215" s="25"/>
    </row>
    <row r="216" spans="1:9" x14ac:dyDescent="0.2">
      <c r="A216" s="24" t="str">
        <f>"VOUT = "&amp;'LM(2)518x PSR flyback converter'!E10&amp;"V"</f>
        <v>VOUT = 5V</v>
      </c>
      <c r="B216" s="7" t="str">
        <f>'LM(2)518x PSR flyback converter'!E10&amp;"V"</f>
        <v>5V</v>
      </c>
      <c r="C216" s="40"/>
      <c r="D216" s="7">
        <f>MODE</f>
        <v>1</v>
      </c>
      <c r="E216" s="7"/>
      <c r="F216" s="7"/>
      <c r="G216" s="7"/>
      <c r="H216" s="7"/>
      <c r="I216" s="25"/>
    </row>
    <row r="217" spans="1:9" x14ac:dyDescent="0.2">
      <c r="A217" s="24" t="str">
        <f>"VOUT2 = "&amp;'LM(2)518x PSR flyback converter'!E12&amp;"V"</f>
        <v>VOUT2 = 5V</v>
      </c>
      <c r="B217" s="7" t="str">
        <f>IF(MODE_TOP="DUAL", 'LM(2)518x PSR flyback converter'!E12&amp;"V", "")</f>
        <v/>
      </c>
      <c r="C217" s="40"/>
      <c r="D217" s="78" t="b">
        <f>MODE=2</f>
        <v>0</v>
      </c>
      <c r="E217" s="7"/>
      <c r="F217" s="7"/>
      <c r="G217" s="7"/>
      <c r="H217" s="7"/>
      <c r="I217" s="25"/>
    </row>
    <row r="218" spans="1:9" x14ac:dyDescent="0.2">
      <c r="A218" s="24" t="str">
        <f>"VOUT2 = "&amp;'LM(2)518x PSR flyback converter'!E12&amp;"V"</f>
        <v>VOUT2 = 5V</v>
      </c>
      <c r="B218" s="7" t="str">
        <f>IF(MODE_TOP="BIPOLAR", 'LM(2)518x PSR flyback converter'!E12&amp;"V", "")</f>
        <v/>
      </c>
      <c r="C218" s="40"/>
      <c r="D218" s="7"/>
      <c r="E218" s="7"/>
      <c r="F218" s="7"/>
      <c r="G218" s="7"/>
      <c r="H218" s="7"/>
      <c r="I218" s="25"/>
    </row>
    <row r="219" spans="1:9" x14ac:dyDescent="0.2">
      <c r="A219" s="24"/>
      <c r="B219" s="7"/>
      <c r="C219" s="40"/>
      <c r="D219" s="7"/>
      <c r="E219" s="7"/>
      <c r="F219" s="7"/>
      <c r="G219" s="7"/>
      <c r="H219" s="7"/>
      <c r="I219" s="25"/>
    </row>
    <row r="220" spans="1:9" x14ac:dyDescent="0.2">
      <c r="A220" s="400" t="s">
        <v>521</v>
      </c>
      <c r="B220" s="78" t="str">
        <f>IF(MODE=1, "", "Co1")</f>
        <v/>
      </c>
      <c r="C220" s="78" t="str">
        <f>IF(MODE_TOP="DUAL", "Co2", "")</f>
        <v/>
      </c>
      <c r="D220" s="78" t="str">
        <f>IF(MODE_TOP="BIPOLAR", "Co2", "")</f>
        <v/>
      </c>
      <c r="E220" s="7"/>
      <c r="F220" s="78" t="str">
        <f>MODE_TOP</f>
        <v>SINGLE</v>
      </c>
      <c r="G220" s="7"/>
      <c r="H220" s="7"/>
      <c r="I220" s="25"/>
    </row>
    <row r="221" spans="1:9" x14ac:dyDescent="0.2">
      <c r="A221" s="24" t="str">
        <f>"COUT = "&amp;'LM(2)518x PSR flyback converter'!$E$22&amp;"µF"</f>
        <v>COUT = 100µF</v>
      </c>
      <c r="B221" s="7" t="str">
        <f>'LM(2)518x PSR flyback converter'!$E$22&amp;"µF"</f>
        <v>100µF</v>
      </c>
      <c r="C221" s="7" t="str">
        <f>IF(MODE_TOP="DUAL", 'LM(2)518x PSR flyback converter'!$L$22&amp;"µF", "")</f>
        <v/>
      </c>
      <c r="D221" s="7" t="str">
        <f>IF(MODE_TOP="BIPOLAR", 'LM(2)518x PSR flyback converter'!$L$22&amp;"µF", "")</f>
        <v/>
      </c>
      <c r="E221" s="7"/>
      <c r="F221" s="7" t="str">
        <f>'LM(2)518x PSR flyback converter'!$L$22&amp;"µF"</f>
        <v>22µF</v>
      </c>
      <c r="G221" s="7"/>
      <c r="H221" s="7"/>
      <c r="I221" s="25"/>
    </row>
    <row r="222" spans="1:9" x14ac:dyDescent="0.2">
      <c r="A222" s="111" t="s">
        <v>134</v>
      </c>
      <c r="B222" s="7" t="str">
        <f>"22µF"</f>
        <v>22µF</v>
      </c>
      <c r="C222" s="40"/>
      <c r="D222" s="7"/>
      <c r="E222" s="7"/>
      <c r="F222" s="7"/>
      <c r="G222" s="7"/>
      <c r="H222" s="7"/>
      <c r="I222" s="25"/>
    </row>
    <row r="223" spans="1:9" x14ac:dyDescent="0.2">
      <c r="A223" s="111" t="s">
        <v>135</v>
      </c>
      <c r="B223" s="79" t="str">
        <f>ROUNDUP(Cout/22,0)&amp;" x"</f>
        <v>5 x</v>
      </c>
      <c r="C223" s="165"/>
      <c r="D223" s="7"/>
      <c r="E223" s="7"/>
      <c r="F223" s="7"/>
      <c r="G223" s="7"/>
      <c r="H223" s="7"/>
      <c r="I223" s="25"/>
    </row>
    <row r="224" spans="1:9" x14ac:dyDescent="0.2">
      <c r="A224" s="111"/>
      <c r="B224" s="79">
        <f>Cout</f>
        <v>100</v>
      </c>
      <c r="C224" s="165"/>
      <c r="D224" s="7"/>
      <c r="E224" s="7"/>
      <c r="F224" s="7"/>
      <c r="G224" s="7"/>
      <c r="H224" s="7"/>
      <c r="I224" s="25"/>
    </row>
    <row r="225" spans="1:9" x14ac:dyDescent="0.2">
      <c r="A225" s="400" t="s">
        <v>522</v>
      </c>
      <c r="B225" s="7"/>
      <c r="C225" s="40"/>
      <c r="D225" s="7"/>
      <c r="E225" s="7"/>
      <c r="F225" s="7"/>
      <c r="G225" s="7"/>
      <c r="H225" s="7"/>
      <c r="I225" s="25"/>
    </row>
    <row r="226" spans="1:9" x14ac:dyDescent="0.2">
      <c r="A226" s="24" t="s">
        <v>95</v>
      </c>
      <c r="B226" s="7" t="str">
        <f>Cin&amp;"µF"</f>
        <v>10µF</v>
      </c>
      <c r="E226" s="7"/>
      <c r="F226" s="7"/>
      <c r="G226" s="7"/>
      <c r="H226" s="7"/>
      <c r="I226" s="25"/>
    </row>
    <row r="227" spans="1:9" x14ac:dyDescent="0.2">
      <c r="A227" s="111" t="s">
        <v>133</v>
      </c>
      <c r="B227" s="7" t="str">
        <f>"4.7µF"</f>
        <v>4.7µF</v>
      </c>
      <c r="C227" s="40"/>
      <c r="D227" s="7"/>
      <c r="E227" s="7"/>
      <c r="F227" s="7"/>
      <c r="G227" s="7"/>
      <c r="H227" s="7"/>
      <c r="I227" s="25"/>
    </row>
    <row r="228" spans="1:9" x14ac:dyDescent="0.2">
      <c r="A228" s="111" t="s">
        <v>132</v>
      </c>
      <c r="B228" s="79" t="str">
        <f>ROUNDUP(Cin/4.7,0)&amp;" x"</f>
        <v>3 x</v>
      </c>
      <c r="C228" s="165"/>
      <c r="D228" s="7"/>
      <c r="E228" s="7"/>
      <c r="F228" s="7"/>
      <c r="G228" s="7"/>
      <c r="H228" s="7"/>
      <c r="I228" s="25"/>
    </row>
    <row r="229" spans="1:9" x14ac:dyDescent="0.2">
      <c r="A229" s="111"/>
      <c r="B229" s="79"/>
      <c r="D229" s="7"/>
      <c r="E229" s="7"/>
      <c r="F229" s="7"/>
      <c r="G229" s="7"/>
      <c r="H229" s="7"/>
      <c r="I229" s="25"/>
    </row>
    <row r="230" spans="1:9" ht="15.75" x14ac:dyDescent="0.3">
      <c r="A230" s="111" t="s">
        <v>523</v>
      </c>
      <c r="B230" s="588" t="s">
        <v>524</v>
      </c>
      <c r="C230" s="588" t="s">
        <v>564</v>
      </c>
      <c r="D230" s="7"/>
      <c r="E230" s="7"/>
      <c r="F230" s="7"/>
      <c r="G230" s="7"/>
      <c r="H230" s="7"/>
      <c r="I230" s="25"/>
    </row>
    <row r="231" spans="1:9" x14ac:dyDescent="0.2">
      <c r="A231" s="111"/>
      <c r="B231" s="79"/>
      <c r="D231" s="7"/>
      <c r="E231" s="7"/>
      <c r="F231" s="7"/>
      <c r="G231" s="7"/>
      <c r="H231" s="7"/>
      <c r="I231" s="25"/>
    </row>
    <row r="232" spans="1:9" x14ac:dyDescent="0.2">
      <c r="A232" s="400" t="s">
        <v>390</v>
      </c>
      <c r="B232" s="165" t="str">
        <f>IF(MODE_TC=1, "YES", "NO")</f>
        <v>YES</v>
      </c>
      <c r="D232" s="7"/>
      <c r="E232" s="7"/>
      <c r="F232" s="7"/>
      <c r="G232" s="7"/>
      <c r="H232" s="7"/>
      <c r="I232" s="25"/>
    </row>
    <row r="233" spans="1:9" x14ac:dyDescent="0.2">
      <c r="A233" s="111" t="s">
        <v>299</v>
      </c>
      <c r="B233" s="165" t="str">
        <f>IF(MODE_TC=2, "YES", "NO")</f>
        <v>NO</v>
      </c>
      <c r="C233" s="390" t="str">
        <f>IF(MODE_TC=2, "R1", "")</f>
        <v/>
      </c>
      <c r="D233" s="390" t="str">
        <f>IF(MODE_TC=2, "R2", "")</f>
        <v/>
      </c>
      <c r="E233" s="390"/>
      <c r="F233" s="7"/>
      <c r="G233" s="7"/>
      <c r="H233" s="7"/>
      <c r="I233" s="25"/>
    </row>
    <row r="234" spans="1:9" x14ac:dyDescent="0.2">
      <c r="A234" s="24" t="str">
        <f>"RFB = "&amp;'LM(2)518x PSR flyback converter'!E27&amp;"kΩ"</f>
        <v>RFB = 106.4kΩ</v>
      </c>
      <c r="B234" s="7" t="str">
        <f>IF(MODE_TC=1, "", 'LM(2)518x PSR flyback converter'!E27&amp;"kΩ")</f>
        <v/>
      </c>
      <c r="C234" s="78" t="str">
        <f>'LM(2)518x PSR flyback converter'!E27&amp;"kΩ"</f>
        <v>106.4kΩ</v>
      </c>
      <c r="D234" s="7"/>
      <c r="E234" s="7"/>
      <c r="F234" s="7"/>
      <c r="G234" s="7"/>
      <c r="H234" s="7"/>
      <c r="I234" s="25"/>
    </row>
    <row r="235" spans="1:9" x14ac:dyDescent="0.2">
      <c r="A235" s="24" t="str">
        <f>"RFB2 = "&amp;IF(Vout=Vref,"OPEN",'LM(2)518x PSR flyback converter'!E28&amp;"kΩ")</f>
        <v>RFB2 = 107kΩ</v>
      </c>
      <c r="B235" s="7" t="str">
        <f>IF(MODE_TC=1, "", IF(Vout=Vref,"OPEN",Rfb2_u/1000&amp;"kΩ"))</f>
        <v/>
      </c>
      <c r="C235" s="78" t="str">
        <f>'LM(2)518x PSR flyback converter'!E28&amp;"kΩ"</f>
        <v>107kΩ</v>
      </c>
      <c r="D235" s="7"/>
      <c r="E235" s="7"/>
      <c r="F235" s="7"/>
      <c r="G235" s="7"/>
      <c r="H235" s="7"/>
      <c r="I235" s="25"/>
    </row>
    <row r="236" spans="1:9" x14ac:dyDescent="0.2">
      <c r="A236" s="24"/>
      <c r="B236" s="7"/>
      <c r="C236" s="78"/>
      <c r="D236" s="7"/>
      <c r="E236" s="7"/>
      <c r="F236" s="7"/>
      <c r="G236" s="7"/>
      <c r="H236" s="7"/>
      <c r="I236" s="25"/>
    </row>
    <row r="237" spans="1:9" x14ac:dyDescent="0.2">
      <c r="A237" s="111" t="s">
        <v>303</v>
      </c>
      <c r="B237" s="40" t="str">
        <f>IF(MODE=1, "YES", "NO")</f>
        <v>YES</v>
      </c>
      <c r="C237" s="7" t="str">
        <f>IF(MODE=1,"Rt", "")</f>
        <v>Rt</v>
      </c>
      <c r="D237" s="7"/>
      <c r="E237" s="7"/>
      <c r="F237" s="7"/>
      <c r="G237" s="7"/>
      <c r="H237" s="7"/>
      <c r="I237" s="25"/>
    </row>
    <row r="238" spans="1:9" x14ac:dyDescent="0.2">
      <c r="A238" s="111" t="s">
        <v>139</v>
      </c>
      <c r="B238" s="7" t="e">
        <f>IF(MODE=2, "", 'Standard Value Calculator'!J4/1000&amp;"kΩ")</f>
        <v>#NAME?</v>
      </c>
      <c r="C238" s="40"/>
      <c r="D238" s="7"/>
      <c r="E238" s="7"/>
      <c r="F238" s="7"/>
      <c r="G238" s="7"/>
      <c r="H238" s="7"/>
      <c r="I238" s="25"/>
    </row>
    <row r="239" spans="1:9" x14ac:dyDescent="0.2">
      <c r="A239" s="111"/>
      <c r="B239" s="7"/>
      <c r="C239" s="40"/>
      <c r="D239" s="7"/>
      <c r="E239" s="7"/>
      <c r="F239" s="7"/>
      <c r="G239" s="7"/>
      <c r="H239" s="7"/>
      <c r="I239" s="25"/>
    </row>
    <row r="240" spans="1:9" x14ac:dyDescent="0.2">
      <c r="A240" s="400" t="s">
        <v>380</v>
      </c>
      <c r="B240" s="165" t="str">
        <f>IF(MODE=1, "YES", "NO")</f>
        <v>YES</v>
      </c>
      <c r="C240" s="78" t="str">
        <f>IF(TC=1,"Rtc", "")</f>
        <v>Rtc</v>
      </c>
      <c r="D240" s="7"/>
      <c r="E240" s="7"/>
      <c r="F240" s="7"/>
      <c r="G240" s="7"/>
      <c r="H240" s="7"/>
      <c r="I240" s="25"/>
    </row>
    <row r="241" spans="1:9" x14ac:dyDescent="0.2">
      <c r="A241" s="531" t="str">
        <f>"RTC = "&amp;RTC&amp;"kΩ"</f>
        <v>RTC = 107kΩ</v>
      </c>
      <c r="B241" s="7" t="str">
        <f>IF(TC=1, RTC&amp;"kΩ", "")</f>
        <v>107kΩ</v>
      </c>
      <c r="C241" s="78" t="str">
        <f>CHOOSE(TC,"Rtc","")</f>
        <v>Rtc</v>
      </c>
      <c r="D241" s="7"/>
      <c r="E241" s="7"/>
      <c r="F241" s="8"/>
      <c r="G241" s="7"/>
      <c r="H241" s="7"/>
      <c r="I241" s="25"/>
    </row>
    <row r="242" spans="1:9" x14ac:dyDescent="0.2">
      <c r="A242" s="111" t="s">
        <v>383</v>
      </c>
      <c r="B242" s="372"/>
      <c r="C242" s="7"/>
      <c r="D242" s="7"/>
      <c r="E242" s="7"/>
      <c r="F242" s="8"/>
      <c r="G242" s="7"/>
      <c r="H242" s="7"/>
      <c r="I242" s="25"/>
    </row>
    <row r="243" spans="1:9" x14ac:dyDescent="0.2">
      <c r="A243" s="24"/>
      <c r="B243" s="79"/>
      <c r="C243" s="165"/>
      <c r="D243" s="7"/>
      <c r="E243" s="114"/>
      <c r="F243" s="7"/>
      <c r="G243" s="7"/>
      <c r="H243" s="7"/>
      <c r="I243" s="25"/>
    </row>
    <row r="244" spans="1:9" x14ac:dyDescent="0.2">
      <c r="A244" s="400" t="s">
        <v>306</v>
      </c>
      <c r="B244" s="165" t="str">
        <f>IF(MODE_UVLO=1, "YES", "NO")</f>
        <v>NO</v>
      </c>
      <c r="C244" s="390" t="str">
        <f>IF(MODE_UVLO=1, "Ruv1", "")</f>
        <v/>
      </c>
      <c r="D244" s="390" t="str">
        <f>IF(MODE_UVLO=1, "Ruv2", "")</f>
        <v/>
      </c>
      <c r="E244" s="390"/>
      <c r="F244" s="390" t="s">
        <v>6</v>
      </c>
      <c r="G244" s="390" t="s">
        <v>33</v>
      </c>
      <c r="H244" s="78" t="s">
        <v>340</v>
      </c>
      <c r="I244" s="25"/>
    </row>
    <row r="245" spans="1:9" x14ac:dyDescent="0.2">
      <c r="A245" s="24" t="str">
        <f>"RUV1 = "&amp;C245</f>
        <v xml:space="preserve">RUV1 = </v>
      </c>
      <c r="B245" s="7" t="str">
        <f>'LM(2)518x PSR flyback converter'!E38&amp;" kΩ"</f>
        <v>280 kΩ</v>
      </c>
      <c r="C245" s="390" t="str">
        <f>IF(MODE_UVLO=1,'LM(2)518x PSR flyback converter'!E38&amp;"kΩ", "")</f>
        <v/>
      </c>
      <c r="F245" s="7" t="str">
        <f>IF(MODE_UVLO=1,'LM(2)518x PSR flyback converter'!E38, "")</f>
        <v/>
      </c>
      <c r="G245" s="78" t="str">
        <f>IF(MODE_UVLO=1,"kΩ", "")</f>
        <v/>
      </c>
      <c r="H245" s="390" t="str">
        <f>IF(MODE_UVLO=1,'LM(2)518x PSR flyback converter'!E38&amp;"k", "")</f>
        <v/>
      </c>
      <c r="I245" s="25"/>
    </row>
    <row r="246" spans="1:9" x14ac:dyDescent="0.2">
      <c r="A246" s="24" t="str">
        <f>"RUV2 = "&amp;C246</f>
        <v xml:space="preserve">RUV2 = </v>
      </c>
      <c r="B246" s="7" t="str">
        <f>IF(D158&gt;=1000, D158/1000&amp;" MΩ", D158&amp;" kΩ")</f>
        <v>25.5 kΩ</v>
      </c>
      <c r="C246" s="390" t="str">
        <f>IF(MODE_UVLO=1, IF(D158&lt;1, D158*1000&amp;"Ω", IF(D158&lt;1000, D158&amp;"kΩ", D158/1000&amp;"MΩ")), "")</f>
        <v/>
      </c>
      <c r="F246" s="7" t="str">
        <f>IF(MODE_UVLO=1, IF(D158&lt;1, D158*1000, IF(D158&lt;1000, D158, D158/1000)), "")</f>
        <v/>
      </c>
      <c r="G246" s="78" t="str">
        <f>IF(MODE_UVLO=1, IF(D158&lt;1, "Ω", IF(D158&lt;1000,"kΩ", "MΩ")), "")</f>
        <v/>
      </c>
      <c r="H246" s="390" t="str">
        <f>IF(MODE_UVLO=1, IF(D158&lt;1, D158*1000, IF(D158&lt;1000, D158&amp;"k", D158/1000&amp;"M")), "")</f>
        <v/>
      </c>
      <c r="I246" s="25"/>
    </row>
    <row r="247" spans="1:9" x14ac:dyDescent="0.2">
      <c r="A247" s="24"/>
      <c r="B247" s="7"/>
      <c r="C247" s="390"/>
      <c r="F247" s="7"/>
      <c r="G247" s="78"/>
      <c r="H247" s="390"/>
      <c r="I247" s="25"/>
    </row>
    <row r="248" spans="1:9" x14ac:dyDescent="0.2">
      <c r="A248" s="400" t="s">
        <v>384</v>
      </c>
      <c r="B248" s="7"/>
      <c r="C248" s="390"/>
      <c r="F248" s="7"/>
      <c r="G248" s="78"/>
      <c r="H248" s="390"/>
      <c r="I248" s="25"/>
    </row>
    <row r="249" spans="1:9" x14ac:dyDescent="0.2">
      <c r="A249" s="24" t="str">
        <f>"RSET = "&amp;C249</f>
        <v>RSET = 12.1kΩ</v>
      </c>
      <c r="B249" s="78" t="s">
        <v>379</v>
      </c>
      <c r="C249" s="78" t="s">
        <v>544</v>
      </c>
      <c r="F249" s="7" t="str">
        <f>IF(MODE_UVLO=1, IF(D159&lt;1, D159*1000, IF(D159&lt;1000, D159, D159/1000)), "")</f>
        <v/>
      </c>
      <c r="G249" s="78" t="str">
        <f>IF(MODE_UVLO=1, IF(D159&lt;1, "Ω", IF(D159&lt;1000,"kΩ", "MΩ")), "")</f>
        <v/>
      </c>
      <c r="H249" s="390" t="str">
        <f>IF(MODE_UVLO=1, IF(D159&lt;1, D159*1000, IF(D159&lt;1000, D159&amp;"k", D159&amp;"M")), "")</f>
        <v/>
      </c>
      <c r="I249" s="25"/>
    </row>
    <row r="250" spans="1:9" x14ac:dyDescent="0.2">
      <c r="A250" s="24"/>
      <c r="B250" s="78"/>
      <c r="C250" s="78"/>
      <c r="F250" s="7"/>
      <c r="G250" s="78"/>
      <c r="H250" s="390"/>
      <c r="I250" s="25"/>
    </row>
    <row r="251" spans="1:9" x14ac:dyDescent="0.2">
      <c r="A251" s="400" t="s">
        <v>385</v>
      </c>
      <c r="B251" s="79"/>
      <c r="C251" s="165"/>
      <c r="D251" s="7"/>
      <c r="E251" s="114"/>
      <c r="F251" s="7"/>
      <c r="G251" s="7"/>
      <c r="H251" s="7"/>
      <c r="I251" s="25"/>
    </row>
    <row r="252" spans="1:9" x14ac:dyDescent="0.2">
      <c r="A252" s="24" t="str">
        <f>"Css = "&amp;Css*1000000000&amp;"nF"</f>
        <v>Css = 45nF</v>
      </c>
      <c r="B252" s="7" t="str">
        <f>Css*1000000000&amp;"nF"</f>
        <v>45nF</v>
      </c>
      <c r="D252" s="7"/>
      <c r="E252" s="7"/>
      <c r="F252" s="7"/>
      <c r="G252" s="7"/>
      <c r="H252" s="7"/>
      <c r="I252" s="25"/>
    </row>
    <row r="253" spans="1:9" x14ac:dyDescent="0.2">
      <c r="A253" s="24" t="s">
        <v>66</v>
      </c>
      <c r="B253" s="7" t="str">
        <f>CHOOSE(MODE_SS,'Standard Value Calculator'!B4*1000000000&amp;"nF","")</f>
        <v>47nF</v>
      </c>
      <c r="C253" s="7" t="str">
        <f>CHOOSE(MODE_SS,"Css","")</f>
        <v>Css</v>
      </c>
      <c r="D253" s="401" t="str">
        <f>B253</f>
        <v>47nF</v>
      </c>
      <c r="E253" s="7"/>
      <c r="F253" s="7"/>
      <c r="G253" s="7"/>
      <c r="H253" s="7"/>
      <c r="I253" s="25"/>
    </row>
    <row r="254" spans="1:9" x14ac:dyDescent="0.2">
      <c r="A254" s="24"/>
      <c r="B254" s="7"/>
      <c r="C254" s="78" t="str">
        <f>C253</f>
        <v>Css</v>
      </c>
      <c r="D254" s="40"/>
      <c r="E254" s="7"/>
      <c r="F254" s="7"/>
      <c r="G254" s="7"/>
      <c r="H254" s="7"/>
      <c r="I254" s="25"/>
    </row>
    <row r="255" spans="1:9" x14ac:dyDescent="0.2">
      <c r="A255" s="24"/>
      <c r="B255" s="7"/>
      <c r="C255" s="78"/>
      <c r="D255" s="40"/>
      <c r="E255" s="7"/>
      <c r="F255" s="7"/>
      <c r="G255" s="7"/>
      <c r="H255" s="7"/>
      <c r="I255" s="25"/>
    </row>
    <row r="256" spans="1:9" x14ac:dyDescent="0.2">
      <c r="A256" s="111" t="s">
        <v>653</v>
      </c>
      <c r="B256" s="78">
        <f>ROUND(Iout*2,1)</f>
        <v>2</v>
      </c>
      <c r="C256" s="78" t="s">
        <v>1</v>
      </c>
      <c r="D256" s="7"/>
      <c r="E256" s="7"/>
      <c r="F256" s="7"/>
      <c r="G256" s="7"/>
      <c r="H256" s="7"/>
      <c r="I256" s="25"/>
    </row>
    <row r="257" spans="1:9" x14ac:dyDescent="0.2">
      <c r="A257" s="111" t="s">
        <v>654</v>
      </c>
      <c r="B257">
        <f>ROUND(VRRM_DIODE,0)</f>
        <v>18</v>
      </c>
      <c r="C257" s="78" t="s">
        <v>0</v>
      </c>
      <c r="D257" s="7"/>
      <c r="E257" s="7"/>
      <c r="F257" s="7"/>
      <c r="G257" s="7"/>
      <c r="H257" s="7"/>
      <c r="I257" s="25"/>
    </row>
    <row r="258" spans="1:9" x14ac:dyDescent="0.2">
      <c r="F258" s="7"/>
      <c r="G258" s="7"/>
      <c r="H258" s="7"/>
      <c r="I258" s="25"/>
    </row>
    <row r="259" spans="1:9" x14ac:dyDescent="0.2">
      <c r="A259" s="111"/>
      <c r="B259" s="372"/>
      <c r="C259" s="7"/>
      <c r="D259" s="7"/>
      <c r="E259" s="7"/>
      <c r="F259" s="7"/>
      <c r="G259" s="7"/>
      <c r="H259" s="7"/>
      <c r="I259" s="25"/>
    </row>
    <row r="260" spans="1:9" x14ac:dyDescent="0.2">
      <c r="A260" s="111" t="s">
        <v>129</v>
      </c>
      <c r="B260" s="78" t="s">
        <v>311</v>
      </c>
      <c r="C260" s="7"/>
      <c r="D260" s="7"/>
      <c r="E260" s="7"/>
      <c r="F260" s="7"/>
      <c r="G260" s="7"/>
      <c r="H260" s="7"/>
      <c r="I260" s="25"/>
    </row>
    <row r="261" spans="1:9" x14ac:dyDescent="0.2">
      <c r="A261" s="111"/>
      <c r="B261" s="78"/>
      <c r="C261" s="7"/>
      <c r="D261" s="7"/>
      <c r="E261" s="7"/>
      <c r="F261" s="7"/>
      <c r="G261" s="7"/>
      <c r="H261" s="7"/>
      <c r="I261" s="25"/>
    </row>
    <row r="262" spans="1:9" x14ac:dyDescent="0.2">
      <c r="A262" s="111" t="s">
        <v>183</v>
      </c>
      <c r="B262" s="357" t="str">
        <f>CHOOSE(MODE, ROUND('Calculations - Single'!$CD$105,1)&amp;"%", ROUND('Calculations - Dual'!CF105,1)&amp;"%")</f>
        <v>78.6%</v>
      </c>
      <c r="C262" s="7"/>
      <c r="D262" s="7"/>
      <c r="E262" s="7"/>
      <c r="F262" s="7"/>
      <c r="G262" s="7"/>
      <c r="H262" s="7"/>
      <c r="I262" s="25"/>
    </row>
    <row r="263" spans="1:9" x14ac:dyDescent="0.2">
      <c r="A263" s="111" t="s">
        <v>501</v>
      </c>
      <c r="B263" s="357" t="str">
        <f>ROUND('Calculations - Single'!$CD$55,1)&amp;"%"</f>
        <v>76.3%</v>
      </c>
      <c r="C263" s="7"/>
      <c r="D263" s="7"/>
      <c r="E263" s="7"/>
      <c r="F263" s="7"/>
      <c r="G263" s="7"/>
      <c r="H263" s="7"/>
      <c r="I263" s="25"/>
    </row>
    <row r="264" spans="1:9" x14ac:dyDescent="0.2">
      <c r="A264" s="111" t="s">
        <v>308</v>
      </c>
      <c r="B264" s="357" t="str">
        <f>ROUND('Calculations - Single'!$CD$15,1)&amp;"%"</f>
        <v>66.4%</v>
      </c>
      <c r="C264" s="78" t="s">
        <v>313</v>
      </c>
      <c r="D264" s="7"/>
      <c r="E264" s="7"/>
      <c r="F264" s="7"/>
      <c r="G264" s="7"/>
      <c r="H264" s="7"/>
      <c r="I264" s="25"/>
    </row>
    <row r="265" spans="1:9" x14ac:dyDescent="0.2">
      <c r="A265" s="111" t="s">
        <v>312</v>
      </c>
      <c r="B265" s="357" t="str">
        <f>ROUND(Parameters!BZ56,1)&amp;"%"</f>
        <v>0%</v>
      </c>
      <c r="C265" s="78" t="s">
        <v>314</v>
      </c>
      <c r="D265" s="7"/>
      <c r="E265" s="7"/>
      <c r="F265" s="7"/>
      <c r="G265" s="7"/>
      <c r="H265" s="7"/>
      <c r="I265" s="25"/>
    </row>
    <row r="266" spans="1:9" x14ac:dyDescent="0.2">
      <c r="A266" s="24"/>
      <c r="B266" s="7"/>
      <c r="C266" s="40"/>
      <c r="D266" s="7"/>
      <c r="E266" s="7"/>
      <c r="F266" s="7"/>
      <c r="G266" s="7"/>
      <c r="H266" s="7"/>
      <c r="I266" s="25"/>
    </row>
    <row r="267" spans="1:9" x14ac:dyDescent="0.2">
      <c r="A267" s="24"/>
      <c r="B267" s="7"/>
      <c r="C267" s="40"/>
      <c r="D267" s="7"/>
      <c r="E267" s="7"/>
      <c r="F267" s="7"/>
      <c r="G267" s="7"/>
      <c r="H267" s="7"/>
      <c r="I267" s="25"/>
    </row>
    <row r="268" spans="1:9" x14ac:dyDescent="0.2">
      <c r="A268" s="24"/>
      <c r="B268" s="7"/>
      <c r="C268" s="40"/>
      <c r="D268" s="7"/>
      <c r="E268" s="7"/>
      <c r="F268" s="7"/>
      <c r="G268" s="7"/>
      <c r="H268" s="7"/>
      <c r="I268" s="25"/>
    </row>
    <row r="269" spans="1:9" x14ac:dyDescent="0.2">
      <c r="A269" s="24" t="s">
        <v>80</v>
      </c>
      <c r="B269" s="7" t="str">
        <f>IF(C269="y","","|")</f>
        <v>|</v>
      </c>
      <c r="C269" s="40" t="s">
        <v>320</v>
      </c>
      <c r="D269" s="7"/>
      <c r="E269" s="7"/>
      <c r="F269" s="7"/>
      <c r="G269" s="7"/>
      <c r="H269" s="7"/>
      <c r="I269" s="25"/>
    </row>
    <row r="270" spans="1:9" x14ac:dyDescent="0.2">
      <c r="A270" s="24"/>
      <c r="B270" s="7"/>
      <c r="C270" s="40"/>
      <c r="D270" s="7"/>
      <c r="E270" s="7"/>
      <c r="F270" s="7"/>
      <c r="G270" s="7"/>
      <c r="H270" s="7"/>
      <c r="I270" s="25"/>
    </row>
    <row r="271" spans="1:9" x14ac:dyDescent="0.2">
      <c r="A271" s="505" t="s">
        <v>86</v>
      </c>
      <c r="B271" s="7" t="str">
        <f>'LM(2)518x PSR flyback converter'!$E$11&amp;"A"</f>
        <v>1A</v>
      </c>
      <c r="C271" s="40"/>
      <c r="D271" s="7"/>
      <c r="E271" s="7"/>
      <c r="F271" s="7"/>
      <c r="G271" s="7"/>
      <c r="H271" s="7"/>
      <c r="I271" s="25"/>
    </row>
    <row r="272" spans="1:9" x14ac:dyDescent="0.2">
      <c r="A272" s="505" t="s">
        <v>520</v>
      </c>
      <c r="B272" s="7" t="str">
        <f>IF(MODE_TOP="DUAL", 'LM(2)518x PSR flyback converter'!$E$13&amp;"A", "")</f>
        <v/>
      </c>
      <c r="C272" s="40"/>
      <c r="D272" s="78">
        <f>MODE</f>
        <v>1</v>
      </c>
      <c r="E272" s="7"/>
      <c r="F272" s="7"/>
      <c r="G272" s="7"/>
      <c r="H272" s="7"/>
      <c r="I272" s="25"/>
    </row>
    <row r="273" spans="1:9" x14ac:dyDescent="0.2">
      <c r="A273" s="505" t="s">
        <v>519</v>
      </c>
      <c r="B273" s="7" t="str">
        <f>IF(MODE_TOP="BIPOLAR", Iout2_actual&amp;"A", "")</f>
        <v/>
      </c>
      <c r="C273" s="40"/>
      <c r="D273" s="7"/>
      <c r="E273" s="7"/>
      <c r="F273" s="7"/>
      <c r="G273" s="7"/>
      <c r="H273" s="7"/>
      <c r="I273" s="25"/>
    </row>
    <row r="274" spans="1:9" x14ac:dyDescent="0.2">
      <c r="A274" s="24"/>
      <c r="B274" s="7"/>
      <c r="C274" s="40"/>
      <c r="D274" s="7"/>
      <c r="E274" s="7"/>
      <c r="F274" s="7"/>
      <c r="G274" s="7"/>
      <c r="H274" s="7"/>
      <c r="I274" s="25"/>
    </row>
    <row r="275" spans="1:9" x14ac:dyDescent="0.2">
      <c r="A275" s="111" t="s">
        <v>94</v>
      </c>
      <c r="B275" s="7">
        <v>1</v>
      </c>
      <c r="C275" s="40"/>
      <c r="D275" s="7"/>
      <c r="E275" s="7"/>
      <c r="F275" s="7"/>
      <c r="G275" s="7"/>
      <c r="H275" s="7"/>
      <c r="I275" s="25"/>
    </row>
    <row r="276" spans="1:9" x14ac:dyDescent="0.2">
      <c r="A276" s="111" t="s">
        <v>93</v>
      </c>
      <c r="B276" s="7">
        <v>2</v>
      </c>
      <c r="C276" s="40"/>
      <c r="D276" s="7"/>
      <c r="E276" s="7"/>
      <c r="F276" s="7"/>
      <c r="G276" s="7"/>
      <c r="H276" s="7"/>
      <c r="I276" s="25"/>
    </row>
    <row r="277" spans="1:9" x14ac:dyDescent="0.2">
      <c r="A277" s="604" t="s">
        <v>57</v>
      </c>
      <c r="B277" s="7">
        <v>3</v>
      </c>
      <c r="C277" s="40"/>
      <c r="D277" s="7"/>
      <c r="E277" s="7"/>
      <c r="F277" s="7"/>
      <c r="G277" s="7"/>
      <c r="H277" s="7"/>
      <c r="I277" s="25"/>
    </row>
    <row r="278" spans="1:9" x14ac:dyDescent="0.2">
      <c r="A278" s="111" t="s">
        <v>565</v>
      </c>
      <c r="B278" s="7">
        <v>4</v>
      </c>
      <c r="C278" s="40"/>
      <c r="D278" s="7"/>
      <c r="E278" s="7"/>
      <c r="F278" s="7"/>
      <c r="G278" s="7"/>
      <c r="H278" s="7"/>
      <c r="I278" s="25"/>
    </row>
    <row r="279" spans="1:9" x14ac:dyDescent="0.2">
      <c r="A279" s="111" t="s">
        <v>566</v>
      </c>
      <c r="B279" s="7">
        <v>5</v>
      </c>
      <c r="C279" s="40"/>
      <c r="D279" s="7"/>
      <c r="E279" s="7"/>
      <c r="F279" s="7"/>
      <c r="G279" s="7"/>
      <c r="H279" s="7"/>
      <c r="I279" s="25"/>
    </row>
    <row r="280" spans="1:9" x14ac:dyDescent="0.2">
      <c r="A280" s="111" t="s">
        <v>567</v>
      </c>
      <c r="B280" s="7">
        <v>6</v>
      </c>
      <c r="C280" s="40"/>
      <c r="D280" s="7"/>
      <c r="E280" s="7"/>
      <c r="F280" s="7"/>
      <c r="G280" s="7"/>
      <c r="H280" s="7"/>
      <c r="I280" s="25"/>
    </row>
    <row r="281" spans="1:9" x14ac:dyDescent="0.2">
      <c r="A281" s="111" t="s">
        <v>568</v>
      </c>
      <c r="B281" s="7">
        <v>7</v>
      </c>
      <c r="C281" s="40"/>
      <c r="D281" s="7"/>
      <c r="E281" s="7"/>
      <c r="F281" s="7"/>
      <c r="G281" s="7"/>
      <c r="H281" s="7"/>
      <c r="I281" s="25"/>
    </row>
    <row r="282" spans="1:9" x14ac:dyDescent="0.2">
      <c r="A282" s="604" t="s">
        <v>92</v>
      </c>
      <c r="B282" s="7">
        <v>8</v>
      </c>
      <c r="C282" s="40"/>
      <c r="D282" s="7"/>
      <c r="E282" s="7"/>
      <c r="F282" s="7"/>
      <c r="G282" s="7"/>
      <c r="H282" s="7"/>
      <c r="I282" s="25"/>
    </row>
    <row r="283" spans="1:9" ht="13.5" thickBot="1" x14ac:dyDescent="0.2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40625" defaultRowHeight="12.75" x14ac:dyDescent="0.2"/>
  <cols>
    <col min="1" max="1" width="10.42578125" style="174" customWidth="1"/>
    <col min="2" max="2" width="10.7109375" style="174" customWidth="1"/>
    <col min="3" max="3" width="6.140625" style="174" customWidth="1"/>
    <col min="4" max="4" width="16.28515625" style="174" customWidth="1"/>
    <col min="5" max="5" width="4.42578125" style="174" customWidth="1"/>
    <col min="6" max="6" width="3.28515625" style="174" customWidth="1"/>
    <col min="7" max="7" width="16.140625" style="174" customWidth="1"/>
    <col min="8" max="8" width="15.7109375" style="174" customWidth="1"/>
    <col min="9" max="9" width="10" style="174" customWidth="1"/>
    <col min="10" max="10" width="10.85546875" style="174" customWidth="1"/>
    <col min="11" max="11" width="10.140625" style="174" customWidth="1"/>
    <col min="12" max="14" width="11.85546875" style="174" customWidth="1"/>
    <col min="15" max="15" width="14.28515625" style="174" customWidth="1"/>
    <col min="16" max="16" width="11" style="174" customWidth="1"/>
    <col min="17" max="17" width="12" style="174" customWidth="1"/>
    <col min="18" max="18" width="11.42578125" style="174" customWidth="1"/>
    <col min="19" max="19" width="10.85546875" style="174" customWidth="1"/>
    <col min="20" max="20" width="11.42578125" style="174" customWidth="1"/>
    <col min="21" max="21" width="11.85546875" style="174" customWidth="1"/>
    <col min="22" max="22" width="13.5703125" style="174" customWidth="1"/>
    <col min="23" max="23" width="9.42578125" style="174" customWidth="1"/>
    <col min="24" max="24" width="16.140625" style="174" bestFit="1" customWidth="1"/>
    <col min="25" max="25" width="16.140625" style="176" customWidth="1"/>
    <col min="26" max="26" width="8.85546875" style="174" bestFit="1" customWidth="1"/>
    <col min="27" max="27" width="13.42578125" style="174" bestFit="1" customWidth="1"/>
    <col min="28" max="28" width="9.28515625" style="174" bestFit="1" customWidth="1"/>
    <col min="29" max="29" width="9.140625" style="174"/>
    <col min="30" max="30" width="13.5703125" style="174" customWidth="1"/>
    <col min="31" max="31" width="10.5703125" style="174" customWidth="1"/>
    <col min="32" max="32" width="9.140625" style="174"/>
    <col min="33" max="33" width="9.28515625" style="174" bestFit="1" customWidth="1"/>
    <col min="34" max="34" width="11.28515625" style="174" bestFit="1" customWidth="1"/>
    <col min="35" max="35" width="5.85546875" style="174" customWidth="1"/>
    <col min="36" max="36" width="12.28515625" style="174" customWidth="1"/>
    <col min="37" max="37" width="8.85546875" style="174" customWidth="1"/>
    <col min="38" max="38" width="18.140625" style="174" customWidth="1"/>
    <col min="39" max="39" width="45.28515625" style="174" customWidth="1"/>
    <col min="40" max="40" width="19.28515625" style="174" bestFit="1" customWidth="1"/>
    <col min="41" max="41" width="40.7109375" style="174" bestFit="1" customWidth="1"/>
    <col min="42" max="42" width="40.140625" style="174" bestFit="1" customWidth="1"/>
    <col min="43" max="43" width="40.7109375" style="174" bestFit="1" customWidth="1"/>
    <col min="44" max="44" width="40.140625" style="174" bestFit="1" customWidth="1"/>
    <col min="45" max="45" width="28.42578125" style="174" customWidth="1"/>
    <col min="46" max="16384" width="9.140625" style="174"/>
  </cols>
  <sheetData>
    <row r="1" spans="1:44" ht="13.5" thickBot="1" x14ac:dyDescent="0.25"/>
    <row r="2" spans="1:44" s="193" customFormat="1" x14ac:dyDescent="0.2">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x14ac:dyDescent="0.2">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28.184000000000001</v>
      </c>
      <c r="X4" s="736" t="s">
        <v>2</v>
      </c>
      <c r="Y4" s="451">
        <f>20*LOG(Am*Afb)</f>
        <v>1.6557074063289998</v>
      </c>
      <c r="Z4" s="174" t="s">
        <v>787</v>
      </c>
    </row>
    <row r="5" spans="1:44" x14ac:dyDescent="0.2">
      <c r="H5" s="653" t="s">
        <v>712</v>
      </c>
      <c r="I5" s="273">
        <f>1/(2*Pi*REAout*Ccomp)</f>
        <v>0.5526213308116541</v>
      </c>
      <c r="J5" s="654" t="s">
        <v>8</v>
      </c>
      <c r="K5" s="657"/>
      <c r="L5" s="194"/>
      <c r="M5" s="654"/>
      <c r="N5" s="662"/>
      <c r="O5" s="662"/>
      <c r="P5" s="663" t="s">
        <v>727</v>
      </c>
      <c r="Q5" s="665">
        <f>Rload_pri/(2*Pi*Lmag*M*(M+1))</f>
        <v>1007398.3222602601</v>
      </c>
      <c r="R5" s="660" t="s">
        <v>8</v>
      </c>
      <c r="S5" s="663"/>
      <c r="T5" s="192"/>
      <c r="U5" s="660"/>
      <c r="V5" s="734" t="s">
        <v>713</v>
      </c>
      <c r="W5" s="737">
        <f>AK9</f>
        <v>60.699821884679082</v>
      </c>
      <c r="X5" s="738" t="s">
        <v>714</v>
      </c>
      <c r="Y5" s="451">
        <f>20*LOG(Am)</f>
        <v>23.521825181113623</v>
      </c>
      <c r="Z5" s="174" t="s">
        <v>787</v>
      </c>
    </row>
    <row r="6" spans="1:44" x14ac:dyDescent="0.2">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5" thickBot="1" x14ac:dyDescent="0.25">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28.184000000000001</v>
      </c>
    </row>
    <row r="8" spans="1:44" x14ac:dyDescent="0.2">
      <c r="H8" s="675"/>
      <c r="I8" s="676"/>
      <c r="J8" s="677"/>
      <c r="K8" s="677"/>
      <c r="L8" s="678"/>
      <c r="M8" s="678"/>
      <c r="N8" s="678"/>
      <c r="O8" s="677"/>
      <c r="P8" s="677"/>
      <c r="Q8" s="677"/>
      <c r="R8" s="677"/>
      <c r="S8" s="677"/>
      <c r="T8" s="677"/>
      <c r="U8" s="677"/>
      <c r="V8" s="677"/>
      <c r="W8" s="677"/>
      <c r="X8" s="677"/>
    </row>
    <row r="9" spans="1:44" ht="13.5" thickBot="1" x14ac:dyDescent="0.25">
      <c r="A9" s="726"/>
      <c r="B9" s="731" t="s">
        <v>773</v>
      </c>
      <c r="AJ9" s="174" t="s">
        <v>720</v>
      </c>
      <c r="AK9" s="176">
        <f>SUM(AK13:AK613)</f>
        <v>60.699821884679082</v>
      </c>
    </row>
    <row r="10" spans="1:44" ht="15" x14ac:dyDescent="0.25">
      <c r="A10" s="729"/>
      <c r="B10" s="263" t="s">
        <v>777</v>
      </c>
      <c r="G10" s="841" t="s">
        <v>721</v>
      </c>
      <c r="H10" s="844" t="s">
        <v>771</v>
      </c>
      <c r="I10" s="846" t="s">
        <v>722</v>
      </c>
      <c r="J10" s="847"/>
      <c r="K10" s="847"/>
      <c r="L10" s="847"/>
      <c r="M10" s="847"/>
      <c r="N10" s="848"/>
      <c r="O10" s="846" t="s">
        <v>723</v>
      </c>
      <c r="P10" s="847"/>
      <c r="Q10" s="847"/>
      <c r="R10" s="847"/>
      <c r="S10" s="847"/>
      <c r="T10" s="848"/>
      <c r="U10" s="826" t="s">
        <v>775</v>
      </c>
      <c r="V10" s="849"/>
      <c r="W10" s="826" t="s">
        <v>724</v>
      </c>
      <c r="X10" s="827"/>
      <c r="Y10" s="828"/>
      <c r="AD10" s="829" t="s">
        <v>725</v>
      </c>
      <c r="AE10" s="830"/>
      <c r="AG10" s="829" t="s">
        <v>726</v>
      </c>
      <c r="AH10" s="830"/>
      <c r="AM10" s="337" t="s">
        <v>776</v>
      </c>
    </row>
    <row r="11" spans="1:44" x14ac:dyDescent="0.2">
      <c r="G11" s="842"/>
      <c r="H11" s="845"/>
      <c r="I11" s="831" t="s">
        <v>710</v>
      </c>
      <c r="J11" s="832"/>
      <c r="K11" s="832" t="s">
        <v>705</v>
      </c>
      <c r="L11" s="833"/>
      <c r="M11" s="834" t="s">
        <v>727</v>
      </c>
      <c r="N11" s="835"/>
      <c r="O11" s="831" t="s">
        <v>728</v>
      </c>
      <c r="P11" s="832"/>
      <c r="Q11" s="832" t="s">
        <v>729</v>
      </c>
      <c r="R11" s="833"/>
      <c r="S11" s="834" t="s">
        <v>730</v>
      </c>
      <c r="T11" s="835"/>
      <c r="U11" s="831" t="s">
        <v>706</v>
      </c>
      <c r="V11" s="833"/>
      <c r="W11" s="657"/>
      <c r="X11" s="175"/>
      <c r="Y11" s="679"/>
      <c r="AD11" s="657"/>
      <c r="AE11" s="654"/>
      <c r="AG11" s="657"/>
      <c r="AH11" s="654"/>
    </row>
    <row r="12" spans="1:44" ht="13.5" thickBot="1" x14ac:dyDescent="0.25">
      <c r="A12" s="677"/>
      <c r="B12" s="677"/>
      <c r="C12" s="677"/>
      <c r="D12" s="677"/>
      <c r="E12" s="677"/>
      <c r="F12" s="722"/>
      <c r="G12" s="843"/>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x14ac:dyDescent="0.2">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1.0000000000000049</v>
      </c>
      <c r="N13" s="694">
        <f t="shared" ref="N13:N76" si="5">-ATAN(G13/z_RHP)</f>
        <v>-9.9265601093749678E-8</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96.720751086805038</v>
      </c>
      <c r="X13" s="699">
        <f t="shared" ref="X13:X76" si="13">((L13+R13+N13+V13)-(J13+P13+T13))*radconv</f>
        <v>-10.258379405410318</v>
      </c>
      <c r="Y13" s="700">
        <f t="shared" ref="Y13:Y76" si="14">IF(X13&gt;0,X13,X13+180)</f>
        <v>169.74162059458968</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27.047125371804306</v>
      </c>
      <c r="AH13" s="702">
        <f t="shared" ref="AH13:AH76" si="20">(L13+N13-(J13+V13))*radconv</f>
        <v>-5.5206016746656853E-3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x14ac:dyDescent="0.2">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1.0000000000005924</v>
      </c>
      <c r="N14" s="694">
        <f t="shared" si="5"/>
        <v>-1.0884473159925391E-6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89.92607611372668</v>
      </c>
      <c r="X14" s="699">
        <f t="shared" si="13"/>
        <v>-63.267566384525708</v>
      </c>
      <c r="Y14" s="702">
        <f t="shared" si="14"/>
        <v>116.73243361547429</v>
      </c>
      <c r="AA14" s="174">
        <f t="shared" si="15"/>
        <v>1000000000</v>
      </c>
      <c r="AB14" s="174">
        <f t="shared" si="16"/>
        <v>1.2023122500000001</v>
      </c>
      <c r="AD14" s="701">
        <f t="shared" si="17"/>
        <v>88.273848729113467</v>
      </c>
      <c r="AE14" s="702">
        <f t="shared" si="18"/>
        <v>-63.205454162803761</v>
      </c>
      <c r="AG14" s="701">
        <f t="shared" si="19"/>
        <v>27.047120443423168</v>
      </c>
      <c r="AH14" s="702">
        <f t="shared" si="20"/>
        <v>-6.0533263107672167E-2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x14ac:dyDescent="0.2">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1.0000000000007123</v>
      </c>
      <c r="N15" s="694">
        <f t="shared" si="5"/>
        <v>-1.1934703219495897E-6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89.276580319786873</v>
      </c>
      <c r="X15" s="699">
        <f t="shared" si="13"/>
        <v>-65.331259735218055</v>
      </c>
      <c r="Y15" s="702">
        <f t="shared" si="14"/>
        <v>114.66874026478195</v>
      </c>
      <c r="AA15" s="174">
        <f t="shared" si="15"/>
        <v>1000000000</v>
      </c>
      <c r="AB15" s="174">
        <f t="shared" si="16"/>
        <v>1.4455252899999997</v>
      </c>
      <c r="AD15" s="701">
        <f t="shared" si="17"/>
        <v>87.624353940705731</v>
      </c>
      <c r="AE15" s="702">
        <f t="shared" si="18"/>
        <v>-65.263154381715353</v>
      </c>
      <c r="AG15" s="701">
        <f t="shared" si="19"/>
        <v>27.047119438111224</v>
      </c>
      <c r="AH15" s="702">
        <f t="shared" si="20"/>
        <v>-6.6374040055742767E-2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x14ac:dyDescent="0.2">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1.0000000000008562</v>
      </c>
      <c r="N16" s="694">
        <f t="shared" si="5"/>
        <v>-1.3086184192181593E-6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88.605899560765792</v>
      </c>
      <c r="X16" s="699">
        <f t="shared" si="13"/>
        <v>-67.275045076431866</v>
      </c>
      <c r="Y16" s="702">
        <f t="shared" si="14"/>
        <v>112.72495492356813</v>
      </c>
      <c r="AA16" s="174">
        <f t="shared" si="15"/>
        <v>1000000000</v>
      </c>
      <c r="AB16" s="174">
        <f t="shared" si="16"/>
        <v>1.7379148900000001</v>
      </c>
      <c r="AD16" s="701">
        <f t="shared" si="17"/>
        <v>86.953674390530381</v>
      </c>
      <c r="AE16" s="702">
        <f t="shared" si="18"/>
        <v>-67.200368808182958</v>
      </c>
      <c r="AG16" s="701">
        <f t="shared" si="19"/>
        <v>27.047118229530135</v>
      </c>
      <c r="AH16" s="702">
        <f t="shared" si="20"/>
        <v>-7.2777917968034456E-2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1.0000000000010294</v>
      </c>
      <c r="N17" s="694">
        <f t="shared" si="5"/>
        <v>-1.4347849982080781E-6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87.91695334778052</v>
      </c>
      <c r="X17" s="699">
        <f t="shared" si="13"/>
        <v>-69.096442529878431</v>
      </c>
      <c r="Y17" s="702">
        <f t="shared" si="14"/>
        <v>110.90355747012157</v>
      </c>
      <c r="AA17" s="174">
        <f t="shared" si="15"/>
        <v>1000000000</v>
      </c>
      <c r="AB17" s="174">
        <f t="shared" si="16"/>
        <v>2.0891811599999999</v>
      </c>
      <c r="AD17" s="701">
        <f t="shared" si="17"/>
        <v>86.264729629808116</v>
      </c>
      <c r="AE17" s="702">
        <f t="shared" si="18"/>
        <v>-69.014566578073442</v>
      </c>
      <c r="AG17" s="701">
        <f t="shared" si="19"/>
        <v>27.047116777585039</v>
      </c>
      <c r="AH17" s="702">
        <f t="shared" si="20"/>
        <v>-7.9794576158996655E-2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1.0000000000012377</v>
      </c>
      <c r="N18" s="694">
        <f t="shared" si="5"/>
        <v>-1.5732605117335458E-6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87.210902325869242</v>
      </c>
      <c r="X18" s="699">
        <f t="shared" si="13"/>
        <v>-70.799176801419236</v>
      </c>
      <c r="Y18" s="702">
        <f t="shared" si="14"/>
        <v>109.20082319858076</v>
      </c>
      <c r="AA18" s="174">
        <f t="shared" si="15"/>
        <v>1000000000</v>
      </c>
      <c r="AB18" s="174">
        <f t="shared" si="16"/>
        <v>2.51190801</v>
      </c>
      <c r="AD18" s="701">
        <f t="shared" si="17"/>
        <v>85.558680355603357</v>
      </c>
      <c r="AE18" s="702">
        <f t="shared" si="18"/>
        <v>-70.709398760955509</v>
      </c>
      <c r="AG18" s="701">
        <f t="shared" si="19"/>
        <v>27.04711503026116</v>
      </c>
      <c r="AH18" s="702">
        <f t="shared" si="20"/>
        <v>-8.7495783680774875E-2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1.0000000000014879</v>
      </c>
      <c r="N19" s="694">
        <f t="shared" si="5"/>
        <v>-1.7250376158054766E-6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86.49087039437704</v>
      </c>
      <c r="X19" s="699">
        <f t="shared" si="13"/>
        <v>-72.383174952739665</v>
      </c>
      <c r="Y19" s="702">
        <f t="shared" si="14"/>
        <v>107.61682504726033</v>
      </c>
      <c r="AA19" s="174">
        <f t="shared" si="15"/>
        <v>1000000000</v>
      </c>
      <c r="AB19" s="174">
        <f t="shared" si="16"/>
        <v>3.0199488400000001</v>
      </c>
      <c r="AD19" s="701">
        <f t="shared" si="17"/>
        <v>84.838650524535723</v>
      </c>
      <c r="AE19" s="702">
        <f t="shared" si="18"/>
        <v>-72.284735774211526</v>
      </c>
      <c r="AG19" s="701">
        <f t="shared" si="19"/>
        <v>27.04711293029639</v>
      </c>
      <c r="AH19" s="702">
        <f t="shared" si="20"/>
        <v>-9.593674548107009E-2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1.0000000000017888</v>
      </c>
      <c r="N20" s="694">
        <f t="shared" si="5"/>
        <v>-1.8915060288391505E-6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85.758324250013629</v>
      </c>
      <c r="X20" s="699">
        <f t="shared" si="13"/>
        <v>-73.853280667934072</v>
      </c>
      <c r="Y20" s="702">
        <f t="shared" si="14"/>
        <v>106.14671933206593</v>
      </c>
      <c r="AA20" s="174">
        <f t="shared" si="15"/>
        <v>1000000000</v>
      </c>
      <c r="AB20" s="174">
        <f t="shared" si="16"/>
        <v>3.63093025</v>
      </c>
      <c r="AD20" s="701">
        <f t="shared" si="17"/>
        <v>84.106106906189126</v>
      </c>
      <c r="AE20" s="702">
        <f t="shared" si="18"/>
        <v>-73.745341999671879</v>
      </c>
      <c r="AG20" s="701">
        <f t="shared" si="19"/>
        <v>27.047110404832541</v>
      </c>
      <c r="AH20" s="702">
        <f t="shared" si="20"/>
        <v>-0.10519474837439544</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x14ac:dyDescent="0.2">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1.0000000000021507</v>
      </c>
      <c r="N21" s="694">
        <f t="shared" si="5"/>
        <v>-2.0739562036487455E-6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85.015533598372301</v>
      </c>
      <c r="X21" s="699">
        <f t="shared" si="13"/>
        <v>-75.213200667538075</v>
      </c>
      <c r="Y21" s="702">
        <f t="shared" si="14"/>
        <v>104.78679933246192</v>
      </c>
      <c r="AA21" s="174">
        <f t="shared" si="15"/>
        <v>1000000000</v>
      </c>
      <c r="AB21" s="174">
        <f t="shared" si="16"/>
        <v>4.3651744900000002</v>
      </c>
      <c r="AD21" s="701">
        <f t="shared" si="17"/>
        <v>83.363319290175554</v>
      </c>
      <c r="AE21" s="702">
        <f t="shared" si="18"/>
        <v>-75.09485051982081</v>
      </c>
      <c r="AG21" s="701">
        <f t="shared" si="19"/>
        <v>27.047107369869352</v>
      </c>
      <c r="AH21" s="702">
        <f t="shared" si="20"/>
        <v>-0.11534155718241633</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1.0000000000025857</v>
      </c>
      <c r="N22" s="694">
        <f t="shared" si="5"/>
        <v>-2.2740756554527991E-6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84.263469927306872</v>
      </c>
      <c r="X22" s="699">
        <f t="shared" si="13"/>
        <v>-76.46940761660602</v>
      </c>
      <c r="Y22" s="702">
        <f t="shared" si="14"/>
        <v>103.53059238339398</v>
      </c>
      <c r="AA22" s="174">
        <f t="shared" si="15"/>
        <v>1000000000</v>
      </c>
      <c r="AB22" s="174">
        <f t="shared" si="16"/>
        <v>5.2482228100000006</v>
      </c>
      <c r="AD22" s="701">
        <f t="shared" si="17"/>
        <v>82.611259269944242</v>
      </c>
      <c r="AE22" s="702">
        <f t="shared" si="18"/>
        <v>-76.339637702831524</v>
      </c>
      <c r="AG22" s="701">
        <f t="shared" si="19"/>
        <v>27.047103719834467</v>
      </c>
      <c r="AH22" s="702">
        <f t="shared" si="20"/>
        <v>-0.12647101707550024</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1.0000000000031086</v>
      </c>
      <c r="N23" s="694">
        <f t="shared" si="5"/>
        <v>-2.493452633868739E-6</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83.50390494418528</v>
      </c>
      <c r="X23" s="699">
        <f t="shared" si="13"/>
        <v>-77.627007163653872</v>
      </c>
      <c r="Y23" s="702">
        <f t="shared" si="14"/>
        <v>102.37299283634613</v>
      </c>
      <c r="AA23" s="174">
        <f t="shared" si="15"/>
        <v>1000000000</v>
      </c>
      <c r="AB23" s="174">
        <f t="shared" si="16"/>
        <v>6.309641609999999</v>
      </c>
      <c r="AD23" s="701">
        <f t="shared" si="17"/>
        <v>81.851698675099385</v>
      </c>
      <c r="AE23" s="702">
        <f t="shared" si="18"/>
        <v>-77.484718570715032</v>
      </c>
      <c r="AG23" s="701">
        <f t="shared" si="19"/>
        <v>27.047099332518442</v>
      </c>
      <c r="AH23" s="702">
        <f t="shared" si="20"/>
        <v>-0.13867145662064512</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1.0000000000037375</v>
      </c>
      <c r="N24" s="694">
        <f t="shared" si="5"/>
        <v>-2.7339731853172507E-6</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82.737897454050653</v>
      </c>
      <c r="X24" s="699">
        <f t="shared" si="13"/>
        <v>-78.69226594854085</v>
      </c>
      <c r="Y24" s="702">
        <f t="shared" si="14"/>
        <v>101.30773405145915</v>
      </c>
      <c r="AA24" s="174">
        <f t="shared" si="15"/>
        <v>1000000000</v>
      </c>
      <c r="AB24" s="174">
        <f t="shared" si="16"/>
        <v>7.5856176399999997</v>
      </c>
      <c r="AD24" s="701">
        <f t="shared" si="17"/>
        <v>81.085696460290237</v>
      </c>
      <c r="AE24" s="702">
        <f t="shared" si="18"/>
        <v>-78.536252140095698</v>
      </c>
      <c r="AG24" s="701">
        <f t="shared" si="19"/>
        <v>27.047094058347788</v>
      </c>
      <c r="AH24" s="702">
        <f t="shared" si="20"/>
        <v>-0.15204776062953457</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x14ac:dyDescent="0.2">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1.0000000000044935</v>
      </c>
      <c r="N25" s="694">
        <f t="shared" si="5"/>
        <v>-2.9978211530222701E-6</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81.966041968924927</v>
      </c>
      <c r="X25" s="699">
        <f t="shared" si="13"/>
        <v>-79.671806934823465</v>
      </c>
      <c r="Y25" s="702">
        <f t="shared" si="14"/>
        <v>100.32819306517654</v>
      </c>
      <c r="AA25" s="174">
        <f t="shared" si="15"/>
        <v>1000000000</v>
      </c>
      <c r="AB25" s="174">
        <f t="shared" si="16"/>
        <v>9.1204000000000001</v>
      </c>
      <c r="AD25" s="701">
        <f t="shared" si="17"/>
        <v>80.31384732047627</v>
      </c>
      <c r="AE25" s="702">
        <f t="shared" si="18"/>
        <v>-79.500736760503372</v>
      </c>
      <c r="AG25" s="701">
        <f t="shared" si="19"/>
        <v>27.047087714425121</v>
      </c>
      <c r="AH25" s="702">
        <f t="shared" si="20"/>
        <v>-0.16672137522838515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x14ac:dyDescent="0.2">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1.0000000000054021</v>
      </c>
      <c r="N26" s="694">
        <f t="shared" si="5"/>
        <v>-3.2869818490055063E-6</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81.189939714405909</v>
      </c>
      <c r="X26" s="699">
        <f t="shared" si="13"/>
        <v>-80.570730574788058</v>
      </c>
      <c r="Y26" s="702">
        <f t="shared" si="14"/>
        <v>99.429269425211942</v>
      </c>
      <c r="AA26" s="174">
        <f t="shared" si="15"/>
        <v>1000000000</v>
      </c>
      <c r="AB26" s="174">
        <f t="shared" si="16"/>
        <v>10.964707690000001</v>
      </c>
      <c r="AD26" s="701">
        <f t="shared" si="17"/>
        <v>79.537752690939655</v>
      </c>
      <c r="AE26" s="702">
        <f t="shared" si="18"/>
        <v>-80.383159600869149</v>
      </c>
      <c r="AG26" s="701">
        <f t="shared" si="19"/>
        <v>27.047080091112008</v>
      </c>
      <c r="AH26" s="702">
        <f t="shared" si="20"/>
        <v>-0.18280270283155822</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1.0000000000064948</v>
      </c>
      <c r="N27" s="694">
        <f t="shared" si="5"/>
        <v>-3.6041354444962696E-6</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80.409705513697091</v>
      </c>
      <c r="X27" s="699">
        <f t="shared" si="13"/>
        <v>-81.395652799618134</v>
      </c>
      <c r="Y27" s="702">
        <f t="shared" si="14"/>
        <v>98.604347200381866</v>
      </c>
      <c r="AA27" s="174">
        <f t="shared" si="15"/>
        <v>1000000000</v>
      </c>
      <c r="AB27" s="174">
        <f t="shared" si="16"/>
        <v>13.182708639999998</v>
      </c>
      <c r="AD27" s="701">
        <f t="shared" si="17"/>
        <v>78.757527660167895</v>
      </c>
      <c r="AE27" s="702">
        <f t="shared" si="18"/>
        <v>-81.189983660507977</v>
      </c>
      <c r="AG27" s="701">
        <f t="shared" si="19"/>
        <v>27.047070923182414</v>
      </c>
      <c r="AH27" s="702">
        <f t="shared" si="20"/>
        <v>-0.20044078739096299</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1.0000000000078086</v>
      </c>
      <c r="N28" s="694">
        <f t="shared" si="5"/>
        <v>-3.9518628451227088E-6</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79.626260525439577</v>
      </c>
      <c r="X28" s="699">
        <f t="shared" si="13"/>
        <v>-82.151879046406734</v>
      </c>
      <c r="Y28" s="702">
        <f t="shared" si="14"/>
        <v>97.848120953593266</v>
      </c>
      <c r="AA28" s="174">
        <f t="shared" si="15"/>
        <v>1000000000</v>
      </c>
      <c r="AB28" s="174">
        <f t="shared" si="16"/>
        <v>15.849157210000001</v>
      </c>
      <c r="AD28" s="701">
        <f t="shared" si="17"/>
        <v>77.974093695850087</v>
      </c>
      <c r="AE28" s="702">
        <f t="shared" si="18"/>
        <v>-81.926367113398342</v>
      </c>
      <c r="AG28" s="701">
        <f t="shared" si="19"/>
        <v>27.047059901656038</v>
      </c>
      <c r="AH28" s="702">
        <f t="shared" si="20"/>
        <v>-0.21977914917711039</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1.000000000009388</v>
      </c>
      <c r="N29" s="694">
        <f t="shared" si="5"/>
        <v>-4.333142018917256E-6</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78.840068579911133</v>
      </c>
      <c r="X29" s="699">
        <f t="shared" si="13"/>
        <v>-82.844856994440775</v>
      </c>
      <c r="Y29" s="702">
        <f t="shared" si="14"/>
        <v>97.155143005559225</v>
      </c>
      <c r="AA29" s="174">
        <f t="shared" si="15"/>
        <v>1000000000</v>
      </c>
      <c r="AB29" s="174">
        <f t="shared" si="16"/>
        <v>19.054971039999998</v>
      </c>
      <c r="AD29" s="701">
        <f t="shared" si="17"/>
        <v>77.187915004130488</v>
      </c>
      <c r="AE29" s="702">
        <f t="shared" si="18"/>
        <v>-82.597587721856797</v>
      </c>
      <c r="AG29" s="701">
        <f t="shared" si="19"/>
        <v>27.047046650748733</v>
      </c>
      <c r="AH29" s="702">
        <f t="shared" si="20"/>
        <v>-0.24098338515732692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1.0000000000112867</v>
      </c>
      <c r="N30" s="694">
        <f t="shared" si="5"/>
        <v>-4.7511494651144065E-6</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78.051686099669965</v>
      </c>
      <c r="X30" s="699">
        <f t="shared" si="13"/>
        <v>-83.479584092941877</v>
      </c>
      <c r="Y30" s="702">
        <f t="shared" si="14"/>
        <v>96.520415907058123</v>
      </c>
      <c r="AA30" s="174">
        <f t="shared" si="15"/>
        <v>1000000000</v>
      </c>
      <c r="AB30" s="174">
        <f t="shared" si="16"/>
        <v>22.908667689999998</v>
      </c>
      <c r="AD30" s="701">
        <f t="shared" si="17"/>
        <v>76.399548456189152</v>
      </c>
      <c r="AE30" s="702">
        <f t="shared" si="18"/>
        <v>-83.20846169488928</v>
      </c>
      <c r="AG30" s="701">
        <f t="shared" si="19"/>
        <v>27.047030721936807</v>
      </c>
      <c r="AH30" s="702">
        <f t="shared" si="20"/>
        <v>-0.26423012638364624</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1.0000000000135696</v>
      </c>
      <c r="N31" s="694">
        <f t="shared" si="5"/>
        <v>-5.2095580109539658E-6</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77.261257677584908</v>
      </c>
      <c r="X31" s="699">
        <f t="shared" si="13"/>
        <v>-84.061020824398355</v>
      </c>
      <c r="Y31" s="702">
        <f t="shared" si="14"/>
        <v>95.938979175601645</v>
      </c>
      <c r="AA31" s="174">
        <f t="shared" si="15"/>
        <v>1000000000</v>
      </c>
      <c r="AB31" s="174">
        <f t="shared" si="16"/>
        <v>27.542553609999999</v>
      </c>
      <c r="AD31" s="701">
        <f t="shared" si="17"/>
        <v>75.60913919185532</v>
      </c>
      <c r="AE31" s="702">
        <f t="shared" si="18"/>
        <v>-83.763739961526781</v>
      </c>
      <c r="AG31" s="701">
        <f t="shared" si="19"/>
        <v>27.047011568379634</v>
      </c>
      <c r="AH31" s="702">
        <f t="shared" si="20"/>
        <v>-0.28972359873755876</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1.0000000000163143</v>
      </c>
      <c r="N32" s="694">
        <f t="shared" si="5"/>
        <v>-5.712139749276624E-6</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76.469308975341519</v>
      </c>
      <c r="X32" s="699">
        <f t="shared" si="13"/>
        <v>-84.59347564001834</v>
      </c>
      <c r="Y32" s="702">
        <f t="shared" si="14"/>
        <v>95.40652435998166</v>
      </c>
      <c r="AA32" s="174">
        <f t="shared" si="15"/>
        <v>1000000000</v>
      </c>
      <c r="AB32" s="174">
        <f t="shared" si="16"/>
        <v>33.113119360000006</v>
      </c>
      <c r="AD32" s="701">
        <f t="shared" si="17"/>
        <v>74.817213519741813</v>
      </c>
      <c r="AE32" s="702">
        <f t="shared" si="18"/>
        <v>-84.267515766203644</v>
      </c>
      <c r="AG32" s="701">
        <f t="shared" si="19"/>
        <v>27.046988543291597</v>
      </c>
      <c r="AH32" s="702">
        <f t="shared" si="20"/>
        <v>-0.31767353760685912</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1.0000000000196141</v>
      </c>
      <c r="N33" s="694">
        <f t="shared" si="5"/>
        <v>-6.2632623665293506E-6</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75.675944475038506</v>
      </c>
      <c r="X33" s="699">
        <f t="shared" si="13"/>
        <v>-85.081220433644759</v>
      </c>
      <c r="Y33" s="702">
        <f t="shared" si="14"/>
        <v>94.918779566355241</v>
      </c>
      <c r="AA33" s="174">
        <f t="shared" si="15"/>
        <v>1000000000</v>
      </c>
      <c r="AB33" s="174">
        <f t="shared" si="16"/>
        <v>39.811052159999996</v>
      </c>
      <c r="AD33" s="701">
        <f t="shared" si="17"/>
        <v>74.023876710227967</v>
      </c>
      <c r="AE33" s="702">
        <f t="shared" si="18"/>
        <v>-84.723811823321199</v>
      </c>
      <c r="AG33" s="701">
        <f t="shared" si="19"/>
        <v>27.046960858564638</v>
      </c>
      <c r="AH33" s="702">
        <f t="shared" si="20"/>
        <v>-0.34832278589967836</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1.0000000000235811</v>
      </c>
      <c r="N34" s="694">
        <f t="shared" si="5"/>
        <v>-6.8674920803609444E-6</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74.881545140340734</v>
      </c>
      <c r="X34" s="699">
        <f t="shared" si="13"/>
        <v>-85.528025499976962</v>
      </c>
      <c r="Y34" s="702">
        <f t="shared" si="14"/>
        <v>94.471974500023038</v>
      </c>
      <c r="AA34" s="174">
        <f t="shared" si="15"/>
        <v>1000000000</v>
      </c>
      <c r="AB34" s="174">
        <f t="shared" si="16"/>
        <v>47.862874890000008</v>
      </c>
      <c r="AD34" s="701">
        <f t="shared" si="17"/>
        <v>73.229510663376971</v>
      </c>
      <c r="AE34" s="702">
        <f t="shared" si="18"/>
        <v>-85.136137939283287</v>
      </c>
      <c r="AG34" s="701">
        <f t="shared" si="19"/>
        <v>27.046927578005437</v>
      </c>
      <c r="AH34" s="702">
        <f t="shared" si="20"/>
        <v>-0.38192520892505261</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1.0000000000283511</v>
      </c>
      <c r="N35" s="694">
        <f t="shared" si="5"/>
        <v>-7.5300899676273633E-6</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74.086124058772512</v>
      </c>
      <c r="X35" s="699">
        <f t="shared" si="13"/>
        <v>-85.937573221599905</v>
      </c>
      <c r="Y35" s="702">
        <f t="shared" si="14"/>
        <v>94.062426778400095</v>
      </c>
      <c r="AA35" s="174">
        <f t="shared" si="15"/>
        <v>1000000000</v>
      </c>
      <c r="AB35" s="174">
        <f t="shared" si="16"/>
        <v>57.544361639999998</v>
      </c>
      <c r="AD35" s="701">
        <f t="shared" si="17"/>
        <v>72.434129606674944</v>
      </c>
      <c r="AE35" s="702">
        <f t="shared" si="18"/>
        <v>-85.507876381764149</v>
      </c>
      <c r="AG35" s="701">
        <f t="shared" si="19"/>
        <v>27.04688756190172</v>
      </c>
      <c r="AH35" s="702">
        <f t="shared" si="20"/>
        <v>-0.4187732879775648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1.0000000000340852</v>
      </c>
      <c r="N36" s="694">
        <f t="shared" si="5"/>
        <v>-8.2565156363861352E-6</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73.290030313372498</v>
      </c>
      <c r="X36" s="699">
        <f t="shared" si="13"/>
        <v>-86.3130828436706</v>
      </c>
      <c r="Y36" s="702">
        <f t="shared" si="14"/>
        <v>93.6869171563294</v>
      </c>
      <c r="AA36" s="174">
        <f t="shared" si="15"/>
        <v>1000000000</v>
      </c>
      <c r="AB36" s="174">
        <f t="shared" si="16"/>
        <v>69.182469760000004</v>
      </c>
      <c r="AD36" s="701">
        <f t="shared" si="17"/>
        <v>71.638083974649163</v>
      </c>
      <c r="AE36" s="702">
        <f t="shared" si="18"/>
        <v>-85.841934986832243</v>
      </c>
      <c r="AG36" s="701">
        <f t="shared" si="19"/>
        <v>27.046839459060923</v>
      </c>
      <c r="AH36" s="702">
        <f t="shared" si="20"/>
        <v>-0.45917051282679394</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1.0000000000409797</v>
      </c>
      <c r="N37" s="694">
        <f t="shared" si="5"/>
        <v>-9.0531220851037668E-6</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72.493187997341607</v>
      </c>
      <c r="X37" s="699">
        <f t="shared" si="13"/>
        <v>-86.657719339905242</v>
      </c>
      <c r="Y37" s="702">
        <f t="shared" si="14"/>
        <v>93.342280660094758</v>
      </c>
      <c r="AA37" s="174">
        <f t="shared" si="15"/>
        <v>1000000000</v>
      </c>
      <c r="AB37" s="174">
        <f t="shared" si="16"/>
        <v>83.176224010000013</v>
      </c>
      <c r="AD37" s="701">
        <f t="shared" si="17"/>
        <v>70.841299509818498</v>
      </c>
      <c r="AE37" s="702">
        <f t="shared" si="18"/>
        <v>-86.141116384414218</v>
      </c>
      <c r="AG37" s="701">
        <f t="shared" si="19"/>
        <v>27.046781620526211</v>
      </c>
      <c r="AH37" s="702">
        <f t="shared" si="20"/>
        <v>-0.50347001156143267</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1.0000000000492681</v>
      </c>
      <c r="N38" s="694">
        <f t="shared" si="5"/>
        <v>-9.9265601090489577E-6</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71.695825644584701</v>
      </c>
      <c r="X38" s="699">
        <f t="shared" si="13"/>
        <v>-86.974259992313662</v>
      </c>
      <c r="Y38" s="702">
        <f t="shared" si="14"/>
        <v>93.025740007686338</v>
      </c>
      <c r="AA38" s="174">
        <f t="shared" si="15"/>
        <v>1000000000</v>
      </c>
      <c r="AB38" s="174">
        <f t="shared" si="16"/>
        <v>100</v>
      </c>
      <c r="AD38" s="701">
        <f t="shared" si="17"/>
        <v>70.044006706758111</v>
      </c>
      <c r="AE38" s="702">
        <f t="shared" si="18"/>
        <v>-86.4078185777893</v>
      </c>
      <c r="AG38" s="701">
        <f t="shared" si="19"/>
        <v>27.04671208605663</v>
      </c>
      <c r="AH38" s="702">
        <f t="shared" si="20"/>
        <v>-0.5520414144213861</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1.0000000000592357</v>
      </c>
      <c r="N39" s="694">
        <f t="shared" si="5"/>
        <v>-1.0884473159499855E-5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70.897844753558928</v>
      </c>
      <c r="X39" s="699">
        <f t="shared" si="13"/>
        <v>-87.265390417494146</v>
      </c>
      <c r="Y39" s="702">
        <f t="shared" si="14"/>
        <v>92.734609582505854</v>
      </c>
      <c r="AA39" s="174">
        <f t="shared" si="15"/>
        <v>1000000000</v>
      </c>
      <c r="AB39" s="174">
        <f t="shared" si="16"/>
        <v>120.23122499999999</v>
      </c>
      <c r="AD39" s="701">
        <f t="shared" si="17"/>
        <v>69.246109450390207</v>
      </c>
      <c r="AE39" s="702">
        <f t="shared" si="18"/>
        <v>-86.644291340770508</v>
      </c>
      <c r="AG39" s="701">
        <f t="shared" si="19"/>
        <v>27.046628469709702</v>
      </c>
      <c r="AH39" s="702">
        <f t="shared" si="20"/>
        <v>-0.60530947702076732</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1.0000000000712186</v>
      </c>
      <c r="N40" s="694">
        <f t="shared" si="5"/>
        <v>-1.1934703218934916E-5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70.099571746990932</v>
      </c>
      <c r="X40" s="699">
        <f t="shared" si="13"/>
        <v>-87.533433692993086</v>
      </c>
      <c r="Y40" s="702">
        <f t="shared" si="14"/>
        <v>92.466566307006914</v>
      </c>
      <c r="AA40" s="174">
        <f t="shared" si="15"/>
        <v>1000000000</v>
      </c>
      <c r="AB40" s="174">
        <f t="shared" si="16"/>
        <v>144.55252899999999</v>
      </c>
      <c r="AD40" s="701">
        <f t="shared" si="17"/>
        <v>68.447936984487342</v>
      </c>
      <c r="AE40" s="702">
        <f t="shared" si="18"/>
        <v>-86.852410679677504</v>
      </c>
      <c r="AG40" s="701">
        <f t="shared" si="19"/>
        <v>27.046527951057389</v>
      </c>
      <c r="AH40" s="702">
        <f t="shared" si="20"/>
        <v>-0.6637098932447586</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1.000000000085624</v>
      </c>
      <c r="N41" s="694">
        <f t="shared" si="5"/>
        <v>-1.3086184191442068E-5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69.301035623515972</v>
      </c>
      <c r="X41" s="699">
        <f t="shared" si="13"/>
        <v>-87.780642283614753</v>
      </c>
      <c r="Y41" s="702">
        <f t="shared" si="14"/>
        <v>92.219357716385247</v>
      </c>
      <c r="AA41" s="174">
        <f t="shared" si="15"/>
        <v>1000000000</v>
      </c>
      <c r="AB41" s="174">
        <f t="shared" si="16"/>
        <v>173.79148899999998</v>
      </c>
      <c r="AD41" s="701">
        <f t="shared" si="17"/>
        <v>67.649521727458051</v>
      </c>
      <c r="AE41" s="702">
        <f t="shared" si="18"/>
        <v>-87.033919818342724</v>
      </c>
      <c r="AG41" s="701">
        <f t="shared" si="19"/>
        <v>27.046407111075407</v>
      </c>
      <c r="AH41" s="702">
        <f t="shared" si="20"/>
        <v>-0.72773894555127283</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1.0000000001029306</v>
      </c>
      <c r="N42" s="694">
        <f t="shared" si="5"/>
        <v>-1.4347849981106073E-5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68.502782239215932</v>
      </c>
      <c r="X42" s="699">
        <f t="shared" si="13"/>
        <v>-88.00895204304166</v>
      </c>
      <c r="Y42" s="702">
        <f t="shared" si="14"/>
        <v>91.99104795695834</v>
      </c>
      <c r="AA42" s="174">
        <f t="shared" si="15"/>
        <v>1000000000</v>
      </c>
      <c r="AB42" s="174">
        <f t="shared" si="16"/>
        <v>208.91811600000003</v>
      </c>
      <c r="AD42" s="701">
        <f t="shared" si="17"/>
        <v>66.851413543279079</v>
      </c>
      <c r="AE42" s="702">
        <f t="shared" si="18"/>
        <v>-87.190245540481655</v>
      </c>
      <c r="AG42" s="701">
        <f t="shared" si="19"/>
        <v>27.046261942746874</v>
      </c>
      <c r="AH42" s="702">
        <f t="shared" si="20"/>
        <v>-0.79789274289254875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1.0000000001237574</v>
      </c>
      <c r="N43" s="694">
        <f t="shared" si="5"/>
        <v>-1.5732605116050422E-5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67.703502491925818</v>
      </c>
      <c r="X43" s="699">
        <f t="shared" si="13"/>
        <v>-88.220656479467877</v>
      </c>
      <c r="Y43" s="702">
        <f t="shared" si="14"/>
        <v>91.779343520532123</v>
      </c>
      <c r="AA43" s="174">
        <f t="shared" si="15"/>
        <v>1000000000</v>
      </c>
      <c r="AB43" s="174">
        <f t="shared" si="16"/>
        <v>251.19080099999999</v>
      </c>
      <c r="AD43" s="701">
        <f t="shared" si="17"/>
        <v>66.052308528762111</v>
      </c>
      <c r="AE43" s="702">
        <f t="shared" si="18"/>
        <v>-87.322945973846316</v>
      </c>
      <c r="AG43" s="701">
        <f t="shared" si="19"/>
        <v>27.046087248233988</v>
      </c>
      <c r="AH43" s="702">
        <f t="shared" si="20"/>
        <v>-0.87488794560977801</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1.0000000001487876</v>
      </c>
      <c r="N44" s="694">
        <f t="shared" si="5"/>
        <v>-1.7250376156360782E-5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66.904346621758734</v>
      </c>
      <c r="X44" s="699">
        <f t="shared" si="13"/>
        <v>-88.417222901491058</v>
      </c>
      <c r="Y44" s="702">
        <f t="shared" si="14"/>
        <v>91.582777098508942</v>
      </c>
      <c r="AA44" s="174">
        <f t="shared" si="15"/>
        <v>1000000000</v>
      </c>
      <c r="AB44" s="174">
        <f t="shared" si="16"/>
        <v>301.99488400000001</v>
      </c>
      <c r="AD44" s="701">
        <f t="shared" si="17"/>
        <v>65.253362646326167</v>
      </c>
      <c r="AE44" s="702">
        <f t="shared" si="18"/>
        <v>-87.432923257294249</v>
      </c>
      <c r="AG44" s="701">
        <f t="shared" si="19"/>
        <v>27.045877306484748</v>
      </c>
      <c r="AH44" s="702">
        <f t="shared" si="20"/>
        <v>-0.9592753245414235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1.0000000001788898</v>
      </c>
      <c r="N45" s="694">
        <f t="shared" si="5"/>
        <v>-1.8915060286158255E-5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66.10480003164848</v>
      </c>
      <c r="X45" s="699">
        <f t="shared" si="13"/>
        <v>-88.600442641808641</v>
      </c>
      <c r="Y45" s="702">
        <f t="shared" si="14"/>
        <v>91.399557358191359</v>
      </c>
      <c r="AA45" s="174">
        <f t="shared" si="15"/>
        <v>1000000000</v>
      </c>
      <c r="AB45" s="174">
        <f t="shared" si="16"/>
        <v>363.09302500000001</v>
      </c>
      <c r="AD45" s="701">
        <f t="shared" si="17"/>
        <v>64.454068578774027</v>
      </c>
      <c r="AE45" s="702">
        <f t="shared" si="18"/>
        <v>-87.521177420581751</v>
      </c>
      <c r="AG45" s="701">
        <f t="shared" si="19"/>
        <v>27.045624839225543</v>
      </c>
      <c r="AH45" s="702">
        <f t="shared" si="20"/>
        <v>-1.0518260213727719</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1.0000000002150649</v>
      </c>
      <c r="N46" s="694">
        <f t="shared" si="5"/>
        <v>-2.0739562033543623E-5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65.305454730028359</v>
      </c>
      <c r="X46" s="699">
        <f t="shared" si="13"/>
        <v>-88.77173155126269</v>
      </c>
      <c r="Y46" s="702">
        <f t="shared" si="14"/>
        <v>91.22826844873731</v>
      </c>
      <c r="AA46" s="174">
        <f t="shared" si="15"/>
        <v>1000000000</v>
      </c>
      <c r="AB46" s="174">
        <f t="shared" si="16"/>
        <v>436.51744900000006</v>
      </c>
      <c r="AD46" s="701">
        <f t="shared" si="17"/>
        <v>63.655026725615052</v>
      </c>
      <c r="AE46" s="702">
        <f t="shared" si="18"/>
        <v>-87.588390169028273</v>
      </c>
      <c r="AG46" s="701">
        <f t="shared" si="19"/>
        <v>27.045321457219579</v>
      </c>
      <c r="AH46" s="702">
        <f t="shared" si="20"/>
        <v>-1.1532554624542337</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1.0000000002585709</v>
      </c>
      <c r="N47" s="694">
        <f t="shared" si="5"/>
        <v>-2.2740756550647124E-5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64.505712096104205</v>
      </c>
      <c r="X47" s="699">
        <f t="shared" si="13"/>
        <v>-88.932668682704829</v>
      </c>
      <c r="Y47" s="702">
        <f t="shared" si="14"/>
        <v>91.067331317295171</v>
      </c>
      <c r="AA47" s="174">
        <f t="shared" si="15"/>
        <v>1000000000</v>
      </c>
      <c r="AB47" s="174">
        <f t="shared" si="16"/>
        <v>524.82228100000009</v>
      </c>
      <c r="AD47" s="701">
        <f t="shared" si="17"/>
        <v>62.855649009827623</v>
      </c>
      <c r="AE47" s="702">
        <f t="shared" si="18"/>
        <v>-87.635180601415982</v>
      </c>
      <c r="AG47" s="701">
        <f t="shared" si="19"/>
        <v>27.044956619006072</v>
      </c>
      <c r="AH47" s="702">
        <f t="shared" si="20"/>
        <v>-1.2644991216817296</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1.0000000003108653</v>
      </c>
      <c r="N48" s="694">
        <f t="shared" si="5"/>
        <v>-2.4934526333571544E-5</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63.70603608256738</v>
      </c>
      <c r="X48" s="699">
        <f t="shared" si="13"/>
        <v>-89.084519580484923</v>
      </c>
      <c r="Y48" s="702">
        <f t="shared" si="14"/>
        <v>90.915480419515077</v>
      </c>
      <c r="AA48" s="174">
        <f t="shared" si="15"/>
        <v>1000000000</v>
      </c>
      <c r="AB48" s="174">
        <f t="shared" si="16"/>
        <v>630.96416099999999</v>
      </c>
      <c r="AD48" s="701">
        <f t="shared" si="17"/>
        <v>62.056411585143152</v>
      </c>
      <c r="AE48" s="702">
        <f t="shared" si="18"/>
        <v>-87.661911850459774</v>
      </c>
      <c r="AG48" s="701">
        <f t="shared" si="19"/>
        <v>27.044518126220936</v>
      </c>
      <c r="AH48" s="702">
        <f t="shared" si="20"/>
        <v>-1.3864363707164278</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1.0000000003737304</v>
      </c>
      <c r="N49" s="694">
        <f t="shared" si="5"/>
        <v>-2.7339731846428833E-5</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62.906314646504114</v>
      </c>
      <c r="X49" s="699">
        <f t="shared" si="13"/>
        <v>-89.228593112220139</v>
      </c>
      <c r="Y49" s="702">
        <f t="shared" si="14"/>
        <v>90.771406887779861</v>
      </c>
      <c r="AA49" s="174">
        <f t="shared" si="15"/>
        <v>1000000000</v>
      </c>
      <c r="AB49" s="174">
        <f t="shared" si="16"/>
        <v>758.56176400000004</v>
      </c>
      <c r="AD49" s="701">
        <f t="shared" si="17"/>
        <v>61.257217336515055</v>
      </c>
      <c r="AE49" s="702">
        <f t="shared" si="18"/>
        <v>-87.668821718458716</v>
      </c>
      <c r="AG49" s="701">
        <f t="shared" si="19"/>
        <v>27.043991054272198</v>
      </c>
      <c r="AH49" s="702">
        <f t="shared" si="20"/>
        <v>-1.5201109144894387</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1.0000000004493466</v>
      </c>
      <c r="N50" s="694">
        <f t="shared" si="5"/>
        <v>-2.9978211521332096E-5</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62.106124080561514</v>
      </c>
      <c r="X50" s="699">
        <f t="shared" si="13"/>
        <v>-89.366179064618834</v>
      </c>
      <c r="Y50" s="702">
        <f t="shared" si="14"/>
        <v>90.633820935381166</v>
      </c>
      <c r="AA50" s="174">
        <f t="shared" si="15"/>
        <v>1000000000</v>
      </c>
      <c r="AB50" s="174">
        <f t="shared" si="16"/>
        <v>912.04</v>
      </c>
      <c r="AD50" s="701">
        <f t="shared" si="17"/>
        <v>60.457660802729819</v>
      </c>
      <c r="AE50" s="702">
        <f t="shared" si="18"/>
        <v>-87.655960706108488</v>
      </c>
      <c r="AG50" s="701">
        <f t="shared" si="19"/>
        <v>27.043357161025369</v>
      </c>
      <c r="AH50" s="702">
        <f t="shared" si="20"/>
        <v>-1.6667303594983798</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1.0000000005402123</v>
      </c>
      <c r="N51" s="694">
        <f t="shared" si="5"/>
        <v>-3.2869818478335644E-5</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61.306230172335169</v>
      </c>
      <c r="X51" s="699">
        <f t="shared" si="13"/>
        <v>-89.498306909740052</v>
      </c>
      <c r="Y51" s="702">
        <f t="shared" si="14"/>
        <v>90.501693090259948</v>
      </c>
      <c r="AA51" s="174">
        <f t="shared" si="15"/>
        <v>1000000000</v>
      </c>
      <c r="AB51" s="174">
        <f t="shared" si="16"/>
        <v>1096.470769</v>
      </c>
      <c r="AD51" s="701">
        <f t="shared" si="17"/>
        <v>59.658528671910112</v>
      </c>
      <c r="AE51" s="702">
        <f t="shared" si="18"/>
        <v>-87.623234292360593</v>
      </c>
      <c r="AG51" s="701">
        <f t="shared" si="19"/>
        <v>27.042595550543872</v>
      </c>
      <c r="AH51" s="702">
        <f t="shared" si="20"/>
        <v>-1.8273898987362471</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1.0000000006494896</v>
      </c>
      <c r="N52" s="694">
        <f t="shared" si="5"/>
        <v>-3.6041354429513099E-5</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60.505988938287992</v>
      </c>
      <c r="X52" s="699">
        <f t="shared" si="13"/>
        <v>-89.626198587634349</v>
      </c>
      <c r="Y52" s="702">
        <f t="shared" si="14"/>
        <v>90.373801412365651</v>
      </c>
      <c r="AA52" s="174">
        <f t="shared" si="15"/>
        <v>1000000000</v>
      </c>
      <c r="AB52" s="174">
        <f t="shared" si="16"/>
        <v>1318.2708640000001</v>
      </c>
      <c r="AD52" s="701">
        <f t="shared" si="17"/>
        <v>58.859203389556704</v>
      </c>
      <c r="AE52" s="702">
        <f t="shared" si="18"/>
        <v>-87.570347005947099</v>
      </c>
      <c r="AG52" s="701">
        <f t="shared" si="19"/>
        <v>27.041679799597588</v>
      </c>
      <c r="AH52" s="702">
        <f t="shared" si="20"/>
        <v>-2.00356806348154</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1.0000000007808609</v>
      </c>
      <c r="N53" s="694">
        <f t="shared" si="5"/>
        <v>-3.9518628430860447E-5</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59.705699832060219</v>
      </c>
      <c r="X53" s="699">
        <f t="shared" si="13"/>
        <v>-89.750880523900506</v>
      </c>
      <c r="Y53" s="702">
        <f t="shared" si="14"/>
        <v>90.249119476099494</v>
      </c>
      <c r="AA53" s="174">
        <f t="shared" si="15"/>
        <v>1000000000</v>
      </c>
      <c r="AB53" s="174">
        <f t="shared" si="16"/>
        <v>1584.9157210000001</v>
      </c>
      <c r="AD53" s="701">
        <f t="shared" si="17"/>
        <v>58.060015171570811</v>
      </c>
      <c r="AE53" s="702">
        <f t="shared" si="18"/>
        <v>-87.496868114937143</v>
      </c>
      <c r="AG53" s="701">
        <f t="shared" si="19"/>
        <v>27.040579152691407</v>
      </c>
      <c r="AH53" s="702">
        <f t="shared" si="20"/>
        <v>-2.1966845712441834</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1.0000000009388059</v>
      </c>
      <c r="N54" s="694">
        <f t="shared" si="5"/>
        <v>-4.3331420162323888E-5</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58.905286860671808</v>
      </c>
      <c r="X54" s="699">
        <f t="shared" si="13"/>
        <v>-89.873410964067745</v>
      </c>
      <c r="Y54" s="702">
        <f t="shared" si="14"/>
        <v>90.126589035932255</v>
      </c>
      <c r="AA54" s="174">
        <f t="shared" si="15"/>
        <v>1000000000</v>
      </c>
      <c r="AB54" s="174">
        <f t="shared" si="16"/>
        <v>1905.497104</v>
      </c>
      <c r="AD54" s="701">
        <f t="shared" si="17"/>
        <v>57.260925405205711</v>
      </c>
      <c r="AE54" s="702">
        <f t="shared" si="18"/>
        <v>-87.402177183976434</v>
      </c>
      <c r="AG54" s="701">
        <f t="shared" si="19"/>
        <v>27.039256237820837</v>
      </c>
      <c r="AH54" s="702">
        <f t="shared" si="20"/>
        <v>-2.408374903181691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1.0000000011286709</v>
      </c>
      <c r="N55" s="694">
        <f t="shared" si="5"/>
        <v>-4.7511494615751669E-5</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58.104848720184343</v>
      </c>
      <c r="X55" s="699">
        <f t="shared" si="13"/>
        <v>-89.994799294313665</v>
      </c>
      <c r="Y55" s="702">
        <f t="shared" si="14"/>
        <v>90.005200705686335</v>
      </c>
      <c r="AA55" s="174">
        <f t="shared" si="15"/>
        <v>1000000000</v>
      </c>
      <c r="AB55" s="174">
        <f t="shared" si="16"/>
        <v>2290.8667689999997</v>
      </c>
      <c r="AD55" s="701">
        <f t="shared" si="17"/>
        <v>56.462077351160076</v>
      </c>
      <c r="AE55" s="702">
        <f t="shared" si="18"/>
        <v>-87.285498097990541</v>
      </c>
      <c r="AG55" s="701">
        <f t="shared" si="19"/>
        <v>27.037666500170513</v>
      </c>
      <c r="AH55" s="702">
        <f t="shared" si="20"/>
        <v>-2.6403784803688759</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1.0000000013569748</v>
      </c>
      <c r="N56" s="694">
        <f t="shared" si="5"/>
        <v>-5.2095580062882691E-5</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57.304133549935116</v>
      </c>
      <c r="X56" s="699">
        <f t="shared" si="13"/>
        <v>-90.116093817629903</v>
      </c>
      <c r="Y56" s="702">
        <f t="shared" si="14"/>
        <v>89.883906182370097</v>
      </c>
      <c r="AA56" s="174">
        <f t="shared" si="15"/>
        <v>1000000000</v>
      </c>
      <c r="AB56" s="174">
        <f t="shared" si="16"/>
        <v>2754.255361</v>
      </c>
      <c r="AD56" s="701">
        <f t="shared" si="17"/>
        <v>55.663273413392858</v>
      </c>
      <c r="AE56" s="702">
        <f t="shared" si="18"/>
        <v>-87.14581927718362</v>
      </c>
      <c r="AG56" s="701">
        <f t="shared" si="19"/>
        <v>27.035755687093527</v>
      </c>
      <c r="AH56" s="702">
        <f t="shared" si="20"/>
        <v>-2.8947019058402632</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1.000000001631427</v>
      </c>
      <c r="N57" s="694">
        <f t="shared" si="5"/>
        <v>-5.7121397431261245E-5</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56.503332087014762</v>
      </c>
      <c r="X57" s="699">
        <f t="shared" si="13"/>
        <v>-90.238268707278991</v>
      </c>
      <c r="Y57" s="702">
        <f t="shared" si="14"/>
        <v>89.761731292721009</v>
      </c>
      <c r="AA57" s="174">
        <f t="shared" si="15"/>
        <v>1000000000</v>
      </c>
      <c r="AB57" s="174">
        <f t="shared" si="16"/>
        <v>3311.3119360000005</v>
      </c>
      <c r="AD57" s="701">
        <f t="shared" si="17"/>
        <v>54.864768401267618</v>
      </c>
      <c r="AE57" s="702">
        <f t="shared" si="18"/>
        <v>-86.982009430082726</v>
      </c>
      <c r="AG57" s="701">
        <f t="shared" si="19"/>
        <v>27.033459740480662</v>
      </c>
      <c r="AH57" s="702">
        <f t="shared" si="20"/>
        <v>-3.1733959242258316</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1.0000000019614228</v>
      </c>
      <c r="N58" s="694">
        <f t="shared" si="5"/>
        <v>-6.2632623584213135E-5</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55.702254429603528</v>
      </c>
      <c r="X58" s="699">
        <f t="shared" si="13"/>
        <v>-90.362355829595373</v>
      </c>
      <c r="Y58" s="702">
        <f t="shared" si="14"/>
        <v>89.637644170404627</v>
      </c>
      <c r="AA58" s="174">
        <f t="shared" si="15"/>
        <v>1000000000</v>
      </c>
      <c r="AB58" s="174">
        <f t="shared" si="16"/>
        <v>3981.1052159999995</v>
      </c>
      <c r="AD58" s="701">
        <f t="shared" si="17"/>
        <v>54.066450342202124</v>
      </c>
      <c r="AE58" s="702">
        <f t="shared" si="18"/>
        <v>-86.792670352481139</v>
      </c>
      <c r="AG58" s="701">
        <f t="shared" si="19"/>
        <v>27.030700748353269</v>
      </c>
      <c r="AH58" s="702">
        <f t="shared" si="20"/>
        <v>-3.4788272464478176</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1.0000000023581224</v>
      </c>
      <c r="N59" s="694">
        <f t="shared" si="5"/>
        <v>-6.86749206967265E-5</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54.901027022195663</v>
      </c>
      <c r="X59" s="699">
        <f t="shared" si="13"/>
        <v>-90.489344112434637</v>
      </c>
      <c r="Y59" s="702">
        <f t="shared" si="14"/>
        <v>89.510655887565363</v>
      </c>
      <c r="AA59" s="174">
        <f t="shared" si="15"/>
        <v>1000000000</v>
      </c>
      <c r="AB59" s="174">
        <f t="shared" si="16"/>
        <v>4786.2874890000012</v>
      </c>
      <c r="AD59" s="701">
        <f t="shared" si="17"/>
        <v>53.26853802708095</v>
      </c>
      <c r="AE59" s="702">
        <f t="shared" si="18"/>
        <v>-86.576266874400673</v>
      </c>
      <c r="AG59" s="701">
        <f t="shared" si="19"/>
        <v>27.027386384823089</v>
      </c>
      <c r="AH59" s="702">
        <f t="shared" si="20"/>
        <v>-3.8134537303053353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1.0000000028351126</v>
      </c>
      <c r="N60" s="694">
        <f t="shared" si="5"/>
        <v>-7.5300899535372527E-5</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54.099434006882063</v>
      </c>
      <c r="X60" s="699">
        <f t="shared" si="13"/>
        <v>-90.620287672043517</v>
      </c>
      <c r="Y60" s="702">
        <f t="shared" si="14"/>
        <v>89.379712327956483</v>
      </c>
      <c r="AA60" s="174">
        <f t="shared" si="15"/>
        <v>1000000000</v>
      </c>
      <c r="AB60" s="174">
        <f t="shared" si="16"/>
        <v>5754.4361640000006</v>
      </c>
      <c r="AD60" s="701">
        <f t="shared" si="17"/>
        <v>52.470927721524362</v>
      </c>
      <c r="AE60" s="702">
        <f t="shared" si="18"/>
        <v>-86.330958868806533</v>
      </c>
      <c r="AG60" s="701">
        <f t="shared" si="19"/>
        <v>27.023404551320667</v>
      </c>
      <c r="AH60" s="702">
        <f t="shared" si="20"/>
        <v>-4.1800932994211273</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1.0000000034085024</v>
      </c>
      <c r="N61" s="694">
        <f t="shared" si="5"/>
        <v>-8.2565156178121806E-5</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53.29762005214215</v>
      </c>
      <c r="X61" s="699">
        <f t="shared" si="13"/>
        <v>-90.756198161649351</v>
      </c>
      <c r="Y61" s="702">
        <f t="shared" si="14"/>
        <v>89.243801838350649</v>
      </c>
      <c r="AA61" s="174">
        <f t="shared" si="15"/>
        <v>1000000000</v>
      </c>
      <c r="AB61" s="174">
        <f t="shared" si="16"/>
        <v>6918.2469760000004</v>
      </c>
      <c r="AD61" s="701">
        <f t="shared" si="17"/>
        <v>51.673896551183994</v>
      </c>
      <c r="AE61" s="702">
        <f t="shared" si="18"/>
        <v>-86.05478358335489</v>
      </c>
      <c r="AG61" s="701">
        <f t="shared" si="19"/>
        <v>27.018622820265978</v>
      </c>
      <c r="AH61" s="702">
        <f t="shared" si="20"/>
        <v>-4.5816411596698217</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1.0000000040979509</v>
      </c>
      <c r="N62" s="694">
        <f t="shared" si="5"/>
        <v>-9.0531220606182618E-5</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52.49531691445042</v>
      </c>
      <c r="X62" s="699">
        <f t="shared" si="13"/>
        <v>-90.89817570903783</v>
      </c>
      <c r="Y62" s="702">
        <f t="shared" si="14"/>
        <v>89.10182429096217</v>
      </c>
      <c r="AA62" s="174">
        <f t="shared" si="15"/>
        <v>1000000000</v>
      </c>
      <c r="AB62" s="174">
        <f t="shared" si="16"/>
        <v>8317.6224010000005</v>
      </c>
      <c r="AD62" s="701">
        <f t="shared" si="17"/>
        <v>50.877337307671063</v>
      </c>
      <c r="AE62" s="702">
        <f t="shared" si="18"/>
        <v>-85.745402578761258</v>
      </c>
      <c r="AG62" s="701">
        <f t="shared" si="19"/>
        <v>27.012880192637184</v>
      </c>
      <c r="AH62" s="702">
        <f t="shared" si="20"/>
        <v>-5.0214437184680145</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1.0000000049268298</v>
      </c>
      <c r="N63" s="694">
        <f t="shared" si="5"/>
        <v>-9.9265600767706855E-5</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51.692572229044949</v>
      </c>
      <c r="X63" s="699">
        <f t="shared" si="13"/>
        <v>-91.047288613886181</v>
      </c>
      <c r="Y63" s="702">
        <f t="shared" si="14"/>
        <v>88.952711386113819</v>
      </c>
      <c r="AA63" s="174">
        <f t="shared" si="15"/>
        <v>1000000000</v>
      </c>
      <c r="AB63" s="174">
        <f t="shared" si="16"/>
        <v>10000</v>
      </c>
      <c r="AD63" s="701">
        <f t="shared" si="17"/>
        <v>50.081488091419232</v>
      </c>
      <c r="AE63" s="702">
        <f t="shared" si="18"/>
        <v>-85.400333058717848</v>
      </c>
      <c r="AG63" s="701">
        <f t="shared" si="19"/>
        <v>27.005986246173606</v>
      </c>
      <c r="AH63" s="702">
        <f t="shared" si="20"/>
        <v>-5.5029555923185063</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1.0000000059235878</v>
      </c>
      <c r="N64" s="694">
        <f t="shared" si="5"/>
        <v>-1.0884473116946268E-4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50.889107860791121</v>
      </c>
      <c r="X64" s="699">
        <f t="shared" si="13"/>
        <v>-91.204687960127558</v>
      </c>
      <c r="Y64" s="702">
        <f t="shared" si="14"/>
        <v>88.795312039872442</v>
      </c>
      <c r="AA64" s="174">
        <f t="shared" si="15"/>
        <v>1000000000</v>
      </c>
      <c r="AB64" s="174">
        <f t="shared" si="16"/>
        <v>12023.122500000001</v>
      </c>
      <c r="AD64" s="701">
        <f t="shared" si="17"/>
        <v>49.286301315149302</v>
      </c>
      <c r="AE64" s="702">
        <f t="shared" si="18"/>
        <v>-85.0166868524893</v>
      </c>
      <c r="AG64" s="701">
        <f t="shared" si="19"/>
        <v>26.997710485281733</v>
      </c>
      <c r="AH64" s="702">
        <f t="shared" si="20"/>
        <v>-6.0301051565811505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1.0000000071218569</v>
      </c>
      <c r="N65" s="694">
        <f t="shared" si="5"/>
        <v>-1.193470316283673E-4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50.085071594646031</v>
      </c>
      <c r="X65" s="699">
        <f t="shared" si="13"/>
        <v>-91.371462317124085</v>
      </c>
      <c r="Y65" s="702">
        <f t="shared" si="14"/>
        <v>88.628537682875915</v>
      </c>
      <c r="AA65" s="174">
        <f t="shared" si="15"/>
        <v>1000000000</v>
      </c>
      <c r="AB65" s="174">
        <f t="shared" si="16"/>
        <v>14455.252900000001</v>
      </c>
      <c r="AD65" s="701">
        <f t="shared" si="17"/>
        <v>48.492195259891808</v>
      </c>
      <c r="AE65" s="702">
        <f t="shared" si="18"/>
        <v>-84.591497287731997</v>
      </c>
      <c r="AG65" s="701">
        <f t="shared" si="19"/>
        <v>26.987782475671331</v>
      </c>
      <c r="AH65" s="702">
        <f t="shared" si="20"/>
        <v>-6.6068338939391182</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1.0000000085624108</v>
      </c>
      <c r="N66" s="694">
        <f t="shared" si="5"/>
        <v>-1.3086184117489541E-4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49.280304651526478</v>
      </c>
      <c r="X66" s="699">
        <f t="shared" si="13"/>
        <v>-91.548771541148341</v>
      </c>
      <c r="Y66" s="702">
        <f t="shared" si="14"/>
        <v>88.451228458851659</v>
      </c>
      <c r="AA66" s="174">
        <f t="shared" si="15"/>
        <v>1000000000</v>
      </c>
      <c r="AB66" s="174">
        <f t="shared" si="16"/>
        <v>17379.148900000004</v>
      </c>
      <c r="AD66" s="701">
        <f t="shared" si="17"/>
        <v>47.699336398865633</v>
      </c>
      <c r="AE66" s="702">
        <f t="shared" si="18"/>
        <v>-84.121378042349264</v>
      </c>
      <c r="AG66" s="701">
        <f t="shared" si="19"/>
        <v>26.975877039942642</v>
      </c>
      <c r="AH66" s="702">
        <f t="shared" si="20"/>
        <v>-7.2375583838741839</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1.00000001029304</v>
      </c>
      <c r="N67" s="694">
        <f t="shared" si="5"/>
        <v>-1.4347849883635297E-4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48.475157374658636</v>
      </c>
      <c r="X67" s="699">
        <f t="shared" si="13"/>
        <v>-91.737658003338495</v>
      </c>
      <c r="Y67" s="702">
        <f t="shared" si="14"/>
        <v>88.262341996661505</v>
      </c>
      <c r="AA67" s="174">
        <f t="shared" si="15"/>
        <v>1000000000</v>
      </c>
      <c r="AB67" s="174">
        <f t="shared" si="16"/>
        <v>20891.811599999997</v>
      </c>
      <c r="AD67" s="701">
        <f t="shared" si="17"/>
        <v>46.908452028229888</v>
      </c>
      <c r="AE67" s="702">
        <f t="shared" si="18"/>
        <v>-83.602986462233318</v>
      </c>
      <c r="AG67" s="701">
        <f t="shared" si="19"/>
        <v>26.961617312956228</v>
      </c>
      <c r="AH67" s="702">
        <f t="shared" si="20"/>
        <v>-7.9265340532327784</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1.0000000123757431</v>
      </c>
      <c r="N68" s="694">
        <f t="shared" si="5"/>
        <v>-1.5732604987546655E-4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47.668090691745391</v>
      </c>
      <c r="X68" s="699">
        <f t="shared" si="13"/>
        <v>-91.939609365777741</v>
      </c>
      <c r="Y68" s="702">
        <f t="shared" si="14"/>
        <v>88.060390634222259</v>
      </c>
      <c r="AA68" s="174">
        <f t="shared" si="15"/>
        <v>1000000000</v>
      </c>
      <c r="AB68" s="174">
        <f t="shared" si="16"/>
        <v>25119.080100000003</v>
      </c>
      <c r="AD68" s="701">
        <f t="shared" si="17"/>
        <v>46.118487994764195</v>
      </c>
      <c r="AE68" s="702">
        <f t="shared" si="18"/>
        <v>-83.031413707723928</v>
      </c>
      <c r="AG68" s="701">
        <f t="shared" si="19"/>
        <v>26.944518489529308</v>
      </c>
      <c r="AH68" s="702">
        <f t="shared" si="20"/>
        <v>-8.6799702058686297</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1.0000000148787738</v>
      </c>
      <c r="N69" s="694">
        <f t="shared" si="5"/>
        <v>-1.725037598696225E-4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46.860023828363481</v>
      </c>
      <c r="X69" s="699">
        <f t="shared" si="13"/>
        <v>-92.155494897453764</v>
      </c>
      <c r="Y69" s="702">
        <f t="shared" si="14"/>
        <v>87.844505102546236</v>
      </c>
      <c r="AA69" s="174">
        <f t="shared" si="15"/>
        <v>1000000000</v>
      </c>
      <c r="AB69" s="174">
        <f t="shared" si="16"/>
        <v>30199.488400000002</v>
      </c>
      <c r="AD69" s="701">
        <f t="shared" si="17"/>
        <v>45.330886711554882</v>
      </c>
      <c r="AE69" s="702">
        <f t="shared" si="18"/>
        <v>-82.403077230231247</v>
      </c>
      <c r="AG69" s="701">
        <f t="shared" si="19"/>
        <v>26.924057507535927</v>
      </c>
      <c r="AH69" s="702">
        <f t="shared" si="20"/>
        <v>-9.5021746620609466</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1.0000000178889752</v>
      </c>
      <c r="N70" s="694">
        <f t="shared" si="5"/>
        <v>-1.8915060062833373E-4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46.050166758622375</v>
      </c>
      <c r="X70" s="699">
        <f t="shared" si="13"/>
        <v>-92.386548539398134</v>
      </c>
      <c r="Y70" s="702">
        <f t="shared" si="14"/>
        <v>87.613451460601866</v>
      </c>
      <c r="AA70" s="174">
        <f t="shared" si="15"/>
        <v>1000000000</v>
      </c>
      <c r="AB70" s="174">
        <f t="shared" si="16"/>
        <v>36309.302500000005</v>
      </c>
      <c r="AD70" s="701">
        <f t="shared" si="17"/>
        <v>44.545514986434867</v>
      </c>
      <c r="AE70" s="702">
        <f t="shared" si="18"/>
        <v>-81.712900471339296</v>
      </c>
      <c r="AG70" s="701">
        <f t="shared" si="19"/>
        <v>26.899577692786458</v>
      </c>
      <c r="AH70" s="702">
        <f t="shared" si="20"/>
        <v>-10.399256324927601</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1.0000000215064715</v>
      </c>
      <c r="N71" s="694">
        <f t="shared" si="5"/>
        <v>-2.0739561739160662E-4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45.238816394434153</v>
      </c>
      <c r="X71" s="699">
        <f t="shared" si="13"/>
        <v>-92.63360367947223</v>
      </c>
      <c r="Y71" s="702">
        <f t="shared" si="14"/>
        <v>87.36639632052777</v>
      </c>
      <c r="AA71" s="174">
        <f t="shared" si="15"/>
        <v>1000000000</v>
      </c>
      <c r="AB71" s="174">
        <f t="shared" si="16"/>
        <v>43651.744900000005</v>
      </c>
      <c r="AD71" s="701">
        <f t="shared" si="17"/>
        <v>43.763408346171119</v>
      </c>
      <c r="AE71" s="702">
        <f t="shared" si="18"/>
        <v>-80.95641608083416</v>
      </c>
      <c r="AG71" s="701">
        <f t="shared" si="19"/>
        <v>26.870340614356675</v>
      </c>
      <c r="AH71" s="702">
        <f t="shared" si="20"/>
        <v>-11.376328737243846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1.0000000258571</v>
      </c>
      <c r="N72" s="694">
        <f t="shared" si="5"/>
        <v>-2.2740756162560518E-4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44.425024298590898</v>
      </c>
      <c r="X72" s="699">
        <f t="shared" si="13"/>
        <v>-92.897713636165491</v>
      </c>
      <c r="Y72" s="702">
        <f t="shared" si="14"/>
        <v>87.102286363834509</v>
      </c>
      <c r="AA72" s="174">
        <f t="shared" si="15"/>
        <v>1000000000</v>
      </c>
      <c r="AB72" s="174">
        <f t="shared" si="16"/>
        <v>52482.2281</v>
      </c>
      <c r="AD72" s="701">
        <f t="shared" si="17"/>
        <v>42.984527806327122</v>
      </c>
      <c r="AE72" s="702">
        <f t="shared" si="18"/>
        <v>-80.127778017486676</v>
      </c>
      <c r="AG72" s="701">
        <f t="shared" si="19"/>
        <v>26.835437050641264</v>
      </c>
      <c r="AH72" s="702">
        <f t="shared" si="20"/>
        <v>-12.440046465058728</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1.0000000310865298</v>
      </c>
      <c r="N73" s="694">
        <f t="shared" si="5"/>
        <v>-2.4934525821987148E-4</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43.608879680535424</v>
      </c>
      <c r="X73" s="699">
        <f t="shared" si="13"/>
        <v>-93.179398220977674</v>
      </c>
      <c r="Y73" s="702">
        <f t="shared" si="14"/>
        <v>86.820601779022326</v>
      </c>
      <c r="AA73" s="174">
        <f t="shared" si="15"/>
        <v>1000000000</v>
      </c>
      <c r="AB73" s="174">
        <f t="shared" si="16"/>
        <v>63096.416100000002</v>
      </c>
      <c r="AD73" s="701">
        <f t="shared" si="17"/>
        <v>42.209978706306458</v>
      </c>
      <c r="AE73" s="702">
        <f t="shared" si="18"/>
        <v>-79.221906103413502</v>
      </c>
      <c r="AG73" s="701">
        <f t="shared" si="19"/>
        <v>26.793851139274913</v>
      </c>
      <c r="AH73" s="702">
        <f t="shared" si="20"/>
        <v>-13.595779105969521</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1.0000000373730462</v>
      </c>
      <c r="N74" s="694">
        <f t="shared" si="5"/>
        <v>-2.7339731172061269E-4</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42.789843025480693</v>
      </c>
      <c r="X74" s="699">
        <f t="shared" si="13"/>
        <v>-93.479081170356807</v>
      </c>
      <c r="Y74" s="702">
        <f t="shared" si="14"/>
        <v>86.520918829643193</v>
      </c>
      <c r="AA74" s="174">
        <f t="shared" si="15"/>
        <v>1000000000</v>
      </c>
      <c r="AB74" s="174">
        <f t="shared" si="16"/>
        <v>75856.176400000011</v>
      </c>
      <c r="AD74" s="701">
        <f t="shared" si="17"/>
        <v>41.440424222596661</v>
      </c>
      <c r="AE74" s="702">
        <f t="shared" si="18"/>
        <v>-78.23295124604509</v>
      </c>
      <c r="AG74" s="701">
        <f t="shared" si="19"/>
        <v>26.74438051649588</v>
      </c>
      <c r="AH74" s="702">
        <f t="shared" si="20"/>
        <v>-14.849525899960392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1.0000000449346573</v>
      </c>
      <c r="N75" s="694">
        <f t="shared" si="5"/>
        <v>-2.9978210632272087E-4</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41.9670083993677</v>
      </c>
      <c r="X75" s="699">
        <f t="shared" si="13"/>
        <v>-93.796952061990282</v>
      </c>
      <c r="Y75" s="702">
        <f t="shared" si="14"/>
        <v>86.203047938009718</v>
      </c>
      <c r="AA75" s="174">
        <f t="shared" si="15"/>
        <v>1000000000</v>
      </c>
      <c r="AB75" s="174">
        <f t="shared" si="16"/>
        <v>91204</v>
      </c>
      <c r="AD75" s="701">
        <f t="shared" si="17"/>
        <v>40.676371025808521</v>
      </c>
      <c r="AE75" s="702">
        <f t="shared" si="18"/>
        <v>-77.154446215048026</v>
      </c>
      <c r="AG75" s="701">
        <f t="shared" si="19"/>
        <v>26.685612978114811</v>
      </c>
      <c r="AH75" s="702">
        <f t="shared" si="20"/>
        <v>-16.207626869516076</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1.0000000540212468</v>
      </c>
      <c r="N76" s="694">
        <f t="shared" si="5"/>
        <v>-3.286981730639443E-4</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41.140652906560213</v>
      </c>
      <c r="X76" s="699">
        <f t="shared" si="13"/>
        <v>-94.132244441478349</v>
      </c>
      <c r="Y76" s="702">
        <f t="shared" si="14"/>
        <v>85.867755558521651</v>
      </c>
      <c r="AA76" s="174">
        <f t="shared" si="15"/>
        <v>1000000000</v>
      </c>
      <c r="AB76" s="174">
        <f t="shared" si="16"/>
        <v>109647.0769</v>
      </c>
      <c r="AD76" s="701">
        <f t="shared" si="17"/>
        <v>39.91961530833894</v>
      </c>
      <c r="AE76" s="702">
        <f t="shared" si="18"/>
        <v>-75.981506476475758</v>
      </c>
      <c r="AG76" s="701">
        <f t="shared" si="19"/>
        <v>26.616029895132488</v>
      </c>
      <c r="AH76" s="702">
        <f t="shared" si="20"/>
        <v>-17.673912112930612</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1.0000000649489595</v>
      </c>
      <c r="N77" s="694">
        <f t="shared" ref="N77:N140" si="41">-ATAN(G77/z_RHP)</f>
        <v>-3.6041352884553179E-4</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40.309569071982409</v>
      </c>
      <c r="X77" s="699">
        <f t="shared" ref="X77:X140" si="49">((L77+R77+N77+V77)-(J77+P77+T77))*radconv</f>
        <v>-94.484156741688068</v>
      </c>
      <c r="Y77" s="702">
        <f t="shared" ref="Y77:Y140" si="50">IF(X77&gt;0,X77,X77+180)</f>
        <v>85.515843258311932</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26.533798512742056</v>
      </c>
      <c r="AH77" s="702">
        <f t="shared" ref="AH77:AH140" si="56">(L77+N77-(J77+V77))*radconv</f>
        <v>-19.253921157426682</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1.0000000780860967</v>
      </c>
      <c r="N78" s="694">
        <f t="shared" si="41"/>
        <v>-3.9518626394195966E-4</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39.473504339413118</v>
      </c>
      <c r="X78" s="699">
        <f t="shared" si="49"/>
        <v>-94.850760575075398</v>
      </c>
      <c r="Y78" s="702">
        <f t="shared" si="50"/>
        <v>85.149239424924602</v>
      </c>
      <c r="AA78" s="174">
        <f t="shared" si="51"/>
        <v>1000000000</v>
      </c>
      <c r="AB78" s="174">
        <f t="shared" si="52"/>
        <v>158491.57210000002</v>
      </c>
      <c r="AD78" s="701">
        <f t="shared" si="53"/>
        <v>38.43158144437551</v>
      </c>
      <c r="AE78" s="702">
        <f t="shared" si="54"/>
        <v>-73.327054898158238</v>
      </c>
      <c r="AG78" s="701">
        <f t="shared" si="55"/>
        <v>26.436959399705358</v>
      </c>
      <c r="AH78" s="702">
        <f t="shared" si="56"/>
        <v>-20.95042961942012</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1.0000000938805944</v>
      </c>
      <c r="N79" s="694">
        <f t="shared" si="41"/>
        <v>-4.3331417477457607E-4</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38.631820101567257</v>
      </c>
      <c r="X79" s="699">
        <f t="shared" si="49"/>
        <v>-95.22942241144645</v>
      </c>
      <c r="Y79" s="702">
        <f t="shared" si="50"/>
        <v>84.77057758855355</v>
      </c>
      <c r="AA79" s="174">
        <f t="shared" si="51"/>
        <v>1000000000</v>
      </c>
      <c r="AB79" s="174">
        <f t="shared" si="52"/>
        <v>190549.71039999998</v>
      </c>
      <c r="AD79" s="701">
        <f t="shared" si="53"/>
        <v>37.703564833450642</v>
      </c>
      <c r="AE79" s="702">
        <f t="shared" si="54"/>
        <v>-71.835343223208639</v>
      </c>
      <c r="AG79" s="701">
        <f t="shared" si="55"/>
        <v>26.323320787576495</v>
      </c>
      <c r="AH79" s="702">
        <f t="shared" si="56"/>
        <v>-22.765493476275907</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1.0000001128670999</v>
      </c>
      <c r="N80" s="694">
        <f t="shared" si="41"/>
        <v>-4.7511491076512109E-4</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37.784093556241416</v>
      </c>
      <c r="X80" s="699">
        <f t="shared" si="49"/>
        <v>-95.616452319334044</v>
      </c>
      <c r="Y80" s="702">
        <f t="shared" si="50"/>
        <v>84.383547680665956</v>
      </c>
      <c r="AA80" s="174">
        <f t="shared" si="51"/>
        <v>1000000000</v>
      </c>
      <c r="AB80" s="174">
        <f t="shared" si="52"/>
        <v>229086.67689999999</v>
      </c>
      <c r="AD80" s="701">
        <f t="shared" si="53"/>
        <v>36.988654309095338</v>
      </c>
      <c r="AE80" s="702">
        <f t="shared" si="54"/>
        <v>-70.228267953580016</v>
      </c>
      <c r="AG80" s="701">
        <f t="shared" si="55"/>
        <v>26.190539645059495</v>
      </c>
      <c r="AH80" s="702">
        <f t="shared" si="56"/>
        <v>-24.69896123646199</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1.0000001356974642</v>
      </c>
      <c r="N81" s="694">
        <f t="shared" si="41"/>
        <v>-5.2095575397185969E-4</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36.92960054433857</v>
      </c>
      <c r="X81" s="699">
        <f t="shared" si="49"/>
        <v>-96.007283581316358</v>
      </c>
      <c r="Y81" s="702">
        <f t="shared" si="50"/>
        <v>83.992716418683642</v>
      </c>
      <c r="AA81" s="174">
        <f t="shared" si="51"/>
        <v>1000000000</v>
      </c>
      <c r="AB81" s="174">
        <f t="shared" si="52"/>
        <v>275425.53609999997</v>
      </c>
      <c r="AD81" s="701">
        <f t="shared" si="53"/>
        <v>36.288668919468599</v>
      </c>
      <c r="AE81" s="702">
        <f t="shared" si="54"/>
        <v>-68.502235366764012</v>
      </c>
      <c r="AG81" s="701">
        <f t="shared" si="55"/>
        <v>26.036073962285041</v>
      </c>
      <c r="AH81" s="702">
        <f t="shared" si="56"/>
        <v>-26.749327180851573</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1.0000001631426894</v>
      </c>
      <c r="N82" s="694">
        <f t="shared" si="41"/>
        <v>-5.7121391280762614E-4</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36.068204389157088</v>
      </c>
      <c r="X82" s="699">
        <f t="shared" si="49"/>
        <v>-96.396080015112759</v>
      </c>
      <c r="Y82" s="702">
        <f t="shared" si="50"/>
        <v>83.603919984887241</v>
      </c>
      <c r="AA82" s="174">
        <f t="shared" si="51"/>
        <v>1000000000</v>
      </c>
      <c r="AB82" s="174">
        <f t="shared" si="52"/>
        <v>331131.19360000006</v>
      </c>
      <c r="AD82" s="701">
        <f t="shared" si="53"/>
        <v>35.606019439327802</v>
      </c>
      <c r="AE82" s="702">
        <f t="shared" si="54"/>
        <v>-66.656053084654957</v>
      </c>
      <c r="AG82" s="701">
        <f t="shared" si="55"/>
        <v>25.857377704024728</v>
      </c>
      <c r="AH82" s="702">
        <f t="shared" si="56"/>
        <v>-28.911400404498639</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1.0000001961422582</v>
      </c>
      <c r="N83" s="694">
        <f t="shared" si="41"/>
        <v>-6.2632615476177476E-4</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35.199531493704164</v>
      </c>
      <c r="X83" s="699">
        <f t="shared" si="49"/>
        <v>-96.776218412208848</v>
      </c>
      <c r="Y83" s="702">
        <f t="shared" si="50"/>
        <v>83.223781587791152</v>
      </c>
      <c r="AA83" s="174">
        <f t="shared" si="51"/>
        <v>1000000000</v>
      </c>
      <c r="AB83" s="174">
        <f t="shared" si="52"/>
        <v>398110.52160000004</v>
      </c>
      <c r="AD83" s="701">
        <f t="shared" si="53"/>
        <v>34.942962538476799</v>
      </c>
      <c r="AE83" s="702">
        <f t="shared" si="54"/>
        <v>-64.689576298552453</v>
      </c>
      <c r="AG83" s="701">
        <f t="shared" si="55"/>
        <v>25.651822329157984</v>
      </c>
      <c r="AH83" s="702">
        <f t="shared" si="56"/>
        <v>-31.178069039125287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1.0000002358122095</v>
      </c>
      <c r="N84" s="694">
        <f t="shared" si="41"/>
        <v>-6.8674910008434311E-4</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34.323774424906169</v>
      </c>
      <c r="X84" s="699">
        <f t="shared" si="49"/>
        <v>-97.140154105964911</v>
      </c>
      <c r="Y84" s="702">
        <f t="shared" si="50"/>
        <v>82.859845894035089</v>
      </c>
      <c r="AA84" s="174">
        <f t="shared" si="51"/>
        <v>1000000000</v>
      </c>
      <c r="AB84" s="174">
        <f t="shared" si="52"/>
        <v>478628.74890000006</v>
      </c>
      <c r="AD84" s="701">
        <f t="shared" si="53"/>
        <v>34.302155868849695</v>
      </c>
      <c r="AE84" s="702">
        <f t="shared" si="54"/>
        <v>-62.605694197439782</v>
      </c>
      <c r="AG84" s="701">
        <f t="shared" si="55"/>
        <v>25.416944802606633</v>
      </c>
      <c r="AH84" s="702">
        <f t="shared" si="56"/>
        <v>-33.538237001622655</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1.0000002835112345</v>
      </c>
      <c r="N85" s="694">
        <f t="shared" si="41"/>
        <v>-7.5300885445265706E-4</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33.44102689630089</v>
      </c>
      <c r="X85" s="699">
        <f t="shared" si="49"/>
        <v>-97.480061532900194</v>
      </c>
      <c r="Y85" s="702">
        <f t="shared" si="50"/>
        <v>82.519938467099806</v>
      </c>
      <c r="AA85" s="174">
        <f t="shared" si="51"/>
        <v>1000000000</v>
      </c>
      <c r="AB85" s="174">
        <f t="shared" si="52"/>
        <v>575443.61640000006</v>
      </c>
      <c r="AD85" s="701">
        <f t="shared" si="53"/>
        <v>33.686055422608348</v>
      </c>
      <c r="AE85" s="702">
        <f t="shared" si="54"/>
        <v>-60.409080185775785</v>
      </c>
      <c r="AG85" s="701">
        <f t="shared" si="55"/>
        <v>25.150385341310336</v>
      </c>
      <c r="AH85" s="702">
        <f t="shared" si="56"/>
        <v>-35.978642352703538</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1.0000003408501941</v>
      </c>
      <c r="N86" s="694">
        <f t="shared" si="41"/>
        <v>-8.2565137604175595E-4</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32.552088895106621</v>
      </c>
      <c r="X86" s="699">
        <f t="shared" si="49"/>
        <v>-97.787983030452111</v>
      </c>
      <c r="Y86" s="702">
        <f t="shared" si="50"/>
        <v>82.212016969547889</v>
      </c>
      <c r="AA86" s="174">
        <f t="shared" si="51"/>
        <v>1000000000</v>
      </c>
      <c r="AB86" s="174">
        <f t="shared" si="52"/>
        <v>691824.69759999996</v>
      </c>
      <c r="AD86" s="701">
        <f t="shared" si="53"/>
        <v>33.097394510230636</v>
      </c>
      <c r="AE86" s="702">
        <f t="shared" si="54"/>
        <v>-58.108326797757037</v>
      </c>
      <c r="AG86" s="701">
        <f t="shared" si="55"/>
        <v>24.850213580638162</v>
      </c>
      <c r="AH86" s="702">
        <f t="shared" si="56"/>
        <v>-38.481943195160099</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1.0000004097950135</v>
      </c>
      <c r="N87" s="694">
        <f t="shared" si="41"/>
        <v>-9.0531196120689458E-4</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31.657629508764778</v>
      </c>
      <c r="X87" s="699">
        <f t="shared" si="49"/>
        <v>-98.056713654606796</v>
      </c>
      <c r="Y87" s="702">
        <f t="shared" si="50"/>
        <v>81.943286345393204</v>
      </c>
      <c r="AA87" s="174">
        <f t="shared" si="51"/>
        <v>1000000000</v>
      </c>
      <c r="AB87" s="174">
        <f t="shared" si="52"/>
        <v>831762.24009999994</v>
      </c>
      <c r="AD87" s="701">
        <f t="shared" si="53"/>
        <v>32.538496569888487</v>
      </c>
      <c r="AE87" s="702">
        <f t="shared" si="54"/>
        <v>-55.713995610706419</v>
      </c>
      <c r="AG87" s="701">
        <f t="shared" si="55"/>
        <v>24.514778780485003</v>
      </c>
      <c r="AH87" s="702">
        <f t="shared" si="56"/>
        <v>-41.02945180517397</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1.0000004926828565</v>
      </c>
      <c r="N88" s="694">
        <f t="shared" si="41"/>
        <v>-9.926556848945463E-4</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30.75897988914123</v>
      </c>
      <c r="X88" s="699">
        <f t="shared" si="49"/>
        <v>-98.280127267179651</v>
      </c>
      <c r="Y88" s="702">
        <f t="shared" si="50"/>
        <v>81.719872732820349</v>
      </c>
      <c r="AA88" s="174">
        <f t="shared" si="51"/>
        <v>1000000000</v>
      </c>
      <c r="AB88" s="174">
        <f t="shared" si="52"/>
        <v>1000000</v>
      </c>
      <c r="AD88" s="701">
        <f t="shared" si="53"/>
        <v>32.011706861898617</v>
      </c>
      <c r="AE88" s="702">
        <f t="shared" si="54"/>
        <v>-53.240690226578565</v>
      </c>
      <c r="AG88" s="701">
        <f t="shared" si="55"/>
        <v>24.143071124624452</v>
      </c>
      <c r="AH88" s="702">
        <f t="shared" si="56"/>
        <v>-43.599474164103505</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1.0000005923586044</v>
      </c>
      <c r="N89" s="694">
        <f t="shared" si="41"/>
        <v>-1.0884468861590583E-3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29.857374120860417</v>
      </c>
      <c r="X89" s="699">
        <f t="shared" si="49"/>
        <v>-98.453974089170316</v>
      </c>
      <c r="Y89" s="702">
        <f t="shared" si="50"/>
        <v>81.546025910829684</v>
      </c>
      <c r="AA89" s="174">
        <f t="shared" si="51"/>
        <v>1000000000</v>
      </c>
      <c r="AB89" s="174">
        <f t="shared" si="52"/>
        <v>1202312.25</v>
      </c>
      <c r="AD89" s="701">
        <f t="shared" si="53"/>
        <v>31.518831995209332</v>
      </c>
      <c r="AE89" s="702">
        <f t="shared" si="54"/>
        <v>-50.704960150181321</v>
      </c>
      <c r="AG89" s="701">
        <f t="shared" si="55"/>
        <v>23.734523313088491</v>
      </c>
      <c r="AH89" s="702">
        <f t="shared" si="56"/>
        <v>-46.170102879599995</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1.0000007121854511</v>
      </c>
      <c r="N90" s="694">
        <f t="shared" si="41"/>
        <v>-1.1934697553023057E-3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28.954716124883007</v>
      </c>
      <c r="X90" s="699">
        <f t="shared" si="49"/>
        <v>-98.57616762164109</v>
      </c>
      <c r="Y90" s="702">
        <f t="shared" si="50"/>
        <v>81.42383237835891</v>
      </c>
      <c r="AA90" s="174">
        <f t="shared" si="51"/>
        <v>1000000000</v>
      </c>
      <c r="AB90" s="174">
        <f t="shared" si="52"/>
        <v>1445525.2899999998</v>
      </c>
      <c r="AD90" s="701">
        <f t="shared" si="53"/>
        <v>31.061510894630921</v>
      </c>
      <c r="AE90" s="702">
        <f t="shared" si="54"/>
        <v>-48.127212022401167</v>
      </c>
      <c r="AG90" s="701">
        <f t="shared" si="55"/>
        <v>23.289406517747292</v>
      </c>
      <c r="AH90" s="702">
        <f t="shared" si="56"/>
        <v>-48.717708116425108</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1.000000856240717</v>
      </c>
      <c r="N91" s="694">
        <f t="shared" si="41"/>
        <v>-1.3086176722244382E-3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28.052660710445608</v>
      </c>
      <c r="X91" s="699">
        <f t="shared" si="49"/>
        <v>-98.647253797275994</v>
      </c>
      <c r="Y91" s="702">
        <f t="shared" si="50"/>
        <v>81.352746202724006</v>
      </c>
      <c r="AA91" s="174">
        <f t="shared" si="51"/>
        <v>1000000000</v>
      </c>
      <c r="AB91" s="174">
        <f t="shared" si="52"/>
        <v>1737914.89</v>
      </c>
      <c r="AD91" s="701">
        <f t="shared" si="53"/>
        <v>30.640658979876125</v>
      </c>
      <c r="AE91" s="702">
        <f t="shared" si="54"/>
        <v>-45.52877778036747</v>
      </c>
      <c r="AG91" s="701">
        <f t="shared" si="55"/>
        <v>22.808467614549425</v>
      </c>
      <c r="AH91" s="702">
        <f t="shared" si="56"/>
        <v>-51.220209066393345</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1.0000010293034658</v>
      </c>
      <c r="N92" s="694">
        <f t="shared" si="41"/>
        <v>-1.434784013656991E-3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27.153417583238184</v>
      </c>
      <c r="X92" s="699">
        <f t="shared" si="49"/>
        <v>-98.670369612925128</v>
      </c>
      <c r="Y92" s="702">
        <f t="shared" si="50"/>
        <v>81.329630387074872</v>
      </c>
      <c r="AA92" s="174">
        <f t="shared" si="51"/>
        <v>1000000000</v>
      </c>
      <c r="AB92" s="174">
        <f t="shared" si="52"/>
        <v>2089181.1600000001</v>
      </c>
      <c r="AD92" s="701">
        <f t="shared" si="53"/>
        <v>30.25684358779953</v>
      </c>
      <c r="AE92" s="702">
        <f t="shared" si="54"/>
        <v>-42.933685381100965</v>
      </c>
      <c r="AG92" s="701">
        <f t="shared" si="55"/>
        <v>22.293357746238812</v>
      </c>
      <c r="AH92" s="702">
        <f t="shared" si="56"/>
        <v>-53.655420326130589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1.0000012375735532</v>
      </c>
      <c r="N93" s="694">
        <f t="shared" si="41"/>
        <v>-1.5732592137189007E-3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26.256976821896039</v>
      </c>
      <c r="X93" s="699">
        <f t="shared" si="49"/>
        <v>-98.651064336646712</v>
      </c>
      <c r="Y93" s="702">
        <f t="shared" si="50"/>
        <v>81.348935663353288</v>
      </c>
      <c r="AA93" s="174">
        <f t="shared" si="51"/>
        <v>1000000000</v>
      </c>
      <c r="AB93" s="174">
        <f t="shared" si="52"/>
        <v>2511908.0100000002</v>
      </c>
      <c r="AD93" s="701">
        <f t="shared" si="53"/>
        <v>29.909162695793711</v>
      </c>
      <c r="AE93" s="702">
        <f t="shared" si="54"/>
        <v>-40.360053339157048</v>
      </c>
      <c r="AG93" s="701">
        <f t="shared" si="55"/>
        <v>21.744980395423742</v>
      </c>
      <c r="AH93" s="702">
        <f t="shared" si="56"/>
        <v>-56.008902776762866</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1.0000014878762811</v>
      </c>
      <c r="N94" s="694">
        <f t="shared" si="41"/>
        <v>-1.7250359047139346E-3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25.365875002110691</v>
      </c>
      <c r="X94" s="699">
        <f t="shared" si="49"/>
        <v>-98.596861906752096</v>
      </c>
      <c r="Y94" s="702">
        <f t="shared" si="50"/>
        <v>81.403138093247904</v>
      </c>
      <c r="AA94" s="174">
        <f t="shared" si="51"/>
        <v>1000000000</v>
      </c>
      <c r="AB94" s="174">
        <f t="shared" si="52"/>
        <v>3019948.84</v>
      </c>
      <c r="AD94" s="701">
        <f t="shared" si="53"/>
        <v>29.597264906476575</v>
      </c>
      <c r="AE94" s="702">
        <f t="shared" si="54"/>
        <v>-37.833173727142679</v>
      </c>
      <c r="AG94" s="701">
        <f t="shared" si="55"/>
        <v>21.166236062173169</v>
      </c>
      <c r="AH94" s="702">
        <f t="shared" si="56"/>
        <v>-58.261450981654519</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1.0000017888959285</v>
      </c>
      <c r="N95" s="694">
        <f t="shared" si="41"/>
        <v>-1.8915037730392753E-3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24.480500532725799</v>
      </c>
      <c r="X95" s="699">
        <f t="shared" si="49"/>
        <v>-98.5167342486519</v>
      </c>
      <c r="Y95" s="702">
        <f t="shared" si="50"/>
        <v>81.4832657513481</v>
      </c>
      <c r="AA95" s="174">
        <f t="shared" si="51"/>
        <v>1000000000</v>
      </c>
      <c r="AB95" s="174">
        <f t="shared" si="52"/>
        <v>3630930.25</v>
      </c>
      <c r="AD95" s="701">
        <f t="shared" si="53"/>
        <v>29.319517398115309</v>
      </c>
      <c r="AE95" s="702">
        <f t="shared" si="54"/>
        <v>-35.371347547186325</v>
      </c>
      <c r="AG95" s="701">
        <f t="shared" si="55"/>
        <v>20.559161913784237</v>
      </c>
      <c r="AH95" s="702">
        <f t="shared" si="56"/>
        <v>-60.401723507017437</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1.0000021506448546</v>
      </c>
      <c r="N96" s="694">
        <f t="shared" si="41"/>
        <v>-2.073953230094037E-3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23.602162202664651</v>
      </c>
      <c r="X96" s="699">
        <f t="shared" si="49"/>
        <v>-98.420607358508292</v>
      </c>
      <c r="Y96" s="702">
        <f t="shared" si="50"/>
        <v>81.579392641491708</v>
      </c>
      <c r="AA96" s="174">
        <f t="shared" si="51"/>
        <v>1000000000</v>
      </c>
      <c r="AB96" s="174">
        <f t="shared" si="52"/>
        <v>4365174.4900000012</v>
      </c>
      <c r="AD96" s="701">
        <f t="shared" si="53"/>
        <v>29.074239317427949</v>
      </c>
      <c r="AE96" s="702">
        <f t="shared" si="54"/>
        <v>-32.993991301997042</v>
      </c>
      <c r="AG96" s="701">
        <f t="shared" si="55"/>
        <v>19.926765961746746</v>
      </c>
      <c r="AH96" s="702">
        <f t="shared" si="56"/>
        <v>-62.418362557570781</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1.0000025857067005</v>
      </c>
      <c r="N97" s="694">
        <f t="shared" si="41"/>
        <v>-2.2740717354020408E-3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22.730551191532797</v>
      </c>
      <c r="X97" s="699">
        <f t="shared" si="49"/>
        <v>-98.318572460149767</v>
      </c>
      <c r="Y97" s="702">
        <f t="shared" si="50"/>
        <v>81.681427539850233</v>
      </c>
      <c r="AA97" s="174">
        <f t="shared" si="51"/>
        <v>1000000000</v>
      </c>
      <c r="AB97" s="174">
        <f t="shared" si="52"/>
        <v>5248222.8100000005</v>
      </c>
      <c r="AD97" s="701">
        <f t="shared" si="53"/>
        <v>28.859015314633968</v>
      </c>
      <c r="AE97" s="702">
        <f t="shared" si="54"/>
        <v>-30.714149618126619</v>
      </c>
      <c r="AG97" s="701">
        <f t="shared" si="55"/>
        <v>19.271177817260138</v>
      </c>
      <c r="AH97" s="702">
        <f t="shared" si="56"/>
        <v>-64.305973065125542</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1.0000031086481869</v>
      </c>
      <c r="N98" s="694">
        <f t="shared" si="41"/>
        <v>-2.4934474663738117E-3</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21.866246789638346</v>
      </c>
      <c r="X98" s="699">
        <f t="shared" si="49"/>
        <v>-98.220660628547108</v>
      </c>
      <c r="Y98" s="702">
        <f t="shared" si="50"/>
        <v>81.779339371452892</v>
      </c>
      <c r="AA98" s="174">
        <f t="shared" si="51"/>
        <v>1000000000</v>
      </c>
      <c r="AB98" s="174">
        <f t="shared" si="52"/>
        <v>6309641.6100000003</v>
      </c>
      <c r="AD98" s="701">
        <f t="shared" si="53"/>
        <v>28.671515675596254</v>
      </c>
      <c r="AE98" s="702">
        <f t="shared" si="54"/>
        <v>-28.544980173974135</v>
      </c>
      <c r="AG98" s="701">
        <f t="shared" si="55"/>
        <v>18.595333194505447</v>
      </c>
      <c r="AH98" s="702">
        <f t="shared" si="56"/>
        <v>-66.059132636782365</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1.0000037372977053</v>
      </c>
      <c r="N99" s="694">
        <f t="shared" si="41"/>
        <v>-2.7339663735607418E-3</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21.008963461321667</v>
      </c>
      <c r="X99" s="699">
        <f t="shared" si="49"/>
        <v>-98.136284024806031</v>
      </c>
      <c r="Y99" s="702">
        <f t="shared" si="50"/>
        <v>81.863715975193969</v>
      </c>
      <c r="AA99" s="174">
        <f t="shared" si="51"/>
        <v>1000000000</v>
      </c>
      <c r="AB99" s="174">
        <f t="shared" si="52"/>
        <v>7585617.6399999987</v>
      </c>
      <c r="AD99" s="701">
        <f t="shared" si="53"/>
        <v>28.509120712455584</v>
      </c>
      <c r="AE99" s="702">
        <f t="shared" si="54"/>
        <v>-26.494907869196108</v>
      </c>
      <c r="AG99" s="701">
        <f t="shared" si="55"/>
        <v>17.901598924729715</v>
      </c>
      <c r="AH99" s="702">
        <f t="shared" si="56"/>
        <v>-67.676103432150725</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1.0000044934557373</v>
      </c>
      <c r="N100" s="694">
        <f t="shared" si="41"/>
        <v>-2.9978121726750577E-3</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20.157907522565935</v>
      </c>
      <c r="X100" s="699">
        <f t="shared" si="49"/>
        <v>-98.074073009283168</v>
      </c>
      <c r="Y100" s="702">
        <f t="shared" si="50"/>
        <v>81.925926990716832</v>
      </c>
      <c r="AA100" s="174">
        <f t="shared" si="51"/>
        <v>1000000000</v>
      </c>
      <c r="AB100" s="174">
        <f t="shared" si="52"/>
        <v>9120400</v>
      </c>
      <c r="AD100" s="701">
        <f t="shared" si="53"/>
        <v>28.369153906235059</v>
      </c>
      <c r="AE100" s="702">
        <f t="shared" si="54"/>
        <v>-24.568813980946896</v>
      </c>
      <c r="AG100" s="701">
        <f t="shared" si="55"/>
        <v>17.191897785947628</v>
      </c>
      <c r="AH100" s="702">
        <f t="shared" si="56"/>
        <v>-69.157481024826296</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1.0000054021102465</v>
      </c>
      <c r="N101" s="694">
        <f t="shared" si="41"/>
        <v>-3.2869700113032242E-3</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19.313419576255942</v>
      </c>
      <c r="X101" s="699">
        <f t="shared" si="49"/>
        <v>-98.041882510178752</v>
      </c>
      <c r="Y101" s="702">
        <f t="shared" si="50"/>
        <v>81.958117489821248</v>
      </c>
      <c r="AA101" s="174">
        <f t="shared" si="51"/>
        <v>1000000000</v>
      </c>
      <c r="AB101" s="174">
        <f t="shared" si="52"/>
        <v>10964707.690000001</v>
      </c>
      <c r="AD101" s="701">
        <f t="shared" si="53"/>
        <v>28.249204472810668</v>
      </c>
      <c r="AE101" s="702">
        <f t="shared" si="54"/>
        <v>-22.771828884830136</v>
      </c>
      <c r="AG101" s="701">
        <f t="shared" si="55"/>
        <v>16.469026918787822</v>
      </c>
      <c r="AH101" s="702">
        <f t="shared" si="56"/>
        <v>-70.503128645600441</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1.0000064948750595</v>
      </c>
      <c r="N102" s="694">
        <f t="shared" si="41"/>
        <v>-3.6041198389765512E-3</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18.474261572292313</v>
      </c>
      <c r="X102" s="699">
        <f t="shared" si="49"/>
        <v>-98.046613514849682</v>
      </c>
      <c r="Y102" s="702">
        <f t="shared" si="50"/>
        <v>81.953386485150318</v>
      </c>
      <c r="AA102" s="174">
        <f t="shared" si="51"/>
        <v>1000000000</v>
      </c>
      <c r="AB102" s="174">
        <f t="shared" si="52"/>
        <v>13182708.640000001</v>
      </c>
      <c r="AD102" s="701">
        <f t="shared" si="53"/>
        <v>28.146748587876502</v>
      </c>
      <c r="AE102" s="702">
        <f t="shared" si="54"/>
        <v>-21.103524831248755</v>
      </c>
      <c r="AG102" s="701">
        <f t="shared" si="55"/>
        <v>15.734329953396085</v>
      </c>
      <c r="AH102" s="702">
        <f t="shared" si="56"/>
        <v>-71.716512202716871</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1.0000078085794863</v>
      </c>
      <c r="N103" s="694">
        <f t="shared" si="41"/>
        <v>-3.9518422729656316E-3</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17.640150190286526</v>
      </c>
      <c r="X103" s="699">
        <f t="shared" si="49"/>
        <v>-98.094426023606047</v>
      </c>
      <c r="Y103" s="702">
        <f t="shared" si="50"/>
        <v>81.905573976393953</v>
      </c>
      <c r="AA103" s="174">
        <f t="shared" si="51"/>
        <v>1000000000</v>
      </c>
      <c r="AB103" s="174">
        <f t="shared" si="52"/>
        <v>15849157.209999999</v>
      </c>
      <c r="AD103" s="701">
        <f t="shared" si="53"/>
        <v>28.059575234616162</v>
      </c>
      <c r="AE103" s="702">
        <f t="shared" si="54"/>
        <v>-19.563786053553503</v>
      </c>
      <c r="AG103" s="701">
        <f t="shared" si="55"/>
        <v>14.989801927588962</v>
      </c>
      <c r="AH103" s="702">
        <f t="shared" si="56"/>
        <v>-72.800196182666099</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1.0000093880158107</v>
      </c>
      <c r="N104" s="694">
        <f t="shared" si="41"/>
        <v>-4.3331148993854054E-3</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16.81039435331256</v>
      </c>
      <c r="X104" s="699">
        <f t="shared" si="49"/>
        <v>-98.190808904002878</v>
      </c>
      <c r="Y104" s="702">
        <f t="shared" si="50"/>
        <v>81.809191095997122</v>
      </c>
      <c r="AA104" s="174">
        <f t="shared" si="51"/>
        <v>1000000000</v>
      </c>
      <c r="AB104" s="174">
        <f t="shared" si="52"/>
        <v>19054971.039999999</v>
      </c>
      <c r="AD104" s="701">
        <f t="shared" si="53"/>
        <v>27.985610985880601</v>
      </c>
      <c r="AE104" s="702">
        <f t="shared" si="54"/>
        <v>-18.150227499566387</v>
      </c>
      <c r="AG104" s="701">
        <f t="shared" si="55"/>
        <v>14.236907019795337</v>
      </c>
      <c r="AH104" s="702">
        <f t="shared" si="56"/>
        <v>-73.757777810667093</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1.000011286646926</v>
      </c>
      <c r="N105" s="694">
        <f t="shared" si="41"/>
        <v>-4.75111371573493E-3</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15.98449451220775</v>
      </c>
      <c r="X105" s="699">
        <f t="shared" si="49"/>
        <v>-98.340719058542987</v>
      </c>
      <c r="Y105" s="702">
        <f t="shared" si="50"/>
        <v>81.659280941457013</v>
      </c>
      <c r="AA105" s="174">
        <f t="shared" si="51"/>
        <v>1000000000</v>
      </c>
      <c r="AB105" s="174">
        <f t="shared" si="52"/>
        <v>22908667.690000001</v>
      </c>
      <c r="AD105" s="701">
        <f t="shared" si="53"/>
        <v>27.923002819855004</v>
      </c>
      <c r="AE105" s="702">
        <f t="shared" si="54"/>
        <v>-16.859708903158623</v>
      </c>
      <c r="AG105" s="701">
        <f t="shared" si="55"/>
        <v>13.477096257277438</v>
      </c>
      <c r="AH105" s="702">
        <f t="shared" si="56"/>
        <v>-74.592803098003358</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1.0000135696552672</v>
      </c>
      <c r="N106" s="694">
        <f t="shared" si="41"/>
        <v>-5.2095108835112109E-3</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15.161614346939981</v>
      </c>
      <c r="X106" s="699">
        <f t="shared" si="49"/>
        <v>-98.548834817459849</v>
      </c>
      <c r="Y106" s="702">
        <f t="shared" si="50"/>
        <v>81.451165182540151</v>
      </c>
      <c r="AA106" s="174">
        <f t="shared" si="51"/>
        <v>1000000000</v>
      </c>
      <c r="AB106" s="174">
        <f t="shared" si="52"/>
        <v>27542553.610000003</v>
      </c>
      <c r="AD106" s="701">
        <f t="shared" si="53"/>
        <v>27.870075210040198</v>
      </c>
      <c r="AE106" s="702">
        <f t="shared" si="54"/>
        <v>-15.687807038319542</v>
      </c>
      <c r="AG106" s="701">
        <f t="shared" si="55"/>
        <v>12.711327633879906</v>
      </c>
      <c r="AH106" s="702">
        <f t="shared" si="56"/>
        <v>-75.309120948904138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1.0000142089362909</v>
      </c>
      <c r="N107" s="694">
        <f t="shared" si="41"/>
        <v>-5.3308100788010482E-3</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14.956403872684266</v>
      </c>
      <c r="X107" s="699">
        <f t="shared" si="49"/>
        <v>-98.610451812232142</v>
      </c>
      <c r="Y107" s="702">
        <f t="shared" si="50"/>
        <v>81.389548187767858</v>
      </c>
      <c r="AA107" s="174">
        <f t="shared" si="51"/>
        <v>1000000000</v>
      </c>
      <c r="AB107" s="174">
        <f t="shared" si="52"/>
        <v>28840122.090000004</v>
      </c>
      <c r="AD107" s="701">
        <f t="shared" si="53"/>
        <v>27.858186902473484</v>
      </c>
      <c r="AE107" s="702">
        <f t="shared" si="54"/>
        <v>-15.412989617142566</v>
      </c>
      <c r="AG107" s="701">
        <f t="shared" si="55"/>
        <v>12.519176708560655</v>
      </c>
      <c r="AH107" s="702">
        <f t="shared" si="56"/>
        <v>-75.469969900371893</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1.0000145418556385</v>
      </c>
      <c r="N108" s="694">
        <f t="shared" si="41"/>
        <v>-5.3928989272086902E-3</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14.853221671657572</v>
      </c>
      <c r="X108" s="699">
        <f t="shared" si="49"/>
        <v>-98.642951466309285</v>
      </c>
      <c r="Y108" s="702">
        <f t="shared" si="50"/>
        <v>81.357048533690715</v>
      </c>
      <c r="AA108" s="174">
        <f t="shared" si="51"/>
        <v>1000000000</v>
      </c>
      <c r="AB108" s="174">
        <f t="shared" si="52"/>
        <v>29515859.122500002</v>
      </c>
      <c r="AD108" s="701">
        <f t="shared" si="53"/>
        <v>27.852393275469272</v>
      </c>
      <c r="AE108" s="702">
        <f t="shared" si="54"/>
        <v>-15.277407232066796</v>
      </c>
      <c r="AG108" s="701">
        <f t="shared" si="55"/>
        <v>12.4223980264457</v>
      </c>
      <c r="AH108" s="702">
        <f t="shared" si="56"/>
        <v>-75.5481825919275</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1.0000148786300649</v>
      </c>
      <c r="N109" s="694">
        <f t="shared" si="41"/>
        <v>-5.4549877340364364E-3</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14.751257595492014</v>
      </c>
      <c r="X109" s="699">
        <f t="shared" si="49"/>
        <v>-98.676077631722777</v>
      </c>
      <c r="Y109" s="702">
        <f t="shared" si="50"/>
        <v>81.323922368277223</v>
      </c>
      <c r="AA109" s="174">
        <f t="shared" si="51"/>
        <v>1000000000</v>
      </c>
      <c r="AB109" s="174">
        <f t="shared" si="52"/>
        <v>30199421.159999996</v>
      </c>
      <c r="AD109" s="701">
        <f t="shared" si="53"/>
        <v>27.846785819115741</v>
      </c>
      <c r="AE109" s="702">
        <f t="shared" si="54"/>
        <v>-15.145126155867432</v>
      </c>
      <c r="AG109" s="701">
        <f t="shared" si="55"/>
        <v>12.326658320980004</v>
      </c>
      <c r="AH109" s="702">
        <f t="shared" si="56"/>
        <v>-75.623725191833486</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1.0000152272015721</v>
      </c>
      <c r="N110" s="694">
        <f t="shared" si="41"/>
        <v>-5.518515806199332E-3</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14.648160401972119</v>
      </c>
      <c r="X110" s="699">
        <f t="shared" si="49"/>
        <v>-98.710602288178151</v>
      </c>
      <c r="Y110" s="702">
        <f t="shared" si="50"/>
        <v>81.289397711821849</v>
      </c>
      <c r="AA110" s="174">
        <f t="shared" si="51"/>
        <v>1000000000</v>
      </c>
      <c r="AB110" s="174">
        <f t="shared" si="52"/>
        <v>30906928.359999996</v>
      </c>
      <c r="AD110" s="701">
        <f t="shared" si="53"/>
        <v>27.841232731703954</v>
      </c>
      <c r="AE110" s="702">
        <f t="shared" si="54"/>
        <v>-15.013087850630567</v>
      </c>
      <c r="AG110" s="701">
        <f t="shared" si="55"/>
        <v>12.229752697263329</v>
      </c>
      <c r="AH110" s="702">
        <f t="shared" si="56"/>
        <v>-75.698345245279796</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1.0000155798089541</v>
      </c>
      <c r="N111" s="694">
        <f t="shared" si="41"/>
        <v>-5.5820438338183773E-3</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14.546278134602161</v>
      </c>
      <c r="X111" s="699">
        <f t="shared" si="49"/>
        <v>-98.745747116325219</v>
      </c>
      <c r="Y111" s="702">
        <f t="shared" si="50"/>
        <v>81.254252883674781</v>
      </c>
      <c r="AA111" s="174">
        <f t="shared" si="51"/>
        <v>1000000000</v>
      </c>
      <c r="AB111" s="174">
        <f t="shared" si="52"/>
        <v>31622627.559999995</v>
      </c>
      <c r="AD111" s="701">
        <f t="shared" si="53"/>
        <v>27.835858068307804</v>
      </c>
      <c r="AE111" s="702">
        <f t="shared" si="54"/>
        <v>-14.884291374875332</v>
      </c>
      <c r="AG111" s="701">
        <f t="shared" si="55"/>
        <v>12.133890924537081</v>
      </c>
      <c r="AH111" s="702">
        <f t="shared" si="56"/>
        <v>-75.770348680834104</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1.0000159448594361</v>
      </c>
      <c r="N112" s="694">
        <f t="shared" si="41"/>
        <v>-5.6470607529276262E-3</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14.443235826940201</v>
      </c>
      <c r="X112" s="699">
        <f t="shared" si="49"/>
        <v>-98.78233987200116</v>
      </c>
      <c r="Y112" s="702">
        <f t="shared" si="50"/>
        <v>81.21766012799884</v>
      </c>
      <c r="AA112" s="174">
        <f t="shared" si="51"/>
        <v>1000000000</v>
      </c>
      <c r="AB112" s="174">
        <f t="shared" si="52"/>
        <v>32363583.209999997</v>
      </c>
      <c r="AD112" s="701">
        <f t="shared" si="53"/>
        <v>27.830534170431282</v>
      </c>
      <c r="AE112" s="702">
        <f t="shared" si="54"/>
        <v>-14.755726718343322</v>
      </c>
      <c r="AG112" s="701">
        <f t="shared" si="55"/>
        <v>12.036841090325318</v>
      </c>
      <c r="AH112" s="702">
        <f t="shared" si="56"/>
        <v>-75.841418709122195</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1.0000163141371825</v>
      </c>
      <c r="N113" s="694">
        <f t="shared" si="41"/>
        <v>-5.7120776242938947E-3</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14.341405929852144</v>
      </c>
      <c r="X113" s="699">
        <f t="shared" si="49"/>
        <v>-98.819546418001707</v>
      </c>
      <c r="Y113" s="702">
        <f t="shared" si="50"/>
        <v>81.180453581998293</v>
      </c>
      <c r="AA113" s="174">
        <f t="shared" si="51"/>
        <v>1000000000</v>
      </c>
      <c r="AB113" s="174">
        <f t="shared" si="52"/>
        <v>33113119.359999996</v>
      </c>
      <c r="AD113" s="701">
        <f t="shared" si="53"/>
        <v>27.825381320452408</v>
      </c>
      <c r="AE113" s="702">
        <f t="shared" si="54"/>
        <v>-14.630346382389121</v>
      </c>
      <c r="AG113" s="701">
        <f t="shared" si="55"/>
        <v>11.940840312940391</v>
      </c>
      <c r="AH113" s="702">
        <f t="shared" si="56"/>
        <v>-75.909923607399406</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1.0000166962452499</v>
      </c>
      <c r="N114" s="694">
        <f t="shared" si="41"/>
        <v>-5.7785833816771338E-3</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14.238468401700274</v>
      </c>
      <c r="X114" s="699">
        <f t="shared" si="49"/>
        <v>-98.858222131946121</v>
      </c>
      <c r="Y114" s="702">
        <f t="shared" si="50"/>
        <v>81.141777868053879</v>
      </c>
      <c r="AA114" s="174">
        <f t="shared" si="51"/>
        <v>1000000000</v>
      </c>
      <c r="AB114" s="174">
        <f t="shared" si="52"/>
        <v>33888697.959999993</v>
      </c>
      <c r="AD114" s="701">
        <f t="shared" si="53"/>
        <v>27.820279742473417</v>
      </c>
      <c r="AE114" s="702">
        <f t="shared" si="54"/>
        <v>-14.505284711367718</v>
      </c>
      <c r="AG114" s="701">
        <f t="shared" si="55"/>
        <v>11.84370407832898</v>
      </c>
      <c r="AH114" s="702">
        <f t="shared" si="56"/>
        <v>-75.977430110539572</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1.0000170827764037</v>
      </c>
      <c r="N115" s="694">
        <f t="shared" si="41"/>
        <v>-5.8450890879423126E-3</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14.136739580163544</v>
      </c>
      <c r="X115" s="699">
        <f t="shared" si="49"/>
        <v>-98.897504298149428</v>
      </c>
      <c r="Y115" s="702">
        <f t="shared" si="50"/>
        <v>81.102495701850572</v>
      </c>
      <c r="AA115" s="174">
        <f t="shared" si="51"/>
        <v>1000000000</v>
      </c>
      <c r="AB115" s="174">
        <f t="shared" si="52"/>
        <v>34673254.559999995</v>
      </c>
      <c r="AD115" s="701">
        <f t="shared" si="53"/>
        <v>27.815341935947711</v>
      </c>
      <c r="AE115" s="702">
        <f t="shared" si="54"/>
        <v>-14.383346965659378</v>
      </c>
      <c r="AG115" s="701">
        <f t="shared" si="55"/>
        <v>11.747620825943519</v>
      </c>
      <c r="AH115" s="702">
        <f t="shared" si="56"/>
        <v>-76.04242492081066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1.0000174831209332</v>
      </c>
      <c r="N116" s="694">
        <f t="shared" si="41"/>
        <v>-5.9131829365999316E-3</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14.033803821327414</v>
      </c>
      <c r="X116" s="699">
        <f t="shared" si="49"/>
        <v>-98.938334968572761</v>
      </c>
      <c r="Y116" s="702">
        <f t="shared" si="50"/>
        <v>81.061665031427239</v>
      </c>
      <c r="AA116" s="174">
        <f t="shared" si="51"/>
        <v>1000000000</v>
      </c>
      <c r="AB116" s="174">
        <f t="shared" si="52"/>
        <v>35485849</v>
      </c>
      <c r="AD116" s="701">
        <f t="shared" si="53"/>
        <v>27.810448503808711</v>
      </c>
      <c r="AE116" s="702">
        <f t="shared" si="54"/>
        <v>-14.26163094552671</v>
      </c>
      <c r="AG116" s="701">
        <f t="shared" si="55"/>
        <v>11.650311499383877</v>
      </c>
      <c r="AH116" s="702">
        <f t="shared" si="56"/>
        <v>-76.106454654217501</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1.0000178881023123</v>
      </c>
      <c r="N117" s="694">
        <f t="shared" si="41"/>
        <v>-5.9812767304207905E-3</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13.93207544716272</v>
      </c>
      <c r="X117" s="699">
        <f t="shared" si="49"/>
        <v>-98.979765617130454</v>
      </c>
      <c r="Y117" s="702">
        <f t="shared" si="50"/>
        <v>81.020234382869546</v>
      </c>
      <c r="AA117" s="174">
        <f t="shared" si="51"/>
        <v>1000000000</v>
      </c>
      <c r="AB117" s="174">
        <f t="shared" si="52"/>
        <v>36307855.360000007</v>
      </c>
      <c r="AD117" s="701">
        <f t="shared" si="53"/>
        <v>27.805712142185783</v>
      </c>
      <c r="AE117" s="702">
        <f t="shared" si="54"/>
        <v>-14.142984841287962</v>
      </c>
      <c r="AG117" s="701">
        <f t="shared" si="55"/>
        <v>11.554060919101317</v>
      </c>
      <c r="AH117" s="702">
        <f t="shared" si="56"/>
        <v>-76.168020648505191</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1.0000183073296482</v>
      </c>
      <c r="N118" s="694">
        <f t="shared" si="41"/>
        <v>-6.0509586602546257E-3</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13.82919449206196</v>
      </c>
      <c r="X118" s="699">
        <f t="shared" si="49"/>
        <v>-99.022765802911124</v>
      </c>
      <c r="Y118" s="702">
        <f t="shared" si="50"/>
        <v>80.977234197088876</v>
      </c>
      <c r="AA118" s="174">
        <f t="shared" si="51"/>
        <v>1000000000</v>
      </c>
      <c r="AB118" s="174">
        <f t="shared" si="52"/>
        <v>37158777.640000001</v>
      </c>
      <c r="AD118" s="701">
        <f t="shared" si="53"/>
        <v>27.801020816679216</v>
      </c>
      <c r="AE118" s="702">
        <f t="shared" si="54"/>
        <v>-14.024648114607807</v>
      </c>
      <c r="AG118" s="701">
        <f t="shared" si="55"/>
        <v>11.456638741986982</v>
      </c>
      <c r="AH118" s="702">
        <f t="shared" si="56"/>
        <v>-76.228555665981617</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1.0000187314126403</v>
      </c>
      <c r="N119" s="694">
        <f t="shared" si="41"/>
        <v>-6.1206405313260709E-3</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13.727518337440806</v>
      </c>
      <c r="X119" s="699">
        <f t="shared" si="49"/>
        <v>-99.066358556611618</v>
      </c>
      <c r="Y119" s="702">
        <f t="shared" si="50"/>
        <v>80.933641443388382</v>
      </c>
      <c r="AA119" s="174">
        <f t="shared" si="51"/>
        <v>1000000000</v>
      </c>
      <c r="AB119" s="174">
        <f t="shared" si="52"/>
        <v>38019556</v>
      </c>
      <c r="AD119" s="701">
        <f t="shared" si="53"/>
        <v>27.796479935543076</v>
      </c>
      <c r="AE119" s="702">
        <f t="shared" si="54"/>
        <v>-13.909324309949014</v>
      </c>
      <c r="AG119" s="701">
        <f t="shared" si="55"/>
        <v>11.360279746784588</v>
      </c>
      <c r="AH119" s="702">
        <f t="shared" si="56"/>
        <v>-76.286676969457346</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1.000019170184258</v>
      </c>
      <c r="N120" s="694">
        <f t="shared" si="41"/>
        <v>-6.1919105316993036E-3</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13.624741343513268</v>
      </c>
      <c r="X120" s="699">
        <f t="shared" si="49"/>
        <v>-99.111540018016868</v>
      </c>
      <c r="Y120" s="702">
        <f t="shared" si="50"/>
        <v>80.888459981983132</v>
      </c>
      <c r="AA120" s="174">
        <f t="shared" si="51"/>
        <v>1000000000</v>
      </c>
      <c r="AB120" s="174">
        <f t="shared" si="52"/>
        <v>38910148.840000004</v>
      </c>
      <c r="AD120" s="701">
        <f t="shared" si="53"/>
        <v>27.791984372576756</v>
      </c>
      <c r="AE120" s="702">
        <f t="shared" si="54"/>
        <v>-13.794388929212873</v>
      </c>
      <c r="AG120" s="701">
        <f t="shared" si="55"/>
        <v>11.26280141461681</v>
      </c>
      <c r="AH120" s="702">
        <f t="shared" si="56"/>
        <v>-76.343708176256527</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1.0000196140353814</v>
      </c>
      <c r="N121" s="694">
        <f t="shared" si="41"/>
        <v>-6.263180469169247E-3</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13.523165400051958</v>
      </c>
      <c r="X121" s="699">
        <f t="shared" si="49"/>
        <v>-99.157305798113939</v>
      </c>
      <c r="Y121" s="702">
        <f t="shared" si="50"/>
        <v>80.842694201886061</v>
      </c>
      <c r="AA121" s="174">
        <f t="shared" si="51"/>
        <v>1000000000</v>
      </c>
      <c r="AB121" s="174">
        <f t="shared" si="52"/>
        <v>39811052.160000004</v>
      </c>
      <c r="AD121" s="701">
        <f t="shared" si="53"/>
        <v>27.787632730715714</v>
      </c>
      <c r="AE121" s="702">
        <f t="shared" si="54"/>
        <v>-13.68240696383663</v>
      </c>
      <c r="AG121" s="701">
        <f t="shared" si="55"/>
        <v>11.166389439871296</v>
      </c>
      <c r="AH121" s="702">
        <f t="shared" si="56"/>
        <v>-76.398377391845131</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1.0000200733423605</v>
      </c>
      <c r="N122" s="694">
        <f t="shared" si="41"/>
        <v>-6.3360881596934392E-3</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13.420468350421309</v>
      </c>
      <c r="X122" s="699">
        <f t="shared" si="49"/>
        <v>-99.204710163205021</v>
      </c>
      <c r="Y122" s="702">
        <f t="shared" si="50"/>
        <v>80.795289836794979</v>
      </c>
      <c r="AA122" s="174">
        <f t="shared" si="51"/>
        <v>1000000000</v>
      </c>
      <c r="AB122" s="174">
        <f t="shared" si="52"/>
        <v>40743327.302500002</v>
      </c>
      <c r="AD122" s="701">
        <f t="shared" si="53"/>
        <v>27.783323474810157</v>
      </c>
      <c r="AE122" s="702">
        <f t="shared" si="54"/>
        <v>-13.570809495424088</v>
      </c>
      <c r="AG122" s="701">
        <f t="shared" si="55"/>
        <v>11.068842186786995</v>
      </c>
      <c r="AH122" s="702">
        <f t="shared" si="56"/>
        <v>-76.45193933530291</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1.0000205379649729</v>
      </c>
      <c r="N123" s="694">
        <f t="shared" si="41"/>
        <v>-6.4089957828574436E-3</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13.318969138885983</v>
      </c>
      <c r="X123" s="699">
        <f t="shared" si="49"/>
        <v>-99.252690625011908</v>
      </c>
      <c r="Y123" s="702">
        <f t="shared" si="50"/>
        <v>80.747309374988092</v>
      </c>
      <c r="AA123" s="174">
        <f t="shared" si="51"/>
        <v>1000000000</v>
      </c>
      <c r="AB123" s="174">
        <f t="shared" si="52"/>
        <v>41686392.25</v>
      </c>
      <c r="AD123" s="701">
        <f t="shared" si="53"/>
        <v>27.779151926594565</v>
      </c>
      <c r="AE123" s="702">
        <f t="shared" si="54"/>
        <v>-13.462107740226545</v>
      </c>
      <c r="AG123" s="701">
        <f t="shared" si="55"/>
        <v>10.972364716092201</v>
      </c>
      <c r="AH123" s="702">
        <f t="shared" si="56"/>
        <v>-76.503189268296083</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1.0000210191646663</v>
      </c>
      <c r="N124" s="694">
        <f t="shared" si="41"/>
        <v>-6.4836404129004722E-3</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13.216263086479385</v>
      </c>
      <c r="X124" s="699">
        <f t="shared" si="49"/>
        <v>-99.302393430021226</v>
      </c>
      <c r="Y124" s="702">
        <f t="shared" si="50"/>
        <v>80.697606569978774</v>
      </c>
      <c r="AA124" s="174">
        <f t="shared" si="51"/>
        <v>1000000000</v>
      </c>
      <c r="AB124" s="174">
        <f t="shared" si="52"/>
        <v>42663104.890000001</v>
      </c>
      <c r="AD124" s="701">
        <f t="shared" si="53"/>
        <v>27.775017385272896</v>
      </c>
      <c r="AE124" s="702">
        <f t="shared" si="54"/>
        <v>-13.353719556681536</v>
      </c>
      <c r="AG124" s="701">
        <f t="shared" si="55"/>
        <v>10.874673651036911</v>
      </c>
      <c r="AH124" s="702">
        <f t="shared" si="56"/>
        <v>-76.553343941361362</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1.0000215059362925</v>
      </c>
      <c r="N125" s="694">
        <f t="shared" si="41"/>
        <v>-6.5582849706911951E-3</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13.11475369675831</v>
      </c>
      <c r="X125" s="699">
        <f t="shared" si="49"/>
        <v>-99.352664862439994</v>
      </c>
      <c r="Y125" s="702">
        <f t="shared" si="50"/>
        <v>80.647335137560006</v>
      </c>
      <c r="AA125" s="174">
        <f t="shared" si="51"/>
        <v>1000000000</v>
      </c>
      <c r="AB125" s="174">
        <f t="shared" si="52"/>
        <v>43651127.609999992</v>
      </c>
      <c r="AD125" s="701">
        <f t="shared" si="53"/>
        <v>27.771014795507433</v>
      </c>
      <c r="AE125" s="702">
        <f t="shared" si="54"/>
        <v>-13.248174701181737</v>
      </c>
      <c r="AG125" s="701">
        <f t="shared" si="55"/>
        <v>10.778057408930543</v>
      </c>
      <c r="AH125" s="702">
        <f t="shared" si="56"/>
        <v>-76.60123206900218</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1.0000220098036474</v>
      </c>
      <c r="N126" s="694">
        <f t="shared" si="41"/>
        <v>-6.6346665269710154E-3</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13.012091350290188</v>
      </c>
      <c r="X126" s="699">
        <f t="shared" si="49"/>
        <v>-99.40467722159481</v>
      </c>
      <c r="Y126" s="702">
        <f t="shared" si="50"/>
        <v>80.59532277840519</v>
      </c>
      <c r="AA126" s="174">
        <f t="shared" si="51"/>
        <v>1000000000</v>
      </c>
      <c r="AB126" s="174">
        <f t="shared" si="52"/>
        <v>44673850.822500005</v>
      </c>
      <c r="AD126" s="701">
        <f t="shared" si="53"/>
        <v>27.767049633874379</v>
      </c>
      <c r="AE126" s="702">
        <f t="shared" si="54"/>
        <v>-13.143022035868446</v>
      </c>
      <c r="AG126" s="701">
        <f t="shared" si="55"/>
        <v>10.680281970901156</v>
      </c>
      <c r="AH126" s="702">
        <f t="shared" si="56"/>
        <v>-76.647965845398687</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1.000022519505267</v>
      </c>
      <c r="N127" s="694">
        <f t="shared" si="41"/>
        <v>-6.7110480058346035E-3</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12.910623241576634</v>
      </c>
      <c r="X127" s="699">
        <f t="shared" si="49"/>
        <v>-99.457249935739739</v>
      </c>
      <c r="Y127" s="702">
        <f t="shared" si="50"/>
        <v>80.542750064260261</v>
      </c>
      <c r="AA127" s="174">
        <f t="shared" si="51"/>
        <v>1000000000</v>
      </c>
      <c r="AB127" s="174">
        <f t="shared" si="52"/>
        <v>45708416.640000001</v>
      </c>
      <c r="AD127" s="701">
        <f t="shared" si="53"/>
        <v>27.763210742116943</v>
      </c>
      <c r="AE127" s="702">
        <f t="shared" si="54"/>
        <v>-13.040657738062333</v>
      </c>
      <c r="AG127" s="701">
        <f t="shared" si="55"/>
        <v>10.583585082566458</v>
      </c>
      <c r="AH127" s="702">
        <f t="shared" si="56"/>
        <v>-76.692480343735937</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1.000023047170294</v>
      </c>
      <c r="N128" s="694">
        <f t="shared" si="41"/>
        <v>-6.7892161048745611E-3</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12.807988697945298</v>
      </c>
      <c r="X128" s="699">
        <f t="shared" si="49"/>
        <v>-99.511615119949155</v>
      </c>
      <c r="Y128" s="702">
        <f t="shared" si="50"/>
        <v>80.488384880050845</v>
      </c>
      <c r="AA128" s="174">
        <f t="shared" si="51"/>
        <v>1000000000</v>
      </c>
      <c r="AB128" s="174">
        <f t="shared" si="52"/>
        <v>46779444.202500001</v>
      </c>
      <c r="AD128" s="701">
        <f t="shared" si="53"/>
        <v>27.759407011779484</v>
      </c>
      <c r="AE128" s="702">
        <f t="shared" si="54"/>
        <v>-12.938692522580867</v>
      </c>
      <c r="AG128" s="701">
        <f t="shared" si="55"/>
        <v>10.485719359474784</v>
      </c>
      <c r="AH128" s="702">
        <f t="shared" si="56"/>
        <v>-76.735814393304139</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1.0000235809457072</v>
      </c>
      <c r="N129" s="694">
        <f t="shared" si="41"/>
        <v>-6.8673841209456942E-3</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12.706546306874298</v>
      </c>
      <c r="X129" s="699">
        <f t="shared" si="49"/>
        <v>-99.566532365284118</v>
      </c>
      <c r="Y129" s="702">
        <f t="shared" si="50"/>
        <v>80.433467634715882</v>
      </c>
      <c r="AA129" s="174">
        <f t="shared" si="51"/>
        <v>1000000000</v>
      </c>
      <c r="AB129" s="174">
        <f t="shared" si="52"/>
        <v>47862874.890000001</v>
      </c>
      <c r="AD129" s="701">
        <f t="shared" si="53"/>
        <v>27.755724116855411</v>
      </c>
      <c r="AE129" s="702">
        <f t="shared" si="54"/>
        <v>-12.839461986451575</v>
      </c>
      <c r="AG129" s="701">
        <f t="shared" si="55"/>
        <v>10.388936029495516</v>
      </c>
      <c r="AH129" s="702">
        <f t="shared" si="56"/>
        <v>-76.776975181522346</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1.0000241335879865</v>
      </c>
      <c r="N130" s="694">
        <f t="shared" si="41"/>
        <v>-6.947388378101254E-3</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12.603926006894746</v>
      </c>
      <c r="X130" s="699">
        <f t="shared" si="49"/>
        <v>-99.623294047009836</v>
      </c>
      <c r="Y130" s="702">
        <f t="shared" si="50"/>
        <v>80.376705952990164</v>
      </c>
      <c r="AA130" s="174">
        <f t="shared" si="51"/>
        <v>1000000000</v>
      </c>
      <c r="AB130" s="174">
        <f t="shared" si="52"/>
        <v>48984601.209999993</v>
      </c>
      <c r="AD130" s="701">
        <f t="shared" si="53"/>
        <v>27.752074289286995</v>
      </c>
      <c r="AE130" s="702">
        <f t="shared" si="54"/>
        <v>-12.740640285347441</v>
      </c>
      <c r="AG130" s="701">
        <f t="shared" si="55"/>
        <v>10.290976121133307</v>
      </c>
      <c r="AH130" s="702">
        <f t="shared" si="56"/>
        <v>-76.81692707287678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1.0000246926310945</v>
      </c>
      <c r="N131" s="694">
        <f t="shared" si="41"/>
        <v>-7.0273925463194466E-3</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12.502496056957586</v>
      </c>
      <c r="X131" s="699">
        <f t="shared" si="49"/>
        <v>-99.680599461847706</v>
      </c>
      <c r="Y131" s="702">
        <f t="shared" si="50"/>
        <v>80.319400538152294</v>
      </c>
      <c r="AA131" s="174">
        <f t="shared" si="51"/>
        <v>1000000000</v>
      </c>
      <c r="AB131" s="174">
        <f t="shared" si="52"/>
        <v>50119320.25</v>
      </c>
      <c r="AD131" s="701">
        <f t="shared" si="53"/>
        <v>27.748540092993039</v>
      </c>
      <c r="AE131" s="702">
        <f t="shared" si="54"/>
        <v>-12.644500706923518</v>
      </c>
      <c r="AG131" s="701">
        <f t="shared" si="55"/>
        <v>10.194102526670875</v>
      </c>
      <c r="AH131" s="702">
        <f t="shared" si="56"/>
        <v>-76.854750600100445</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1.0000252711287161</v>
      </c>
      <c r="N132" s="694">
        <f t="shared" si="41"/>
        <v>-7.1092329454074945E-3</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12.399940431885037</v>
      </c>
      <c r="X132" s="699">
        <f t="shared" si="49"/>
        <v>-99.739765593855552</v>
      </c>
      <c r="Y132" s="702">
        <f t="shared" si="50"/>
        <v>80.260234406144448</v>
      </c>
      <c r="AA132" s="174">
        <f t="shared" si="51"/>
        <v>1000000000</v>
      </c>
      <c r="AB132" s="174">
        <f t="shared" si="52"/>
        <v>51293527.802499995</v>
      </c>
      <c r="AD132" s="701">
        <f t="shared" si="53"/>
        <v>27.745039109380095</v>
      </c>
      <c r="AE132" s="702">
        <f t="shared" si="54"/>
        <v>-12.548839429235841</v>
      </c>
      <c r="AG132" s="701">
        <f t="shared" si="55"/>
        <v>10.096105499323764</v>
      </c>
      <c r="AH132" s="702">
        <f t="shared" si="56"/>
        <v>-76.891313192308615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1.0000258563243505</v>
      </c>
      <c r="N133" s="694">
        <f t="shared" si="41"/>
        <v>-7.1910732492608855E-3</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12.298572161035528</v>
      </c>
      <c r="X133" s="699">
        <f t="shared" si="49"/>
        <v>-99.799466447363628</v>
      </c>
      <c r="Y133" s="702">
        <f t="shared" si="50"/>
        <v>80.200533552636372</v>
      </c>
      <c r="AA133" s="174">
        <f t="shared" si="51"/>
        <v>1000000000</v>
      </c>
      <c r="AB133" s="174">
        <f t="shared" si="52"/>
        <v>52481331.359999992</v>
      </c>
      <c r="AD133" s="701">
        <f t="shared" si="53"/>
        <v>27.741648637141783</v>
      </c>
      <c r="AE133" s="702">
        <f t="shared" si="54"/>
        <v>-12.455805590903084</v>
      </c>
      <c r="AG133" s="701">
        <f t="shared" si="55"/>
        <v>9.9991974403113506</v>
      </c>
      <c r="AH133" s="702">
        <f t="shared" si="56"/>
        <v>-76.925793796867666</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1.0000264619366952</v>
      </c>
      <c r="N134" s="694">
        <f t="shared" si="41"/>
        <v>-7.2747994034172139E-3</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12.196067533371881</v>
      </c>
      <c r="X134" s="699">
        <f t="shared" si="49"/>
        <v>-99.861079373859042</v>
      </c>
      <c r="Y134" s="702">
        <f t="shared" si="50"/>
        <v>80.138920626140958</v>
      </c>
      <c r="AA134" s="174">
        <f t="shared" si="51"/>
        <v>1000000000</v>
      </c>
      <c r="AB134" s="174">
        <f t="shared" si="52"/>
        <v>53710576.5625</v>
      </c>
      <c r="AD134" s="701">
        <f t="shared" si="53"/>
        <v>27.7382893082208</v>
      </c>
      <c r="AE134" s="702">
        <f t="shared" si="54"/>
        <v>-12.363258288934896</v>
      </c>
      <c r="AG134" s="701">
        <f t="shared" si="55"/>
        <v>9.9011590760658628</v>
      </c>
      <c r="AH134" s="702">
        <f t="shared" si="56"/>
        <v>-76.958986089005933</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1.0000270745592859</v>
      </c>
      <c r="N135" s="694">
        <f t="shared" si="41"/>
        <v>-7.3585254555781779E-3</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12.094747549043014</v>
      </c>
      <c r="X135" s="699">
        <f t="shared" si="49"/>
        <v>-99.923218025565916</v>
      </c>
      <c r="Y135" s="702">
        <f t="shared" si="50"/>
        <v>80.076781974434084</v>
      </c>
      <c r="AA135" s="174">
        <f t="shared" si="51"/>
        <v>1000000000</v>
      </c>
      <c r="AB135" s="174">
        <f t="shared" si="52"/>
        <v>54954051.610000007</v>
      </c>
      <c r="AD135" s="701">
        <f t="shared" si="53"/>
        <v>27.735035595587508</v>
      </c>
      <c r="AE135" s="702">
        <f t="shared" si="54"/>
        <v>-12.273285010978471</v>
      </c>
      <c r="AG135" s="701">
        <f t="shared" si="55"/>
        <v>9.804212420839999</v>
      </c>
      <c r="AH135" s="702">
        <f t="shared" si="56"/>
        <v>-76.990141568582601</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1.000027708969135</v>
      </c>
      <c r="N136" s="694">
        <f t="shared" si="41"/>
        <v>-7.4442366066040013E-3</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11.992223255080388</v>
      </c>
      <c r="X136" s="699">
        <f t="shared" si="49"/>
        <v>-99.987357717693087</v>
      </c>
      <c r="Y136" s="702">
        <f t="shared" si="50"/>
        <v>80.012642282306913</v>
      </c>
      <c r="AA136" s="174">
        <f t="shared" si="51"/>
        <v>1000000000</v>
      </c>
      <c r="AB136" s="174">
        <f t="shared" si="52"/>
        <v>56241750.302499995</v>
      </c>
      <c r="AD136" s="701">
        <f t="shared" si="53"/>
        <v>27.731809259713202</v>
      </c>
      <c r="AE136" s="702">
        <f t="shared" si="54"/>
        <v>-12.183757714892817</v>
      </c>
      <c r="AG136" s="701">
        <f t="shared" si="55"/>
        <v>9.7060737580065179</v>
      </c>
      <c r="AH136" s="702">
        <f t="shared" si="56"/>
        <v>-77.019996173968835</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1.0000283507255796</v>
      </c>
      <c r="N137" s="694">
        <f t="shared" si="41"/>
        <v>-7.5299476482512447E-3</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11.890882482358162</v>
      </c>
      <c r="X137" s="699">
        <f t="shared" si="49"/>
        <v>-100.05201473225125</v>
      </c>
      <c r="Y137" s="702">
        <f t="shared" si="50"/>
        <v>79.947985267748749</v>
      </c>
      <c r="AA137" s="174">
        <f t="shared" si="51"/>
        <v>1000000000</v>
      </c>
      <c r="AB137" s="174">
        <f t="shared" si="52"/>
        <v>57544361.640000001</v>
      </c>
      <c r="AD137" s="701">
        <f t="shared" si="53"/>
        <v>27.728683969515181</v>
      </c>
      <c r="AE137" s="702">
        <f t="shared" si="54"/>
        <v>-12.096755050576695</v>
      </c>
      <c r="AG137" s="701">
        <f t="shared" si="55"/>
        <v>9.6090308515890897</v>
      </c>
      <c r="AH137" s="702">
        <f t="shared" si="56"/>
        <v>-77.047855781314567</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1.0000290149498885</v>
      </c>
      <c r="N138" s="694">
        <f t="shared" si="41"/>
        <v>-7.6176437761102363E-3</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11.78839047601725</v>
      </c>
      <c r="X138" s="699">
        <f t="shared" si="49"/>
        <v>-100.11868802068501</v>
      </c>
      <c r="Y138" s="702">
        <f t="shared" si="50"/>
        <v>79.881311979314987</v>
      </c>
      <c r="AA138" s="174">
        <f t="shared" si="51"/>
        <v>1000000000</v>
      </c>
      <c r="AB138" s="174">
        <f t="shared" si="52"/>
        <v>58892578.222499996</v>
      </c>
      <c r="AD138" s="701">
        <f t="shared" si="53"/>
        <v>27.725586200496068</v>
      </c>
      <c r="AE138" s="702">
        <f t="shared" si="54"/>
        <v>-12.010264864236431</v>
      </c>
      <c r="AG138" s="701">
        <f t="shared" si="55"/>
        <v>9.5108500897025046</v>
      </c>
      <c r="AH138" s="702">
        <f t="shared" si="56"/>
        <v>-77.074364669455463</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1.0000296868650214</v>
      </c>
      <c r="N139" s="694">
        <f t="shared" si="41"/>
        <v>-7.7053397867984513E-3</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11.687079638470259</v>
      </c>
      <c r="X139" s="699">
        <f t="shared" si="49"/>
        <v>-100.18586959180132</v>
      </c>
      <c r="Y139" s="702">
        <f t="shared" si="50"/>
        <v>79.814130408198679</v>
      </c>
      <c r="AA139" s="174">
        <f t="shared" si="51"/>
        <v>1000000000</v>
      </c>
      <c r="AB139" s="174">
        <f t="shared" si="52"/>
        <v>60256406.25</v>
      </c>
      <c r="AD139" s="701">
        <f t="shared" si="53"/>
        <v>27.722584976609252</v>
      </c>
      <c r="AE139" s="702">
        <f t="shared" si="54"/>
        <v>-11.926247871301943</v>
      </c>
      <c r="AG139" s="701">
        <f t="shared" si="55"/>
        <v>9.4137678440955899</v>
      </c>
      <c r="AH139" s="702">
        <f t="shared" si="56"/>
        <v>-77.098921828057968</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1.0000303823312697</v>
      </c>
      <c r="N140" s="694">
        <f t="shared" si="41"/>
        <v>-7.7950705001748524E-3</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11.584611765278815</v>
      </c>
      <c r="X140" s="699">
        <f t="shared" si="49"/>
        <v>-100.25511956466192</v>
      </c>
      <c r="Y140" s="702">
        <f t="shared" si="50"/>
        <v>79.744880435338075</v>
      </c>
      <c r="AA140" s="174">
        <f t="shared" si="51"/>
        <v>1000000000</v>
      </c>
      <c r="AB140" s="174">
        <f t="shared" si="52"/>
        <v>61668038.409999996</v>
      </c>
      <c r="AD140" s="701">
        <f t="shared" si="53"/>
        <v>27.719609567454206</v>
      </c>
      <c r="AE140" s="702">
        <f t="shared" si="54"/>
        <v>-11.842757521691503</v>
      </c>
      <c r="AG140" s="701">
        <f t="shared" si="55"/>
        <v>9.315545601160002</v>
      </c>
      <c r="AH140" s="702">
        <f t="shared" si="56"/>
        <v>-77.122096060980681</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1.0000310858493524</v>
      </c>
      <c r="N141" s="694">
        <f t="shared" ref="N141:N204" si="74">-ATAN(G141/z_RHP)</f>
        <v>-7.8848010880232938E-3</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11.483322857318271</v>
      </c>
      <c r="X141" s="699">
        <f t="shared" ref="X141:X204" si="82">((L141+R141+N141+V141)-(J141+P141+T141))*radconv</f>
        <v>-100.32486876863611</v>
      </c>
      <c r="Y141" s="702">
        <f t="shared" ref="Y141:Y204" si="83">IF(X141&gt;0,X141,X141+180)</f>
        <v>79.675131231363892</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9.2184246258255165</v>
      </c>
      <c r="AH141" s="702">
        <f t="shared" ref="AH141:AH204" si="89">(L141+N141-(J141+V141))*radconv</f>
        <v>-77.143360917157267</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1.000031814044779</v>
      </c>
      <c r="N142" s="694">
        <f t="shared" si="74"/>
        <v>-7.9766159939253563E-3</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11.380872538846392</v>
      </c>
      <c r="X142" s="699">
        <f t="shared" si="82"/>
        <v>-100.39673866913795</v>
      </c>
      <c r="Y142" s="702">
        <f t="shared" si="83"/>
        <v>79.603261330862054</v>
      </c>
      <c r="AA142" s="174">
        <f t="shared" si="84"/>
        <v>1000000000</v>
      </c>
      <c r="AB142" s="174">
        <f t="shared" si="85"/>
        <v>64574081.640000001</v>
      </c>
      <c r="AD142" s="701">
        <f t="shared" si="86"/>
        <v>27.713867413960568</v>
      </c>
      <c r="AE142" s="702">
        <f t="shared" si="87"/>
        <v>-11.681164586867085</v>
      </c>
      <c r="AG142" s="701">
        <f t="shared" si="88"/>
        <v>9.1201629191924525</v>
      </c>
      <c r="AH142" s="702">
        <f t="shared" si="89"/>
        <v>-77.163209417827844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1.0000325506704382</v>
      </c>
      <c r="N143" s="694">
        <f t="shared" si="74"/>
        <v>-8.0684307653393888E-3</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11.27959909186214</v>
      </c>
      <c r="X143" s="699">
        <f t="shared" si="82"/>
        <v>-100.46909873062498</v>
      </c>
      <c r="Y143" s="702">
        <f t="shared" si="83"/>
        <v>79.530901269375022</v>
      </c>
      <c r="AA143" s="174">
        <f t="shared" si="84"/>
        <v>1000000000</v>
      </c>
      <c r="AB143" s="174">
        <f t="shared" si="85"/>
        <v>66069260.890000001</v>
      </c>
      <c r="AD143" s="701">
        <f t="shared" si="86"/>
        <v>27.711096530871401</v>
      </c>
      <c r="AE143" s="702">
        <f t="shared" si="87"/>
        <v>-11.603012416854828</v>
      </c>
      <c r="AG143" s="701">
        <f t="shared" si="88"/>
        <v>9.0230051955502351</v>
      </c>
      <c r="AH143" s="702">
        <f t="shared" si="89"/>
        <v>-77.181190054801135</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1.0000333131440764</v>
      </c>
      <c r="N144" s="694">
        <f t="shared" si="74"/>
        <v>-8.1623794689909719E-3</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11.177161188955926</v>
      </c>
      <c r="X144" s="699">
        <f t="shared" si="82"/>
        <v>-100.5436319058628</v>
      </c>
      <c r="Y144" s="702">
        <f t="shared" si="83"/>
        <v>79.456368094137204</v>
      </c>
      <c r="AA144" s="174">
        <f t="shared" si="84"/>
        <v>1000000000</v>
      </c>
      <c r="AB144" s="174">
        <f t="shared" si="85"/>
        <v>67616906.702500015</v>
      </c>
      <c r="AD144" s="701">
        <f t="shared" si="86"/>
        <v>27.708348321867511</v>
      </c>
      <c r="AE144" s="702">
        <f t="shared" si="87"/>
        <v>-11.525419539483751</v>
      </c>
      <c r="AG144" s="701">
        <f t="shared" si="88"/>
        <v>8.9247073313415086</v>
      </c>
      <c r="AH144" s="702">
        <f t="shared" si="89"/>
        <v>-77.197719867925528</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1.0000336976908863</v>
      </c>
      <c r="N145" s="694">
        <f t="shared" si="74"/>
        <v>-8.2093537668862099E-3</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11.126384548735137</v>
      </c>
      <c r="X145" s="699">
        <f t="shared" si="82"/>
        <v>-100.58107986410421</v>
      </c>
      <c r="Y145" s="702">
        <f t="shared" si="83"/>
        <v>79.418920135895789</v>
      </c>
      <c r="AA145" s="174">
        <f t="shared" si="84"/>
        <v>1000000000</v>
      </c>
      <c r="AB145" s="174">
        <f t="shared" si="85"/>
        <v>68397448.575625017</v>
      </c>
      <c r="AD145" s="701">
        <f t="shared" si="86"/>
        <v>27.707006002818098</v>
      </c>
      <c r="AE145" s="702">
        <f t="shared" si="87"/>
        <v>-11.487499563390196</v>
      </c>
      <c r="AG145" s="701">
        <f t="shared" si="88"/>
        <v>8.8759748897252688</v>
      </c>
      <c r="AH145" s="702">
        <f t="shared" si="89"/>
        <v>-77.205295738934083</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1.0000340844443538</v>
      </c>
      <c r="N146" s="694">
        <f t="shared" si="74"/>
        <v>-8.2563280285513924E-3</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11.075898137785668</v>
      </c>
      <c r="X146" s="699">
        <f t="shared" si="82"/>
        <v>-100.61864614794364</v>
      </c>
      <c r="Y146" s="702">
        <f t="shared" si="83"/>
        <v>79.381353852056364</v>
      </c>
      <c r="AA146" s="174">
        <f t="shared" si="84"/>
        <v>1000000000</v>
      </c>
      <c r="AB146" s="174">
        <f t="shared" si="85"/>
        <v>69182469.760000005</v>
      </c>
      <c r="AD146" s="701">
        <f t="shared" si="86"/>
        <v>27.70568423202554</v>
      </c>
      <c r="AE146" s="702">
        <f t="shared" si="87"/>
        <v>-11.450151033761774</v>
      </c>
      <c r="AG146" s="701">
        <f t="shared" si="88"/>
        <v>8.8275161044113002</v>
      </c>
      <c r="AH146" s="702">
        <f t="shared" si="89"/>
        <v>-77.212422556852985</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1.0000344826776062</v>
      </c>
      <c r="N147" s="694">
        <f t="shared" si="74"/>
        <v>-8.3044189147896668E-3</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11.024508677398067</v>
      </c>
      <c r="X147" s="699">
        <f t="shared" si="82"/>
        <v>-100.65722605212304</v>
      </c>
      <c r="Y147" s="702">
        <f t="shared" si="83"/>
        <v>79.342773947876964</v>
      </c>
      <c r="AA147" s="174">
        <f t="shared" si="84"/>
        <v>1000000000</v>
      </c>
      <c r="AB147" s="174">
        <f t="shared" si="85"/>
        <v>69990792.602499992</v>
      </c>
      <c r="AD147" s="701">
        <f t="shared" si="86"/>
        <v>27.704351841715148</v>
      </c>
      <c r="AE147" s="702">
        <f t="shared" si="87"/>
        <v>-11.412496849063368</v>
      </c>
      <c r="AG147" s="701">
        <f t="shared" si="88"/>
        <v>8.7781857858367225</v>
      </c>
      <c r="AH147" s="702">
        <f t="shared" si="89"/>
        <v>-77.219261445718132</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1.0000348832236698</v>
      </c>
      <c r="N148" s="694">
        <f t="shared" si="74"/>
        <v>-8.3525097626152775E-3</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10.973416246593359</v>
      </c>
      <c r="X148" s="699">
        <f t="shared" si="82"/>
        <v>-100.69592600148121</v>
      </c>
      <c r="Y148" s="702">
        <f t="shared" si="83"/>
        <v>79.304073998518788</v>
      </c>
      <c r="AA148" s="174">
        <f t="shared" si="84"/>
        <v>1000000000</v>
      </c>
      <c r="AB148" s="174">
        <f t="shared" si="85"/>
        <v>70803810.25</v>
      </c>
      <c r="AD148" s="701">
        <f t="shared" si="86"/>
        <v>27.70304001580039</v>
      </c>
      <c r="AE148" s="702">
        <f t="shared" si="87"/>
        <v>-11.375421916279153</v>
      </c>
      <c r="AG148" s="701">
        <f t="shared" si="88"/>
        <v>8.729136097079996</v>
      </c>
      <c r="AH148" s="702">
        <f t="shared" si="89"/>
        <v>-77.22564543927227</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1.0000352860825419</v>
      </c>
      <c r="N149" s="694">
        <f t="shared" si="74"/>
        <v>-8.4006005718058295E-3</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10.922617317757394</v>
      </c>
      <c r="X149" s="699">
        <f t="shared" si="82"/>
        <v>-100.73474404693457</v>
      </c>
      <c r="Y149" s="702">
        <f t="shared" si="83"/>
        <v>79.265255953065434</v>
      </c>
      <c r="AA149" s="174">
        <f t="shared" si="84"/>
        <v>1000000000</v>
      </c>
      <c r="AB149" s="174">
        <f t="shared" si="85"/>
        <v>71621522.702500015</v>
      </c>
      <c r="AD149" s="701">
        <f t="shared" si="86"/>
        <v>27.701748282677595</v>
      </c>
      <c r="AE149" s="702">
        <f t="shared" si="87"/>
        <v>-11.338916601306835</v>
      </c>
      <c r="AG149" s="701">
        <f t="shared" si="88"/>
        <v>8.6803639811599478</v>
      </c>
      <c r="AH149" s="702">
        <f t="shared" si="89"/>
        <v>-77.231582246773456</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1.0000356912542196</v>
      </c>
      <c r="N150" s="694">
        <f t="shared" si="74"/>
        <v>-8.4486913421389209E-3</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10.872108425560306</v>
      </c>
      <c r="X150" s="699">
        <f t="shared" si="82"/>
        <v>-100.77367827890687</v>
      </c>
      <c r="Y150" s="702">
        <f t="shared" si="83"/>
        <v>79.226321721093129</v>
      </c>
      <c r="AA150" s="174">
        <f t="shared" si="84"/>
        <v>1000000000</v>
      </c>
      <c r="AB150" s="174">
        <f t="shared" si="85"/>
        <v>72443929.959999993</v>
      </c>
      <c r="AD150" s="701">
        <f t="shared" si="86"/>
        <v>27.700476183810419</v>
      </c>
      <c r="AE150" s="702">
        <f t="shared" si="87"/>
        <v>-11.302971480571923</v>
      </c>
      <c r="AG150" s="701">
        <f t="shared" si="88"/>
        <v>8.6318664303072765</v>
      </c>
      <c r="AH150" s="702">
        <f t="shared" si="89"/>
        <v>-77.237079406444153</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1.0000361080170048</v>
      </c>
      <c r="N151" s="694">
        <f t="shared" si="74"/>
        <v>-8.4978739161643488E-3</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10.82074922982374</v>
      </c>
      <c r="X151" s="699">
        <f t="shared" si="82"/>
        <v>-100.81361469022276</v>
      </c>
      <c r="Y151" s="702">
        <f t="shared" si="83"/>
        <v>79.186385309777236</v>
      </c>
      <c r="AA151" s="174">
        <f t="shared" si="84"/>
        <v>1000000000</v>
      </c>
      <c r="AB151" s="174">
        <f t="shared" si="85"/>
        <v>73289864.902500018</v>
      </c>
      <c r="AD151" s="701">
        <f t="shared" si="86"/>
        <v>27.699195046799154</v>
      </c>
      <c r="AE151" s="702">
        <f t="shared" si="87"/>
        <v>-11.266780078764606</v>
      </c>
      <c r="AG151" s="701">
        <f t="shared" si="88"/>
        <v>8.5825487021835727</v>
      </c>
      <c r="AH151" s="702">
        <f t="shared" si="89"/>
        <v>-77.242254320549549</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1.0000365271988008</v>
      </c>
      <c r="N152" s="694">
        <f t="shared" si="74"/>
        <v>-8.5470564490773716E-3</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10.769686252039584</v>
      </c>
      <c r="X152" s="699">
        <f t="shared" si="82"/>
        <v>-100.85366870614565</v>
      </c>
      <c r="Y152" s="702">
        <f t="shared" si="83"/>
        <v>79.146331293854345</v>
      </c>
      <c r="AA152" s="174">
        <f t="shared" si="84"/>
        <v>1000000000</v>
      </c>
      <c r="AB152" s="174">
        <f t="shared" si="85"/>
        <v>74140710.25</v>
      </c>
      <c r="AD152" s="701">
        <f t="shared" si="86"/>
        <v>27.69793351563489</v>
      </c>
      <c r="AE152" s="702">
        <f t="shared" si="87"/>
        <v>-11.231155310406276</v>
      </c>
      <c r="AG152" s="701">
        <f t="shared" si="88"/>
        <v>8.5335119379310012</v>
      </c>
      <c r="AH152" s="702">
        <f t="shared" si="89"/>
        <v>-77.246984817132969</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1.0000369487996046</v>
      </c>
      <c r="N153" s="694">
        <f t="shared" si="74"/>
        <v>-8.5962389406401031E-3</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10.718915978197899</v>
      </c>
      <c r="X153" s="699">
        <f t="shared" si="82"/>
        <v>-100.89383840603088</v>
      </c>
      <c r="Y153" s="702">
        <f t="shared" si="83"/>
        <v>79.106161593969119</v>
      </c>
      <c r="AA153" s="174">
        <f t="shared" si="84"/>
        <v>1000000000</v>
      </c>
      <c r="AB153" s="174">
        <f t="shared" si="85"/>
        <v>74996466.002499983</v>
      </c>
      <c r="AD153" s="701">
        <f t="shared" si="86"/>
        <v>27.69669113949675</v>
      </c>
      <c r="AE153" s="702">
        <f t="shared" si="87"/>
        <v>-11.196087742276855</v>
      </c>
      <c r="AG153" s="701">
        <f t="shared" si="88"/>
        <v>8.4847530732993359</v>
      </c>
      <c r="AH153" s="702">
        <f t="shared" si="89"/>
        <v>-77.251278434644746</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1.0000373728194132</v>
      </c>
      <c r="N154" s="694">
        <f t="shared" si="74"/>
        <v>-8.6454213906146608E-3</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10.668434956235505</v>
      </c>
      <c r="X154" s="699">
        <f t="shared" si="82"/>
        <v>-100.93412190833591</v>
      </c>
      <c r="Y154" s="702">
        <f t="shared" si="83"/>
        <v>79.065878091664089</v>
      </c>
      <c r="AA154" s="174">
        <f t="shared" si="84"/>
        <v>1000000000</v>
      </c>
      <c r="AB154" s="174">
        <f t="shared" si="85"/>
        <v>75857132.160000011</v>
      </c>
      <c r="AD154" s="701">
        <f t="shared" si="86"/>
        <v>27.69546748006168</v>
      </c>
      <c r="AE154" s="702">
        <f t="shared" si="87"/>
        <v>-11.161568147553679</v>
      </c>
      <c r="AG154" s="701">
        <f t="shared" si="88"/>
        <v>8.4362690934814939</v>
      </c>
      <c r="AH154" s="702">
        <f t="shared" si="89"/>
        <v>-77.255142544223958</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1.0000378093999081</v>
      </c>
      <c r="N155" s="694">
        <f t="shared" si="74"/>
        <v>-8.695770081393283E-3</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10.617052937928328</v>
      </c>
      <c r="X155" s="699">
        <f t="shared" si="82"/>
        <v>-100.97547662830561</v>
      </c>
      <c r="Y155" s="702">
        <f t="shared" si="83"/>
        <v>79.024523371694386</v>
      </c>
      <c r="AA155" s="174">
        <f t="shared" si="84"/>
        <v>1000000000</v>
      </c>
      <c r="AB155" s="174">
        <f t="shared" si="85"/>
        <v>76743294.105625018</v>
      </c>
      <c r="AD155" s="701">
        <f t="shared" si="86"/>
        <v>27.694233746261183</v>
      </c>
      <c r="AE155" s="702">
        <f t="shared" si="87"/>
        <v>-11.126788171841484</v>
      </c>
      <c r="AG155" s="701">
        <f t="shared" si="88"/>
        <v>8.3869170356913418</v>
      </c>
      <c r="AH155" s="702">
        <f t="shared" si="89"/>
        <v>-77.25866090361059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1.0000382485154871</v>
      </c>
      <c r="N156" s="694">
        <f t="shared" si="74"/>
        <v>-8.7461187280834379E-3</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10.565966923888563</v>
      </c>
      <c r="X156" s="699">
        <f t="shared" si="82"/>
        <v>-101.01694674294021</v>
      </c>
      <c r="Y156" s="702">
        <f t="shared" si="83"/>
        <v>78.983053257059794</v>
      </c>
      <c r="AA156" s="174">
        <f t="shared" si="84"/>
        <v>1000000000</v>
      </c>
      <c r="AB156" s="174">
        <f t="shared" si="85"/>
        <v>77634602.102499992</v>
      </c>
      <c r="AD156" s="701">
        <f t="shared" si="86"/>
        <v>27.693018736120329</v>
      </c>
      <c r="AE156" s="702">
        <f t="shared" si="87"/>
        <v>-11.092563536633934</v>
      </c>
      <c r="AG156" s="701">
        <f t="shared" si="88"/>
        <v>8.337846814600276</v>
      </c>
      <c r="AH156" s="702">
        <f t="shared" si="89"/>
        <v>-77.261744258785043</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1.0000386901661473</v>
      </c>
      <c r="N157" s="694">
        <f t="shared" si="74"/>
        <v>-8.7964673304299235E-3</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10.515173402980437</v>
      </c>
      <c r="X157" s="699">
        <f t="shared" si="82"/>
        <v>-101.05853035474009</v>
      </c>
      <c r="Y157" s="702">
        <f t="shared" si="83"/>
        <v>78.941469645259915</v>
      </c>
      <c r="AA157" s="174">
        <f t="shared" si="84"/>
        <v>1000000000</v>
      </c>
      <c r="AB157" s="174">
        <f t="shared" si="85"/>
        <v>78531056.15062499</v>
      </c>
      <c r="AD157" s="701">
        <f t="shared" si="86"/>
        <v>27.691822017449997</v>
      </c>
      <c r="AE157" s="702">
        <f t="shared" si="87"/>
        <v>-11.058884979345324</v>
      </c>
      <c r="AG157" s="701">
        <f t="shared" si="88"/>
        <v>8.289055350098149</v>
      </c>
      <c r="AH157" s="702">
        <f t="shared" si="89"/>
        <v>-77.26440000252974</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1.0000391343518849</v>
      </c>
      <c r="N158" s="694">
        <f t="shared" si="74"/>
        <v>-8.8468158881775272E-3</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10.464668925929104</v>
      </c>
      <c r="X158" s="699">
        <f t="shared" si="82"/>
        <v>-101.10022560502924</v>
      </c>
      <c r="Y158" s="702">
        <f t="shared" si="83"/>
        <v>78.899774394970763</v>
      </c>
      <c r="AA158" s="174">
        <f t="shared" si="84"/>
        <v>1000000000</v>
      </c>
      <c r="AB158" s="174">
        <f t="shared" si="85"/>
        <v>79432656.25</v>
      </c>
      <c r="AD158" s="701">
        <f t="shared" si="86"/>
        <v>27.690643170059587</v>
      </c>
      <c r="AE158" s="702">
        <f t="shared" si="87"/>
        <v>-11.025743440490219</v>
      </c>
      <c r="AG158" s="701">
        <f t="shared" si="88"/>
        <v>8.2405396119306715</v>
      </c>
      <c r="AH158" s="702">
        <f t="shared" si="89"/>
        <v>-77.26663536333578</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1.000039591450633</v>
      </c>
      <c r="N159" s="694">
        <f t="shared" si="74"/>
        <v>-8.8983306795448625E-3</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10.413290187424348</v>
      </c>
      <c r="X159" s="699">
        <f t="shared" si="82"/>
        <v>-101.14300033765898</v>
      </c>
      <c r="Y159" s="702">
        <f t="shared" si="83"/>
        <v>78.856999662341025</v>
      </c>
      <c r="AA159" s="174">
        <f t="shared" si="84"/>
        <v>1000000000</v>
      </c>
      <c r="AB159" s="174">
        <f t="shared" si="85"/>
        <v>80360467.359999999</v>
      </c>
      <c r="AD159" s="701">
        <f t="shared" si="86"/>
        <v>27.689455086648017</v>
      </c>
      <c r="AE159" s="702">
        <f t="shared" si="87"/>
        <v>-10.992380787064137</v>
      </c>
      <c r="AG159" s="701">
        <f t="shared" si="88"/>
        <v>8.1911823207330059</v>
      </c>
      <c r="AH159" s="702">
        <f t="shared" si="89"/>
        <v>-77.268494773665552</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1.0000400512032572</v>
      </c>
      <c r="N160" s="694">
        <f t="shared" si="74"/>
        <v>-8.9498454236826789E-3</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10.362206925378164</v>
      </c>
      <c r="X160" s="699">
        <f t="shared" si="82"/>
        <v>-101.18588812437361</v>
      </c>
      <c r="Y160" s="702">
        <f t="shared" si="83"/>
        <v>78.814111875626395</v>
      </c>
      <c r="AA160" s="174">
        <f t="shared" si="84"/>
        <v>1000000000</v>
      </c>
      <c r="AB160" s="174">
        <f t="shared" si="85"/>
        <v>81293665.689999983</v>
      </c>
      <c r="AD160" s="701">
        <f t="shared" si="86"/>
        <v>27.688284858869451</v>
      </c>
      <c r="AE160" s="702">
        <f t="shared" si="87"/>
        <v>-10.959561759131644</v>
      </c>
      <c r="AG160" s="701">
        <f t="shared" si="88"/>
        <v>8.1421074150312087</v>
      </c>
      <c r="AH160" s="702">
        <f t="shared" si="89"/>
        <v>-77.26992890235374</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1.0000405136097543</v>
      </c>
      <c r="N161" s="694">
        <f t="shared" si="74"/>
        <v>-9.0013601203176325E-3</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10.311415636979044</v>
      </c>
      <c r="X161" s="699">
        <f t="shared" si="82"/>
        <v>-101.22888709428518</v>
      </c>
      <c r="Y161" s="702">
        <f t="shared" si="83"/>
        <v>78.771112905714816</v>
      </c>
      <c r="AA161" s="174">
        <f t="shared" si="84"/>
        <v>1000000000</v>
      </c>
      <c r="AB161" s="174">
        <f t="shared" si="85"/>
        <v>82232251.24000001</v>
      </c>
      <c r="AD161" s="701">
        <f t="shared" si="86"/>
        <v>27.687132073120708</v>
      </c>
      <c r="AE161" s="702">
        <f t="shared" si="87"/>
        <v>-10.927277277848349</v>
      </c>
      <c r="AG161" s="701">
        <f t="shared" si="88"/>
        <v>8.0933118043430365</v>
      </c>
      <c r="AH161" s="702">
        <f t="shared" si="89"/>
        <v>-77.270944986955527</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1.0000409786701203</v>
      </c>
      <c r="N162" s="694">
        <f t="shared" si="74"/>
        <v>-9.0528747691763691E-3</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10.260912881062836</v>
      </c>
      <c r="X162" s="699">
        <f t="shared" si="82"/>
        <v>-101.2719954149442</v>
      </c>
      <c r="Y162" s="702">
        <f t="shared" si="83"/>
        <v>78.7280045850558</v>
      </c>
      <c r="AA162" s="174">
        <f t="shared" si="84"/>
        <v>1000000000</v>
      </c>
      <c r="AB162" s="174">
        <f t="shared" si="85"/>
        <v>83176224.010000005</v>
      </c>
      <c r="AD162" s="701">
        <f t="shared" si="86"/>
        <v>27.685996327291058</v>
      </c>
      <c r="AE162" s="702">
        <f t="shared" si="87"/>
        <v>-10.895518463747203</v>
      </c>
      <c r="AG162" s="701">
        <f t="shared" si="88"/>
        <v>8.0447924483343112</v>
      </c>
      <c r="AH162" s="702">
        <f t="shared" si="89"/>
        <v>-77.27155010406895</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1.0000414572299436</v>
      </c>
      <c r="N163" s="694">
        <f t="shared" si="74"/>
        <v>-9.1055804584510812E-3</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10.209537522148677</v>
      </c>
      <c r="X163" s="699">
        <f t="shared" si="82"/>
        <v>-101.31621176046168</v>
      </c>
      <c r="Y163" s="702">
        <f t="shared" si="83"/>
        <v>78.683788239538316</v>
      </c>
      <c r="AA163" s="174">
        <f t="shared" si="84"/>
        <v>1000000000</v>
      </c>
      <c r="AB163" s="174">
        <f t="shared" si="85"/>
        <v>84147598.24000001</v>
      </c>
      <c r="AD163" s="701">
        <f t="shared" si="86"/>
        <v>27.684851549179221</v>
      </c>
      <c r="AE163" s="702">
        <f t="shared" si="87"/>
        <v>-10.863560323547439</v>
      </c>
      <c r="AG163" s="701">
        <f t="shared" si="88"/>
        <v>7.9954340477535348</v>
      </c>
      <c r="AH163" s="702">
        <f t="shared" si="89"/>
        <v>-77.271751097991142</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1.000041938567769</v>
      </c>
      <c r="N164" s="694">
        <f t="shared" si="74"/>
        <v>-9.1582860971358444E-3</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10.158457096385192</v>
      </c>
      <c r="X164" s="699">
        <f t="shared" si="82"/>
        <v>-101.36053881026093</v>
      </c>
      <c r="Y164" s="702">
        <f t="shared" si="83"/>
        <v>78.639461189739066</v>
      </c>
      <c r="AA164" s="174">
        <f t="shared" si="84"/>
        <v>1000000000</v>
      </c>
      <c r="AB164" s="174">
        <f t="shared" si="85"/>
        <v>85124611.689999983</v>
      </c>
      <c r="AD164" s="701">
        <f t="shared" si="86"/>
        <v>27.683723791713003</v>
      </c>
      <c r="AE164" s="702">
        <f t="shared" si="87"/>
        <v>-10.83213425127056</v>
      </c>
      <c r="AG164" s="701">
        <f t="shared" si="88"/>
        <v>7.9463585418179461</v>
      </c>
      <c r="AH164" s="702">
        <f t="shared" si="89"/>
        <v>-77.271536390016479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1.0000424226835924</v>
      </c>
      <c r="N165" s="694">
        <f t="shared" si="74"/>
        <v>-9.2109916849379189E-3</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10.107668109430673</v>
      </c>
      <c r="X165" s="699">
        <f t="shared" si="82"/>
        <v>-101.40497472054088</v>
      </c>
      <c r="Y165" s="702">
        <f t="shared" si="83"/>
        <v>78.595025279459122</v>
      </c>
      <c r="AA165" s="174">
        <f t="shared" si="84"/>
        <v>1000000000</v>
      </c>
      <c r="AB165" s="174">
        <f t="shared" si="85"/>
        <v>86107264.359999999</v>
      </c>
      <c r="AD165" s="701">
        <f t="shared" si="86"/>
        <v>27.682612659163194</v>
      </c>
      <c r="AE165" s="702">
        <f t="shared" si="87"/>
        <v>-10.801231350475557</v>
      </c>
      <c r="AG165" s="701">
        <f t="shared" si="88"/>
        <v>7.8975628305207213</v>
      </c>
      <c r="AH165" s="702">
        <f t="shared" si="89"/>
        <v>-77.27091306440937</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1.0000429095774102</v>
      </c>
      <c r="N166" s="694">
        <f t="shared" si="74"/>
        <v>-9.2636972215645545E-3</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10.05716712837433</v>
      </c>
      <c r="X166" s="699">
        <f t="shared" si="82"/>
        <v>-101.44951768552535</v>
      </c>
      <c r="Y166" s="702">
        <f t="shared" si="83"/>
        <v>78.55048231447465</v>
      </c>
      <c r="AA166" s="174">
        <f t="shared" si="84"/>
        <v>1000000000</v>
      </c>
      <c r="AB166" s="174">
        <f t="shared" si="85"/>
        <v>87095556.25</v>
      </c>
      <c r="AD166" s="701">
        <f t="shared" si="86"/>
        <v>27.681517766805015</v>
      </c>
      <c r="AE166" s="702">
        <f t="shared" si="87"/>
        <v>-10.770842920370754</v>
      </c>
      <c r="AG166" s="701">
        <f t="shared" si="88"/>
        <v>7.8490438642739599</v>
      </c>
      <c r="AH166" s="702">
        <f t="shared" si="89"/>
        <v>-77.269888047789181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1.0000434108097993</v>
      </c>
      <c r="N167" s="694">
        <f t="shared" si="74"/>
        <v>-9.3176434190280349E-3</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10.005772064896764</v>
      </c>
      <c r="X167" s="699">
        <f t="shared" si="82"/>
        <v>-101.49521823245736</v>
      </c>
      <c r="Y167" s="702">
        <f t="shared" si="83"/>
        <v>78.504781767542639</v>
      </c>
      <c r="AA167" s="174">
        <f t="shared" si="84"/>
        <v>1000000000</v>
      </c>
      <c r="AB167" s="174">
        <f t="shared" si="85"/>
        <v>88112952.922499999</v>
      </c>
      <c r="AD167" s="701">
        <f t="shared" si="86"/>
        <v>27.680413527915817</v>
      </c>
      <c r="AE167" s="702">
        <f t="shared" si="87"/>
        <v>-10.740263029981616</v>
      </c>
      <c r="AG167" s="701">
        <f t="shared" si="88"/>
        <v>7.7996662005107424</v>
      </c>
      <c r="AH167" s="702">
        <f t="shared" si="89"/>
        <v>-77.268429983952331</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1.000043914952504</v>
      </c>
      <c r="N168" s="694">
        <f t="shared" si="74"/>
        <v>-9.371589562257733E-3</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9.9546716399674864</v>
      </c>
      <c r="X168" s="699">
        <f t="shared" si="82"/>
        <v>-101.54102722344754</v>
      </c>
      <c r="Y168" s="702">
        <f t="shared" si="83"/>
        <v>78.458972776552457</v>
      </c>
      <c r="AA168" s="174">
        <f t="shared" si="84"/>
        <v>1000000000</v>
      </c>
      <c r="AB168" s="174">
        <f t="shared" si="85"/>
        <v>89136257.440000013</v>
      </c>
      <c r="AD168" s="701">
        <f t="shared" si="86"/>
        <v>27.679325520991537</v>
      </c>
      <c r="AE168" s="702">
        <f t="shared" si="87"/>
        <v>-10.710204277203562</v>
      </c>
      <c r="AG168" s="701">
        <f t="shared" si="88"/>
        <v>7.7505721568704109</v>
      </c>
      <c r="AH168" s="702">
        <f t="shared" si="89"/>
        <v>-77.266565291179205</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1.00004442200552</v>
      </c>
      <c r="N169" s="694">
        <f t="shared" si="74"/>
        <v>-9.4255356509397436E-3</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9.903862363175179</v>
      </c>
      <c r="X169" s="699">
        <f t="shared" si="82"/>
        <v>-101.58694283973912</v>
      </c>
      <c r="Y169" s="702">
        <f t="shared" si="83"/>
        <v>78.413057160260877</v>
      </c>
      <c r="AA169" s="174">
        <f t="shared" si="84"/>
        <v>1000000000</v>
      </c>
      <c r="AB169" s="174">
        <f t="shared" si="85"/>
        <v>90165469.80249998</v>
      </c>
      <c r="AD169" s="701">
        <f t="shared" si="86"/>
        <v>27.678253366979035</v>
      </c>
      <c r="AE169" s="702">
        <f t="shared" si="87"/>
        <v>-10.680657934829782</v>
      </c>
      <c r="AG169" s="701">
        <f t="shared" si="88"/>
        <v>7.7017586204668254</v>
      </c>
      <c r="AH169" s="702">
        <f t="shared" si="89"/>
        <v>-77.264300911742055</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1.0000449319688429</v>
      </c>
      <c r="N170" s="694">
        <f t="shared" si="74"/>
        <v>-9.4794816847601666E-3</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9.8533408054293954</v>
      </c>
      <c r="X170" s="699">
        <f t="shared" si="82"/>
        <v>-101.63296330022597</v>
      </c>
      <c r="Y170" s="702">
        <f t="shared" si="83"/>
        <v>78.367036699774033</v>
      </c>
      <c r="AA170" s="174">
        <f t="shared" si="84"/>
        <v>1000000000</v>
      </c>
      <c r="AB170" s="174">
        <f t="shared" si="85"/>
        <v>91200590.00999999</v>
      </c>
      <c r="AD170" s="701">
        <f t="shared" si="86"/>
        <v>27.677196697378026</v>
      </c>
      <c r="AE170" s="702">
        <f t="shared" si="87"/>
        <v>-10.651615467917171</v>
      </c>
      <c r="AG170" s="701">
        <f t="shared" si="88"/>
        <v>7.6532225291736422</v>
      </c>
      <c r="AH170" s="702">
        <f t="shared" si="89"/>
        <v>-77.261643633282205</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1.0000454569089392</v>
      </c>
      <c r="N171" s="694">
        <f t="shared" si="74"/>
        <v>-9.5346931847783232E-3</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9.8019284663836643</v>
      </c>
      <c r="X171" s="699">
        <f t="shared" si="82"/>
        <v>-101.68017009972023</v>
      </c>
      <c r="Y171" s="702">
        <f t="shared" si="83"/>
        <v>78.319829900279771</v>
      </c>
      <c r="AA171" s="174">
        <f t="shared" si="84"/>
        <v>1000000000</v>
      </c>
      <c r="AB171" s="174">
        <f t="shared" si="85"/>
        <v>92266110.52562499</v>
      </c>
      <c r="AD171" s="701">
        <f t="shared" si="86"/>
        <v>27.676130899002796</v>
      </c>
      <c r="AE171" s="702">
        <f t="shared" si="87"/>
        <v>-10.622404726328242</v>
      </c>
      <c r="AG171" s="701">
        <f t="shared" si="88"/>
        <v>7.6038319677040969</v>
      </c>
      <c r="AH171" s="702">
        <f t="shared" si="89"/>
        <v>-77.258524110370928</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1.0000459848974808</v>
      </c>
      <c r="N172" s="694">
        <f t="shared" si="74"/>
        <v>-9.5899046266653843E-3</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9.750810426578699</v>
      </c>
      <c r="X172" s="699">
        <f t="shared" si="82"/>
        <v>-101.72748306183929</v>
      </c>
      <c r="Y172" s="702">
        <f t="shared" si="83"/>
        <v>78.272516938160706</v>
      </c>
      <c r="AA172" s="174">
        <f t="shared" si="84"/>
        <v>1000000000</v>
      </c>
      <c r="AB172" s="174">
        <f t="shared" si="85"/>
        <v>93337819.32249999</v>
      </c>
      <c r="AD172" s="701">
        <f t="shared" si="86"/>
        <v>27.675080571385415</v>
      </c>
      <c r="AE172" s="702">
        <f t="shared" si="87"/>
        <v>-10.593704282969103</v>
      </c>
      <c r="AG172" s="701">
        <f t="shared" si="88"/>
        <v>7.5547256892436483</v>
      </c>
      <c r="AH172" s="702">
        <f t="shared" si="89"/>
        <v>-77.255006946758144</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1.0000465159344625</v>
      </c>
      <c r="N173" s="694">
        <f t="shared" si="74"/>
        <v>-9.6451160100848362E-3</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9.6999832001891892</v>
      </c>
      <c r="X173" s="699">
        <f t="shared" si="82"/>
        <v>-101.77490039351805</v>
      </c>
      <c r="Y173" s="702">
        <f t="shared" si="83"/>
        <v>78.225099606481947</v>
      </c>
      <c r="AA173" s="174">
        <f t="shared" si="84"/>
        <v>1000000000</v>
      </c>
      <c r="AB173" s="174">
        <f t="shared" si="85"/>
        <v>94415716.40062499</v>
      </c>
      <c r="AD173" s="701">
        <f t="shared" si="86"/>
        <v>27.67404535157867</v>
      </c>
      <c r="AE173" s="702">
        <f t="shared" si="87"/>
        <v>-10.565505579995357</v>
      </c>
      <c r="AG173" s="701">
        <f t="shared" si="88"/>
        <v>7.5059005692404401</v>
      </c>
      <c r="AH173" s="702">
        <f t="shared" si="89"/>
        <v>-77.251098943386864</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1.0000470500198797</v>
      </c>
      <c r="N174" s="694">
        <f t="shared" si="74"/>
        <v>-9.7003273347001755E-3</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9.6494433625857017</v>
      </c>
      <c r="X174" s="699">
        <f t="shared" si="82"/>
        <v>-101.82242033893988</v>
      </c>
      <c r="Y174" s="702">
        <f t="shared" si="83"/>
        <v>78.177579661060122</v>
      </c>
      <c r="AA174" s="174">
        <f t="shared" si="84"/>
        <v>1000000000</v>
      </c>
      <c r="AB174" s="174">
        <f t="shared" si="85"/>
        <v>95499801.75999999</v>
      </c>
      <c r="AD174" s="701">
        <f t="shared" si="86"/>
        <v>27.673024886750209</v>
      </c>
      <c r="AE174" s="702">
        <f t="shared" si="87"/>
        <v>-10.537800248396527</v>
      </c>
      <c r="AG174" s="701">
        <f t="shared" si="88"/>
        <v>7.4573535342146187</v>
      </c>
      <c r="AH174" s="702">
        <f t="shared" si="89"/>
        <v>-77.24680674959238</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1.0000475995012972</v>
      </c>
      <c r="N175" s="694">
        <f t="shared" si="74"/>
        <v>-9.7568041161257436E-3</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9.5980389213638784</v>
      </c>
      <c r="X175" s="699">
        <f t="shared" si="82"/>
        <v>-101.87113388187819</v>
      </c>
      <c r="Y175" s="702">
        <f t="shared" si="83"/>
        <v>78.128866118121806</v>
      </c>
      <c r="AA175" s="174">
        <f t="shared" si="84"/>
        <v>1000000000</v>
      </c>
      <c r="AB175" s="174">
        <f t="shared" si="85"/>
        <v>96615138.48999998</v>
      </c>
      <c r="AD175" s="701">
        <f t="shared" si="86"/>
        <v>27.671995940059517</v>
      </c>
      <c r="AE175" s="702">
        <f t="shared" si="87"/>
        <v>-10.50996180479231</v>
      </c>
      <c r="AG175" s="701">
        <f t="shared" si="88"/>
        <v>7.4079783029847723</v>
      </c>
      <c r="AH175" s="702">
        <f t="shared" si="89"/>
        <v>-77.24202545005366</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1.00004815217249</v>
      </c>
      <c r="N176" s="694">
        <f t="shared" si="74"/>
        <v>-9.813280835308278E-3</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9.546928135547212</v>
      </c>
      <c r="X176" s="699">
        <f t="shared" si="82"/>
        <v>-101.91995119524951</v>
      </c>
      <c r="Y176" s="702">
        <f t="shared" si="83"/>
        <v>78.08004880475049</v>
      </c>
      <c r="AA176" s="174">
        <f t="shared" si="84"/>
        <v>1000000000</v>
      </c>
      <c r="AB176" s="174">
        <f t="shared" si="85"/>
        <v>97736950.440000013</v>
      </c>
      <c r="AD176" s="701">
        <f t="shared" si="86"/>
        <v>27.670981716633172</v>
      </c>
      <c r="AE176" s="702">
        <f t="shared" si="87"/>
        <v>-10.482622477335614</v>
      </c>
      <c r="AG176" s="701">
        <f t="shared" si="88"/>
        <v>7.358887704234661</v>
      </c>
      <c r="AH176" s="702">
        <f t="shared" si="89"/>
        <v>-77.236855752937657</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1.0000487080334526</v>
      </c>
      <c r="N177" s="694">
        <f t="shared" si="74"/>
        <v>-9.8697574918875982E-3</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9.4961075291479045</v>
      </c>
      <c r="X177" s="699">
        <f t="shared" si="82"/>
        <v>-101.96887051457395</v>
      </c>
      <c r="Y177" s="702">
        <f t="shared" si="83"/>
        <v>78.03112948542605</v>
      </c>
      <c r="AA177" s="174">
        <f t="shared" si="84"/>
        <v>1000000000</v>
      </c>
      <c r="AB177" s="174">
        <f t="shared" si="85"/>
        <v>98865237.610000014</v>
      </c>
      <c r="AD177" s="701">
        <f t="shared" si="86"/>
        <v>27.669981869525728</v>
      </c>
      <c r="AE177" s="702">
        <f t="shared" si="87"/>
        <v>-10.455773888516783</v>
      </c>
      <c r="AG177" s="701">
        <f t="shared" si="88"/>
        <v>7.3100786070912651</v>
      </c>
      <c r="AH177" s="702">
        <f t="shared" si="89"/>
        <v>-77.23130430987608</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1.0000492670841796</v>
      </c>
      <c r="N178" s="694">
        <f t="shared" si="74"/>
        <v>-9.9262340855035373E-3</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9.4455736871269043</v>
      </c>
      <c r="X178" s="699">
        <f t="shared" si="82"/>
        <v>-102.0178901121245</v>
      </c>
      <c r="Y178" s="702">
        <f t="shared" si="83"/>
        <v>77.982109887875495</v>
      </c>
      <c r="AA178" s="174">
        <f t="shared" si="84"/>
        <v>1000000000</v>
      </c>
      <c r="AB178" s="174">
        <f t="shared" si="85"/>
        <v>100000000</v>
      </c>
      <c r="AD178" s="701">
        <f t="shared" si="86"/>
        <v>27.668996061465304</v>
      </c>
      <c r="AE178" s="702">
        <f t="shared" si="87"/>
        <v>-10.429407845867878</v>
      </c>
      <c r="AG178" s="701">
        <f t="shared" si="88"/>
        <v>7.2615479319471561</v>
      </c>
      <c r="AH178" s="702">
        <f t="shared" si="89"/>
        <v>-77.225377624184205</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1.0000498427030284</v>
      </c>
      <c r="N179" s="694">
        <f t="shared" si="74"/>
        <v>-9.9840505678516229E-3</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9.3941344351938518</v>
      </c>
      <c r="X179" s="699">
        <f t="shared" si="82"/>
        <v>-102.06817484952319</v>
      </c>
      <c r="Y179" s="702">
        <f t="shared" si="83"/>
        <v>77.931825150476811</v>
      </c>
      <c r="AA179" s="174">
        <f t="shared" si="84"/>
        <v>1000000000</v>
      </c>
      <c r="AB179" s="174">
        <f t="shared" si="85"/>
        <v>101168393.0625</v>
      </c>
      <c r="AD179" s="701">
        <f t="shared" si="86"/>
        <v>27.668001064604553</v>
      </c>
      <c r="AE179" s="702">
        <f t="shared" si="87"/>
        <v>-10.402907737611438</v>
      </c>
      <c r="AG179" s="701">
        <f t="shared" si="88"/>
        <v>7.2121510724551907</v>
      </c>
      <c r="AH179" s="702">
        <f t="shared" si="89"/>
        <v>-77.218928258696621</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1.0000504216647859</v>
      </c>
      <c r="N180" s="694">
        <f t="shared" si="74"/>
        <v>-1.0041866983449287E-2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9.3429886631810106</v>
      </c>
      <c r="X180" s="699">
        <f t="shared" si="82"/>
        <v>-102.11856112959973</v>
      </c>
      <c r="Y180" s="702">
        <f t="shared" si="83"/>
        <v>77.881438870400274</v>
      </c>
      <c r="AA180" s="174">
        <f t="shared" si="84"/>
        <v>1000000000</v>
      </c>
      <c r="AB180" s="174">
        <f t="shared" si="85"/>
        <v>102343572.25</v>
      </c>
      <c r="AD180" s="701">
        <f t="shared" si="86"/>
        <v>27.667020095240446</v>
      </c>
      <c r="AE180" s="702">
        <f t="shared" si="87"/>
        <v>-10.376896541925834</v>
      </c>
      <c r="AG180" s="701">
        <f t="shared" si="88"/>
        <v>7.1630396316429223</v>
      </c>
      <c r="AH180" s="702">
        <f t="shared" si="89"/>
        <v>-77.212098967671068</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1.0000510039694455</v>
      </c>
      <c r="N181" s="694">
        <f t="shared" si="74"/>
        <v>-1.0099683331910114E-2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9.2921328964991829</v>
      </c>
      <c r="X181" s="699">
        <f t="shared" si="82"/>
        <v>-102.1690472123223</v>
      </c>
      <c r="Y181" s="702">
        <f t="shared" si="83"/>
        <v>77.830952787677703</v>
      </c>
      <c r="AA181" s="174">
        <f t="shared" si="84"/>
        <v>1000000000</v>
      </c>
      <c r="AB181" s="174">
        <f t="shared" si="85"/>
        <v>103525537.5625</v>
      </c>
      <c r="AD181" s="701">
        <f t="shared" si="86"/>
        <v>27.666052820969774</v>
      </c>
      <c r="AE181" s="702">
        <f t="shared" si="87"/>
        <v>-10.351366039422345</v>
      </c>
      <c r="AG181" s="701">
        <f t="shared" si="88"/>
        <v>7.114210465317595</v>
      </c>
      <c r="AH181" s="702">
        <f t="shared" si="89"/>
        <v>-77.204896271761427</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1.0000515896170021</v>
      </c>
      <c r="N182" s="694">
        <f t="shared" si="74"/>
        <v>-1.0157499612847688E-2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9.2415637214582631</v>
      </c>
      <c r="X182" s="699">
        <f t="shared" si="82"/>
        <v>-102.21963139401757</v>
      </c>
      <c r="Y182" s="702">
        <f t="shared" si="83"/>
        <v>77.780368605982432</v>
      </c>
      <c r="AA182" s="174">
        <f t="shared" si="84"/>
        <v>1000000000</v>
      </c>
      <c r="AB182" s="174">
        <f t="shared" si="85"/>
        <v>104714289</v>
      </c>
      <c r="AD182" s="701">
        <f t="shared" si="86"/>
        <v>27.665098918668782</v>
      </c>
      <c r="AE182" s="702">
        <f t="shared" si="87"/>
        <v>-10.326308192574253</v>
      </c>
      <c r="AG182" s="701">
        <f t="shared" si="88"/>
        <v>7.0656604808955557</v>
      </c>
      <c r="AH182" s="702">
        <f t="shared" si="89"/>
        <v>-77.197326546084881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1.0000521912833669</v>
      </c>
      <c r="N183" s="694">
        <f t="shared" si="74"/>
        <v>-1.0216556516395166E-2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9.1902017662730664</v>
      </c>
      <c r="X183" s="699">
        <f t="shared" si="82"/>
        <v>-102.27140061796031</v>
      </c>
      <c r="Y183" s="702">
        <f t="shared" si="83"/>
        <v>77.72859938203969</v>
      </c>
      <c r="AA183" s="174">
        <f t="shared" si="84"/>
        <v>1000000000</v>
      </c>
      <c r="AB183" s="174">
        <f t="shared" si="85"/>
        <v>105935556.25</v>
      </c>
      <c r="AD183" s="701">
        <f t="shared" si="86"/>
        <v>27.664138025229764</v>
      </c>
      <c r="AE183" s="702">
        <f t="shared" si="87"/>
        <v>-10.301192429852707</v>
      </c>
      <c r="AG183" s="701">
        <f t="shared" si="88"/>
        <v>7.0163537211447782</v>
      </c>
      <c r="AH183" s="702">
        <f t="shared" si="89"/>
        <v>-77.189221932374792</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1.0000527964376276</v>
      </c>
      <c r="N184" s="694">
        <f t="shared" si="74"/>
        <v>-1.0275613348675317E-2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9.1391318230409233</v>
      </c>
      <c r="X184" s="699">
        <f t="shared" si="82"/>
        <v>-102.32326871499991</v>
      </c>
      <c r="Y184" s="702">
        <f t="shared" si="83"/>
        <v>77.676731285000088</v>
      </c>
      <c r="AA184" s="174">
        <f t="shared" si="84"/>
        <v>1000000000</v>
      </c>
      <c r="AB184" s="174">
        <f t="shared" si="85"/>
        <v>107163904</v>
      </c>
      <c r="AD184" s="701">
        <f t="shared" si="86"/>
        <v>27.66319043060237</v>
      </c>
      <c r="AE184" s="702">
        <f t="shared" si="87"/>
        <v>-10.276553432795181</v>
      </c>
      <c r="AG184" s="701">
        <f t="shared" si="88"/>
        <v>6.9673318911133553</v>
      </c>
      <c r="AH184" s="702">
        <f t="shared" si="89"/>
        <v>-77.180747366458206</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1.0000534050797776</v>
      </c>
      <c r="N185" s="694">
        <f t="shared" si="74"/>
        <v>-1.0334670109276326E-2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9.0883504412866305</v>
      </c>
      <c r="X185" s="699">
        <f t="shared" si="82"/>
        <v>-102.37523398090781</v>
      </c>
      <c r="Y185" s="702">
        <f t="shared" si="83"/>
        <v>77.624766019092192</v>
      </c>
      <c r="AA185" s="174">
        <f t="shared" si="84"/>
        <v>1000000000</v>
      </c>
      <c r="AB185" s="174">
        <f t="shared" si="85"/>
        <v>108399332.25</v>
      </c>
      <c r="AD185" s="701">
        <f t="shared" si="86"/>
        <v>27.66225581844099</v>
      </c>
      <c r="AE185" s="702">
        <f t="shared" si="87"/>
        <v>-10.252383191228965</v>
      </c>
      <c r="AG185" s="701">
        <f t="shared" si="88"/>
        <v>6.9185918544869907</v>
      </c>
      <c r="AH185" s="702">
        <f t="shared" si="89"/>
        <v>-77.171909198156825</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1.0000540172098105</v>
      </c>
      <c r="N186" s="694">
        <f t="shared" si="74"/>
        <v>-1.0393726797786378E-2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9.0378542308566239</v>
      </c>
      <c r="X186" s="699">
        <f t="shared" si="82"/>
        <v>-102.42729474708796</v>
      </c>
      <c r="Y186" s="702">
        <f t="shared" si="83"/>
        <v>77.572705252912044</v>
      </c>
      <c r="AA186" s="174">
        <f t="shared" si="84"/>
        <v>1000000000</v>
      </c>
      <c r="AB186" s="174">
        <f t="shared" si="85"/>
        <v>109641841</v>
      </c>
      <c r="AD186" s="701">
        <f t="shared" si="86"/>
        <v>27.661333881222575</v>
      </c>
      <c r="AE186" s="702">
        <f t="shared" si="87"/>
        <v>-10.228673872122551</v>
      </c>
      <c r="AG186" s="701">
        <f t="shared" si="88"/>
        <v>6.8701305264384604</v>
      </c>
      <c r="AH186" s="702">
        <f t="shared" si="89"/>
        <v>-77.162713635750251</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1.0000546483925725</v>
      </c>
      <c r="N187" s="694">
        <f t="shared" si="74"/>
        <v>-1.0454272235105417E-2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8.9863775655090752</v>
      </c>
      <c r="X187" s="699">
        <f t="shared" si="82"/>
        <v>-102.48076540131292</v>
      </c>
      <c r="Y187" s="702">
        <f t="shared" si="83"/>
        <v>77.519234598687078</v>
      </c>
      <c r="AA187" s="174">
        <f t="shared" si="84"/>
        <v>1000000000</v>
      </c>
      <c r="AB187" s="174">
        <f t="shared" si="85"/>
        <v>110923024</v>
      </c>
      <c r="AD187" s="701">
        <f t="shared" si="86"/>
        <v>27.660401547216395</v>
      </c>
      <c r="AE187" s="702">
        <f t="shared" si="87"/>
        <v>-10.204837319278994</v>
      </c>
      <c r="AG187" s="701">
        <f t="shared" si="88"/>
        <v>6.8207336444750197</v>
      </c>
      <c r="AH187" s="702">
        <f t="shared" si="89"/>
        <v>-77.15292158408586</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1.0000552832412801</v>
      </c>
      <c r="N188" s="694">
        <f t="shared" si="74"/>
        <v>-1.0514817595776261E-2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8.935193603261709</v>
      </c>
      <c r="X188" s="699">
        <f t="shared" si="82"/>
        <v>-102.53433299077788</v>
      </c>
      <c r="Y188" s="702">
        <f t="shared" si="83"/>
        <v>77.465667009222116</v>
      </c>
      <c r="AA188" s="174">
        <f t="shared" si="84"/>
        <v>1000000000</v>
      </c>
      <c r="AB188" s="174">
        <f t="shared" si="85"/>
        <v>112211649</v>
      </c>
      <c r="AD188" s="701">
        <f t="shared" si="86"/>
        <v>27.659481907874973</v>
      </c>
      <c r="AE188" s="702">
        <f t="shared" si="87"/>
        <v>-10.181469098485682</v>
      </c>
      <c r="AG188" s="701">
        <f t="shared" si="88"/>
        <v>6.7716232955984301</v>
      </c>
      <c r="AH188" s="702">
        <f t="shared" si="89"/>
        <v>-77.142766666788546</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1.0000559217559264</v>
      </c>
      <c r="N189" s="694">
        <f t="shared" si="74"/>
        <v>-1.0575362879355173E-2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8.8842988794086732</v>
      </c>
      <c r="X189" s="699">
        <f t="shared" si="82"/>
        <v>-102.58799582814373</v>
      </c>
      <c r="Y189" s="702">
        <f t="shared" si="83"/>
        <v>77.412004171856267</v>
      </c>
      <c r="AA189" s="174">
        <f t="shared" si="84"/>
        <v>1000000000</v>
      </c>
      <c r="AB189" s="174">
        <f t="shared" si="85"/>
        <v>113507716</v>
      </c>
      <c r="AD189" s="701">
        <f t="shared" si="86"/>
        <v>27.658574658819091</v>
      </c>
      <c r="AE189" s="702">
        <f t="shared" si="87"/>
        <v>-10.158561317743132</v>
      </c>
      <c r="AG189" s="701">
        <f t="shared" si="88"/>
        <v>6.7227963170769254</v>
      </c>
      <c r="AH189" s="702">
        <f t="shared" si="89"/>
        <v>-77.132255135649132</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1.0000565639365042</v>
      </c>
      <c r="N190" s="694">
        <f t="shared" si="74"/>
        <v>-1.0635908085398417E-2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8.8336899898804404</v>
      </c>
      <c r="X190" s="699">
        <f t="shared" si="82"/>
        <v>-102.64175226149297</v>
      </c>
      <c r="Y190" s="702">
        <f t="shared" si="83"/>
        <v>77.358247738507032</v>
      </c>
      <c r="AA190" s="174">
        <f t="shared" si="84"/>
        <v>1000000000</v>
      </c>
      <c r="AB190" s="174">
        <f t="shared" si="85"/>
        <v>114811225</v>
      </c>
      <c r="AD190" s="701">
        <f t="shared" si="86"/>
        <v>27.657679504180528</v>
      </c>
      <c r="AE190" s="702">
        <f t="shared" si="87"/>
        <v>-10.136106260111969</v>
      </c>
      <c r="AG190" s="701">
        <f t="shared" si="88"/>
        <v>6.6742495982913947</v>
      </c>
      <c r="AH190" s="702">
        <f t="shared" si="89"/>
        <v>-77.12139310278188</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1.0000572257106592</v>
      </c>
      <c r="N191" s="694">
        <f t="shared" si="74"/>
        <v>-1.0697942027100664E-2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8.7821295859820516</v>
      </c>
      <c r="X191" s="699">
        <f t="shared" si="82"/>
        <v>-102.6969259598432</v>
      </c>
      <c r="Y191" s="702">
        <f t="shared" si="83"/>
        <v>77.303074040156801</v>
      </c>
      <c r="AA191" s="174">
        <f t="shared" si="84"/>
        <v>1000000000</v>
      </c>
      <c r="AB191" s="174">
        <f t="shared" si="85"/>
        <v>116154506.25</v>
      </c>
      <c r="AD191" s="701">
        <f t="shared" si="86"/>
        <v>27.656774580991183</v>
      </c>
      <c r="AE191" s="702">
        <f t="shared" si="87"/>
        <v>-10.113560697308673</v>
      </c>
      <c r="AG191" s="701">
        <f t="shared" si="88"/>
        <v>6.6247965905468709</v>
      </c>
      <c r="AH191" s="702">
        <f t="shared" si="89"/>
        <v>-77.109906683221951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1.0000578913332394</v>
      </c>
      <c r="N192" s="694">
        <f t="shared" si="74"/>
        <v>-1.0759975886464029E-2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8.7308622008222585</v>
      </c>
      <c r="X192" s="699">
        <f t="shared" si="82"/>
        <v>-102.75219451293997</v>
      </c>
      <c r="Y192" s="702">
        <f t="shared" si="83"/>
        <v>77.247805487060035</v>
      </c>
      <c r="AA192" s="174">
        <f t="shared" si="84"/>
        <v>1000000000</v>
      </c>
      <c r="AB192" s="174">
        <f t="shared" si="85"/>
        <v>117505600</v>
      </c>
      <c r="AD192" s="701">
        <f t="shared" si="86"/>
        <v>27.655881751686668</v>
      </c>
      <c r="AE192" s="702">
        <f t="shared" si="87"/>
        <v>-10.09147453781631</v>
      </c>
      <c r="AG192" s="701">
        <f t="shared" si="88"/>
        <v>6.5756313468940562</v>
      </c>
      <c r="AH192" s="702">
        <f t="shared" si="89"/>
        <v>-77.098064869877774</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1.0000585608042369</v>
      </c>
      <c r="N193" s="694">
        <f t="shared" si="74"/>
        <v>-1.0822009663011235E-2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8.6798843619258665</v>
      </c>
      <c r="X193" s="699">
        <f t="shared" si="82"/>
        <v>-102.80755625372052</v>
      </c>
      <c r="Y193" s="702">
        <f t="shared" si="83"/>
        <v>77.19244374627948</v>
      </c>
      <c r="AA193" s="174">
        <f t="shared" si="84"/>
        <v>1000000000</v>
      </c>
      <c r="AB193" s="174">
        <f t="shared" si="85"/>
        <v>118864506.25</v>
      </c>
      <c r="AD193" s="701">
        <f t="shared" si="86"/>
        <v>27.655000724011774</v>
      </c>
      <c r="AE193" s="702">
        <f t="shared" si="87"/>
        <v>-10.069840022121074</v>
      </c>
      <c r="AG193" s="701">
        <f t="shared" si="88"/>
        <v>6.5267506844701471</v>
      </c>
      <c r="AH193" s="702">
        <f t="shared" si="89"/>
        <v>-77.085873805723907</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1.0000592341236438</v>
      </c>
      <c r="N194" s="694">
        <f t="shared" si="74"/>
        <v>-1.0884043356265012E-2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8.6291926576191553</v>
      </c>
      <c r="X194" s="699">
        <f t="shared" si="82"/>
        <v>-102.86300955022686</v>
      </c>
      <c r="Y194" s="702">
        <f t="shared" si="83"/>
        <v>77.136990449773137</v>
      </c>
      <c r="AA194" s="174">
        <f t="shared" si="84"/>
        <v>1000000000</v>
      </c>
      <c r="AB194" s="174">
        <f t="shared" si="85"/>
        <v>120231225</v>
      </c>
      <c r="AD194" s="701">
        <f t="shared" si="86"/>
        <v>27.654131213899259</v>
      </c>
      <c r="AE194" s="702">
        <f t="shared" si="87"/>
        <v>-10.048649563236371</v>
      </c>
      <c r="AG194" s="701">
        <f t="shared" si="88"/>
        <v>6.4781514730122396</v>
      </c>
      <c r="AH194" s="702">
        <f t="shared" si="89"/>
        <v>-77.073339496270151</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1.0000599248740627</v>
      </c>
      <c r="N195" s="694">
        <f t="shared" si="74"/>
        <v>-1.0947317637080024E-2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8.5777784188334465</v>
      </c>
      <c r="X195" s="699">
        <f t="shared" si="82"/>
        <v>-102.91966457654611</v>
      </c>
      <c r="Y195" s="702">
        <f t="shared" si="83"/>
        <v>77.080335423453889</v>
      </c>
      <c r="AA195" s="174">
        <f t="shared" si="84"/>
        <v>1000000000</v>
      </c>
      <c r="AB195" s="174">
        <f t="shared" si="85"/>
        <v>121633326.5625</v>
      </c>
      <c r="AD195" s="701">
        <f t="shared" si="86"/>
        <v>27.653255892628511</v>
      </c>
      <c r="AE195" s="702">
        <f t="shared" si="87"/>
        <v>-10.027485069129687</v>
      </c>
      <c r="AG195" s="701">
        <f t="shared" si="88"/>
        <v>6.428867035442039</v>
      </c>
      <c r="AH195" s="702">
        <f t="shared" si="89"/>
        <v>-77.060206978171763</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1.0000606196283504</v>
      </c>
      <c r="N196" s="694">
        <f t="shared" si="74"/>
        <v>-1.1010591830233535E-2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8.5266548916501712</v>
      </c>
      <c r="X196" s="699">
        <f t="shared" si="82"/>
        <v>-102.97641153534285</v>
      </c>
      <c r="Y196" s="702">
        <f t="shared" si="83"/>
        <v>77.023588464657152</v>
      </c>
      <c r="AA196" s="174">
        <f t="shared" si="84"/>
        <v>1000000000</v>
      </c>
      <c r="AB196" s="174">
        <f t="shared" si="85"/>
        <v>123043556.25</v>
      </c>
      <c r="AD196" s="701">
        <f t="shared" si="86"/>
        <v>27.65239198209207</v>
      </c>
      <c r="AE196" s="702">
        <f t="shared" si="87"/>
        <v>-10.006767154898537</v>
      </c>
      <c r="AG196" s="701">
        <f t="shared" si="88"/>
        <v>6.3798690031418985</v>
      </c>
      <c r="AH196" s="702">
        <f t="shared" si="89"/>
        <v>-77.046729548347415</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1.0000613183864988</v>
      </c>
      <c r="N197" s="694">
        <f t="shared" si="74"/>
        <v>-1.1073865935219078E-2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8.475818642083242</v>
      </c>
      <c r="X197" s="699">
        <f t="shared" si="82"/>
        <v>-103.03324880180895</v>
      </c>
      <c r="Y197" s="702">
        <f t="shared" si="83"/>
        <v>76.966751198191048</v>
      </c>
      <c r="AA197" s="174">
        <f t="shared" si="84"/>
        <v>1000000000</v>
      </c>
      <c r="AB197" s="174">
        <f t="shared" si="85"/>
        <v>124461914.0625</v>
      </c>
      <c r="AD197" s="701">
        <f t="shared" si="86"/>
        <v>27.651539205439256</v>
      </c>
      <c r="AE197" s="702">
        <f t="shared" si="87"/>
        <v>-9.986488293821921</v>
      </c>
      <c r="AG197" s="701">
        <f t="shared" si="88"/>
        <v>6.3311542161119068</v>
      </c>
      <c r="AH197" s="702">
        <f t="shared" si="89"/>
        <v>-77.032913162140261</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1.0000620211484994</v>
      </c>
      <c r="N198" s="694">
        <f t="shared" si="74"/>
        <v>-1.1137139951530187E-2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8.4252662960391547</v>
      </c>
      <c r="X198" s="699">
        <f t="shared" si="82"/>
        <v>-103.09017478529772</v>
      </c>
      <c r="Y198" s="702">
        <f t="shared" si="83"/>
        <v>76.909825214702281</v>
      </c>
      <c r="AA198" s="174">
        <f t="shared" si="84"/>
        <v>1000000000</v>
      </c>
      <c r="AB198" s="174">
        <f t="shared" si="85"/>
        <v>125888400</v>
      </c>
      <c r="AD198" s="701">
        <f t="shared" si="86"/>
        <v>27.650697293556576</v>
      </c>
      <c r="AE198" s="702">
        <f t="shared" si="87"/>
        <v>-9.9666411261759524</v>
      </c>
      <c r="AG198" s="701">
        <f t="shared" si="88"/>
        <v>6.2827195664926716</v>
      </c>
      <c r="AH198" s="702">
        <f t="shared" si="89"/>
        <v>-77.018763642009162</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1.0000627473722223</v>
      </c>
      <c r="N199" s="694">
        <f t="shared" si="74"/>
        <v>-1.1202150808730908E-2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8.373618454623962</v>
      </c>
      <c r="X199" s="699">
        <f t="shared" si="82"/>
        <v>-103.14875420964296</v>
      </c>
      <c r="Y199" s="702">
        <f t="shared" si="83"/>
        <v>76.851245790357041</v>
      </c>
      <c r="AA199" s="174">
        <f t="shared" si="84"/>
        <v>1000000000</v>
      </c>
      <c r="AB199" s="174">
        <f t="shared" si="85"/>
        <v>127362510.25</v>
      </c>
      <c r="AD199" s="701">
        <f t="shared" si="86"/>
        <v>27.649843311657616</v>
      </c>
      <c r="AE199" s="702">
        <f t="shared" si="87"/>
        <v>-9.9466912021816647</v>
      </c>
      <c r="AG199" s="701">
        <f t="shared" si="88"/>
        <v>6.2332439036427756</v>
      </c>
      <c r="AH199" s="702">
        <f t="shared" si="89"/>
        <v>-77.00388471014567</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1.0000634778226158</v>
      </c>
      <c r="N200" s="694">
        <f t="shared" si="74"/>
        <v>-1.1267161571238006E-2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8.3222632843125446</v>
      </c>
      <c r="X200" s="699">
        <f t="shared" si="82"/>
        <v>-103.20742399112312</v>
      </c>
      <c r="Y200" s="702">
        <f t="shared" si="83"/>
        <v>76.792576008876878</v>
      </c>
      <c r="AA200" s="174">
        <f t="shared" si="84"/>
        <v>1000000000</v>
      </c>
      <c r="AB200" s="174">
        <f t="shared" si="85"/>
        <v>128845201</v>
      </c>
      <c r="AD200" s="701">
        <f t="shared" si="86"/>
        <v>27.649000247225469</v>
      </c>
      <c r="AE200" s="702">
        <f t="shared" si="87"/>
        <v>-9.9271817678076815</v>
      </c>
      <c r="AG200" s="701">
        <f t="shared" si="88"/>
        <v>6.1840574819552598</v>
      </c>
      <c r="AH200" s="702">
        <f t="shared" si="89"/>
        <v>-76.988666150165685</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1.0000642124996708</v>
      </c>
      <c r="N201" s="694">
        <f t="shared" si="74"/>
        <v>-1.1332172238502171E-2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8.2711973139255655</v>
      </c>
      <c r="X201" s="699">
        <f t="shared" si="82"/>
        <v>-103.26618251130007</v>
      </c>
      <c r="Y201" s="702">
        <f t="shared" si="83"/>
        <v>76.733817488699927</v>
      </c>
      <c r="AA201" s="174">
        <f t="shared" si="84"/>
        <v>1000000000</v>
      </c>
      <c r="AB201" s="174">
        <f t="shared" si="85"/>
        <v>130336472.25</v>
      </c>
      <c r="AD201" s="701">
        <f t="shared" si="86"/>
        <v>27.648167832219677</v>
      </c>
      <c r="AE201" s="702">
        <f t="shared" si="87"/>
        <v>-9.9081053613689356</v>
      </c>
      <c r="AG201" s="701">
        <f t="shared" si="88"/>
        <v>6.1351570951182985</v>
      </c>
      <c r="AH201" s="702">
        <f t="shared" si="89"/>
        <v>-76.973113863056241</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1.0000649514033777</v>
      </c>
      <c r="N202" s="694">
        <f t="shared" si="74"/>
        <v>-1.1397182809974085E-2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8.2204171330262525</v>
      </c>
      <c r="X202" s="699">
        <f t="shared" si="82"/>
        <v>-103.3250281859446</v>
      </c>
      <c r="Y202" s="702">
        <f t="shared" si="83"/>
        <v>76.674971814055397</v>
      </c>
      <c r="AA202" s="174">
        <f t="shared" si="84"/>
        <v>1000000000</v>
      </c>
      <c r="AB202" s="174">
        <f t="shared" si="85"/>
        <v>131836324</v>
      </c>
      <c r="AD202" s="701">
        <f t="shared" si="86"/>
        <v>27.647345806125788</v>
      </c>
      <c r="AE202" s="702">
        <f t="shared" si="87"/>
        <v>-9.8894546875667544</v>
      </c>
      <c r="AG202" s="701">
        <f t="shared" si="88"/>
        <v>6.0865395900196564</v>
      </c>
      <c r="AH202" s="702">
        <f t="shared" si="89"/>
        <v>-76.957233617572612</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1.0000657087567044</v>
      </c>
      <c r="N203" s="694">
        <f t="shared" si="74"/>
        <v>-1.1463433942086355E-2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8.1689584179421395</v>
      </c>
      <c r="X203" s="699">
        <f t="shared" si="82"/>
        <v>-103.385084929274</v>
      </c>
      <c r="Y203" s="702">
        <f t="shared" si="83"/>
        <v>76.614915070725999</v>
      </c>
      <c r="AA203" s="174">
        <f t="shared" si="84"/>
        <v>1000000000</v>
      </c>
      <c r="AB203" s="174">
        <f t="shared" si="85"/>
        <v>133373626.5625</v>
      </c>
      <c r="AD203" s="701">
        <f t="shared" si="86"/>
        <v>27.646518518549648</v>
      </c>
      <c r="AE203" s="702">
        <f t="shared" si="87"/>
        <v>-9.8708786971276954</v>
      </c>
      <c r="AG203" s="701">
        <f t="shared" si="88"/>
        <v>6.0372820904967295</v>
      </c>
      <c r="AH203" s="702">
        <f t="shared" si="89"/>
        <v>-76.940718746740899</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1.0000664704995255</v>
      </c>
      <c r="N204" s="694">
        <f t="shared" si="74"/>
        <v>-1.1529684973563475E-2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8.1177895396502144</v>
      </c>
      <c r="X204" s="699">
        <f t="shared" si="82"/>
        <v>-103.44522896796245</v>
      </c>
      <c r="Y204" s="702">
        <f t="shared" si="83"/>
        <v>76.55477103203755</v>
      </c>
      <c r="AA204" s="174">
        <f t="shared" si="84"/>
        <v>1000000000</v>
      </c>
      <c r="AB204" s="174">
        <f t="shared" si="85"/>
        <v>134919840.25</v>
      </c>
      <c r="AD204" s="701">
        <f t="shared" si="86"/>
        <v>27.645701496713123</v>
      </c>
      <c r="AE204" s="702">
        <f t="shared" si="87"/>
        <v>-9.8527300541836134</v>
      </c>
      <c r="AG204" s="701">
        <f t="shared" si="88"/>
        <v>5.9883119247125887</v>
      </c>
      <c r="AH204" s="702">
        <f t="shared" si="89"/>
        <v>-76.923874973556934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1.0000672366318304</v>
      </c>
      <c r="N205" s="694">
        <f t="shared" ref="N205:N268" si="110">-ATAN(G205/z_RHP)</f>
        <v>-1.1595935903824097E-2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8.0669070744621436</v>
      </c>
      <c r="X205" s="699">
        <f t="shared" ref="X205:X268" si="116">((L205+R205+N205+V205)-(J205+P205+T205))*radconv</f>
        <v>-103.50545872927461</v>
      </c>
      <c r="Y205" s="702">
        <f t="shared" ref="Y205:Y268" si="117">IF(X205&gt;0,X205,X205+180)</f>
        <v>76.494541270725392</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5.9396259187242526</v>
      </c>
      <c r="AH205" s="702">
        <f t="shared" ref="AH205:AH268" si="123">(L205+N205-(J205+V205))*radconv</f>
        <v>-76.906708002851332</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1.0000680071536099</v>
      </c>
      <c r="N206" s="694">
        <f t="shared" si="110"/>
        <v>-1.166218673228688E-2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8.0163076583164887</v>
      </c>
      <c r="X206" s="699">
        <f t="shared" si="116"/>
        <v>-103.56577267361808</v>
      </c>
      <c r="Y206" s="702">
        <f t="shared" si="117"/>
        <v>76.434227326381915</v>
      </c>
      <c r="AA206" s="174">
        <f t="shared" si="118"/>
        <v>1000000000</v>
      </c>
      <c r="AB206" s="174">
        <f t="shared" si="119"/>
        <v>138039001</v>
      </c>
      <c r="AD206" s="701">
        <f t="shared" si="120"/>
        <v>27.644097244643</v>
      </c>
      <c r="AE206" s="702">
        <f t="shared" si="121"/>
        <v>-9.8176861044377244</v>
      </c>
      <c r="AG206" s="701">
        <f t="shared" si="122"/>
        <v>5.8912209511134472</v>
      </c>
      <c r="AH206" s="702">
        <f t="shared" si="123"/>
        <v>-76.889223412115086</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1.0000688024399265</v>
      </c>
      <c r="N207" s="694">
        <f t="shared" si="110"/>
        <v>-1.1730174367409639E-2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7.964672476580958</v>
      </c>
      <c r="X207" s="699">
        <f t="shared" si="116"/>
        <v>-103.62775382435309</v>
      </c>
      <c r="Y207" s="702">
        <f t="shared" si="117"/>
        <v>76.372246175646907</v>
      </c>
      <c r="AA207" s="174">
        <f t="shared" si="118"/>
        <v>1000000000</v>
      </c>
      <c r="AB207" s="174">
        <f t="shared" si="119"/>
        <v>139653306.25</v>
      </c>
      <c r="AD207" s="701">
        <f t="shared" si="120"/>
        <v>27.643289003392859</v>
      </c>
      <c r="AE207" s="702">
        <f t="shared" si="121"/>
        <v>-9.8003389294098735</v>
      </c>
      <c r="AG207" s="701">
        <f t="shared" si="122"/>
        <v>5.8418359070703927</v>
      </c>
      <c r="AH207" s="702">
        <f t="shared" si="123"/>
        <v>-76.870955922763684</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1.0000696023488722</v>
      </c>
      <c r="N208" s="694">
        <f t="shared" si="110"/>
        <v>-1.1798161894086391E-2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7.9133283883935777</v>
      </c>
      <c r="X208" s="699">
        <f t="shared" si="116"/>
        <v>-103.68982044819916</v>
      </c>
      <c r="Y208" s="702">
        <f t="shared" si="117"/>
        <v>76.310179551800843</v>
      </c>
      <c r="AA208" s="174">
        <f t="shared" si="118"/>
        <v>1000000000</v>
      </c>
      <c r="AB208" s="174">
        <f t="shared" si="119"/>
        <v>141276996</v>
      </c>
      <c r="AD208" s="701">
        <f t="shared" si="120"/>
        <v>27.642490544199458</v>
      </c>
      <c r="AE208" s="702">
        <f t="shared" si="121"/>
        <v>-9.7834122148084859</v>
      </c>
      <c r="AG208" s="701">
        <f t="shared" si="122"/>
        <v>5.7927403349157078</v>
      </c>
      <c r="AH208" s="702">
        <f t="shared" si="123"/>
        <v>-76.852365445905505</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1.0000704068804362</v>
      </c>
      <c r="N209" s="694">
        <f t="shared" si="110"/>
        <v>-1.1866149311688881E-2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7.8622719449786178</v>
      </c>
      <c r="X209" s="699">
        <f t="shared" si="116"/>
        <v>-103.75197098444595</v>
      </c>
      <c r="Y209" s="702">
        <f t="shared" si="117"/>
        <v>76.248029015554053</v>
      </c>
      <c r="AA209" s="174">
        <f t="shared" si="118"/>
        <v>1000000000</v>
      </c>
      <c r="AB209" s="174">
        <f t="shared" si="119"/>
        <v>142910070.25</v>
      </c>
      <c r="AD209" s="701">
        <f t="shared" si="120"/>
        <v>27.641701622849023</v>
      </c>
      <c r="AE209" s="702">
        <f t="shared" si="121"/>
        <v>-9.7668988329557944</v>
      </c>
      <c r="AG209" s="701">
        <f t="shared" si="122"/>
        <v>5.7439310263027954</v>
      </c>
      <c r="AH209" s="702">
        <f t="shared" si="123"/>
        <v>-76.833457614032525</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1.000071216034607</v>
      </c>
      <c r="N210" s="694">
        <f t="shared" si="110"/>
        <v>-1.1934136619588857E-2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7.8114997577564251</v>
      </c>
      <c r="X210" s="699">
        <f t="shared" si="116"/>
        <v>-103.81420390539043</v>
      </c>
      <c r="Y210" s="702">
        <f t="shared" si="117"/>
        <v>76.185796094609572</v>
      </c>
      <c r="AA210" s="174">
        <f t="shared" si="118"/>
        <v>1000000000</v>
      </c>
      <c r="AB210" s="174">
        <f t="shared" si="119"/>
        <v>144552529</v>
      </c>
      <c r="AD210" s="701">
        <f t="shared" si="120"/>
        <v>27.640922001985196</v>
      </c>
      <c r="AE210" s="702">
        <f t="shared" si="121"/>
        <v>-9.7507918152108228</v>
      </c>
      <c r="AG210" s="701">
        <f t="shared" si="122"/>
        <v>5.6954048262038945</v>
      </c>
      <c r="AH210" s="702">
        <f t="shared" si="123"/>
        <v>-76.814237933540809</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1.0000720476830234</v>
      </c>
      <c r="N211" s="694">
        <f t="shared" si="110"/>
        <v>-1.2003612586668575E-2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7.7599059673111883</v>
      </c>
      <c r="X211" s="699">
        <f t="shared" si="116"/>
        <v>-103.87788314539155</v>
      </c>
      <c r="Y211" s="702">
        <f t="shared" si="117"/>
        <v>76.12211685460845</v>
      </c>
      <c r="AA211" s="174">
        <f t="shared" si="118"/>
        <v>1000000000</v>
      </c>
      <c r="AB211" s="174">
        <f t="shared" si="119"/>
        <v>146240649</v>
      </c>
      <c r="AD211" s="701">
        <f t="shared" si="120"/>
        <v>27.640134677273327</v>
      </c>
      <c r="AE211" s="702">
        <f t="shared" si="121"/>
        <v>-9.7347448083383608</v>
      </c>
      <c r="AG211" s="701">
        <f t="shared" si="122"/>
        <v>5.6461052555156872</v>
      </c>
      <c r="AH211" s="702">
        <f t="shared" si="123"/>
        <v>-76.794280819408343</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1.0000728841586894</v>
      </c>
      <c r="N212" s="694">
        <f t="shared" si="110"/>
        <v>-1.2073088437862204E-2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7.7086020501640862</v>
      </c>
      <c r="X212" s="699">
        <f t="shared" si="116"/>
        <v>-103.94164529376914</v>
      </c>
      <c r="Y212" s="702">
        <f t="shared" si="117"/>
        <v>76.058354706230858</v>
      </c>
      <c r="AA212" s="174">
        <f t="shared" si="118"/>
        <v>1000000000</v>
      </c>
      <c r="AB212" s="174">
        <f t="shared" si="119"/>
        <v>147938569</v>
      </c>
      <c r="AD212" s="701">
        <f t="shared" si="120"/>
        <v>27.639356584600215</v>
      </c>
      <c r="AE212" s="702">
        <f t="shared" si="121"/>
        <v>-9.7191079329757706</v>
      </c>
      <c r="AG212" s="701">
        <f t="shared" si="122"/>
        <v>5.5970948317653129</v>
      </c>
      <c r="AH212" s="702">
        <f t="shared" si="123"/>
        <v>-76.774009288014796</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1.000073725461593</v>
      </c>
      <c r="N213" s="694">
        <f t="shared" si="110"/>
        <v>-1.2142564172499332E-2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7.6575845761017369</v>
      </c>
      <c r="X213" s="699">
        <f t="shared" si="116"/>
        <v>-104.00548882147314</v>
      </c>
      <c r="Y213" s="702">
        <f t="shared" si="117"/>
        <v>75.994511178526864</v>
      </c>
      <c r="AA213" s="174">
        <f t="shared" si="118"/>
        <v>1000000000</v>
      </c>
      <c r="AB213" s="174">
        <f t="shared" si="119"/>
        <v>149646289</v>
      </c>
      <c r="AD213" s="701">
        <f t="shared" si="120"/>
        <v>27.638587491408735</v>
      </c>
      <c r="AE213" s="702">
        <f t="shared" si="121"/>
        <v>-9.7038742392327819</v>
      </c>
      <c r="AG213" s="701">
        <f t="shared" si="122"/>
        <v>5.5483703531725546</v>
      </c>
      <c r="AH213" s="702">
        <f t="shared" si="123"/>
        <v>-76.753428829830611</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1.0000745715917223</v>
      </c>
      <c r="N214" s="694">
        <f t="shared" si="110"/>
        <v>-1.2212039789909555E-2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7.6068501746647597</v>
      </c>
      <c r="X214" s="699">
        <f t="shared" si="116"/>
        <v>-104.06941223176418</v>
      </c>
      <c r="Y214" s="702">
        <f t="shared" si="117"/>
        <v>75.930587768235824</v>
      </c>
      <c r="AA214" s="174">
        <f t="shared" si="118"/>
        <v>1000000000</v>
      </c>
      <c r="AB214" s="174">
        <f t="shared" si="119"/>
        <v>151363809</v>
      </c>
      <c r="AD214" s="701">
        <f t="shared" si="120"/>
        <v>27.637827171667141</v>
      </c>
      <c r="AE214" s="702">
        <f t="shared" si="121"/>
        <v>-9.6890369322121863</v>
      </c>
      <c r="AG214" s="701">
        <f t="shared" si="122"/>
        <v>5.4999286711646942</v>
      </c>
      <c r="AH214" s="702">
        <f t="shared" si="123"/>
        <v>-76.732544812568648</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1.000075440836693</v>
      </c>
      <c r="N215" s="694">
        <f t="shared" si="110"/>
        <v>-1.2283004048831118E-2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7.5553174004496082</v>
      </c>
      <c r="X215" s="699">
        <f t="shared" si="116"/>
        <v>-104.13478637464479</v>
      </c>
      <c r="Y215" s="702">
        <f t="shared" si="117"/>
        <v>75.86521362535521</v>
      </c>
      <c r="AA215" s="174">
        <f t="shared" si="118"/>
        <v>1000000000</v>
      </c>
      <c r="AB215" s="174">
        <f t="shared" si="119"/>
        <v>153128250.25</v>
      </c>
      <c r="AD215" s="701">
        <f t="shared" si="120"/>
        <v>27.637059388404218</v>
      </c>
      <c r="AE215" s="702">
        <f t="shared" si="121"/>
        <v>-9.6742839941802021</v>
      </c>
      <c r="AG215" s="701">
        <f t="shared" si="122"/>
        <v>5.4507376851950076</v>
      </c>
      <c r="AH215" s="702">
        <f t="shared" si="123"/>
        <v>-76.710905350955244</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1.000076315117961</v>
      </c>
      <c r="N216" s="694">
        <f t="shared" si="110"/>
        <v>-1.2353968184034076E-2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7.5040730369931188</v>
      </c>
      <c r="X216" s="699">
        <f t="shared" si="116"/>
        <v>-104.20024080314288</v>
      </c>
      <c r="Y216" s="702">
        <f t="shared" si="117"/>
        <v>75.799759196857124</v>
      </c>
      <c r="AA216" s="174">
        <f t="shared" si="118"/>
        <v>1000000000</v>
      </c>
      <c r="AB216" s="174">
        <f t="shared" si="119"/>
        <v>154902916</v>
      </c>
      <c r="AD216" s="701">
        <f t="shared" si="120"/>
        <v>27.636300301817336</v>
      </c>
      <c r="AE216" s="702">
        <f t="shared" si="121"/>
        <v>-9.6599307587404049</v>
      </c>
      <c r="AG216" s="701">
        <f t="shared" si="122"/>
        <v>5.4018352699832475</v>
      </c>
      <c r="AH216" s="702">
        <f t="shared" si="123"/>
        <v>-76.688960124603881</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1.0000771944355129</v>
      </c>
      <c r="N217" s="694">
        <f t="shared" si="110"/>
        <v>-1.2424932194804015E-2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7.4531136767298207</v>
      </c>
      <c r="X217" s="699">
        <f t="shared" si="116"/>
        <v>-104.26577402114498</v>
      </c>
      <c r="Y217" s="702">
        <f t="shared" si="117"/>
        <v>75.734225978855022</v>
      </c>
      <c r="AA217" s="174">
        <f t="shared" si="118"/>
        <v>1000000000</v>
      </c>
      <c r="AB217" s="174">
        <f t="shared" si="119"/>
        <v>156687806.25</v>
      </c>
      <c r="AD217" s="701">
        <f t="shared" si="120"/>
        <v>27.635549690731942</v>
      </c>
      <c r="AE217" s="702">
        <f t="shared" si="121"/>
        <v>-9.6459704582711971</v>
      </c>
      <c r="AG217" s="701">
        <f t="shared" si="122"/>
        <v>5.3532182346519273</v>
      </c>
      <c r="AH217" s="702">
        <f t="shared" si="123"/>
        <v>-76.666714478898541</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1.0000780787893357</v>
      </c>
      <c r="N218" s="694">
        <f t="shared" si="110"/>
        <v>-1.2495896080426531E-2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7.4024359713138965</v>
      </c>
      <c r="X218" s="699">
        <f t="shared" si="116"/>
        <v>-104.3313845641032</v>
      </c>
      <c r="Y218" s="702">
        <f t="shared" si="117"/>
        <v>75.668615435896797</v>
      </c>
      <c r="AA218" s="174">
        <f t="shared" si="118"/>
        <v>1000000000</v>
      </c>
      <c r="AB218" s="174">
        <f t="shared" si="119"/>
        <v>158482921</v>
      </c>
      <c r="AD218" s="701">
        <f t="shared" si="120"/>
        <v>27.634807340172308</v>
      </c>
      <c r="AE218" s="702">
        <f t="shared" si="121"/>
        <v>-9.6323964759341543</v>
      </c>
      <c r="AG218" s="701">
        <f t="shared" si="122"/>
        <v>5.3048834413211949</v>
      </c>
      <c r="AH218" s="702">
        <f t="shared" si="123"/>
        <v>-76.644173639922144</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1.0000789900108453</v>
      </c>
      <c r="N219" s="694">
        <f t="shared" si="110"/>
        <v>-1.2568596713842115E-2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7.3508065424047757</v>
      </c>
      <c r="X219" s="699">
        <f t="shared" si="116"/>
        <v>-104.39867964765169</v>
      </c>
      <c r="Y219" s="702">
        <f t="shared" si="117"/>
        <v>75.60132035234831</v>
      </c>
      <c r="AA219" s="174">
        <f t="shared" si="118"/>
        <v>1000000000</v>
      </c>
      <c r="AB219" s="174">
        <f t="shared" si="119"/>
        <v>160332575.0625</v>
      </c>
      <c r="AD219" s="701">
        <f t="shared" si="120"/>
        <v>27.63405516801495</v>
      </c>
      <c r="AE219" s="702">
        <f t="shared" si="121"/>
        <v>-9.6188841165890668</v>
      </c>
      <c r="AG219" s="701">
        <f t="shared" si="122"/>
        <v>5.2556550910952851</v>
      </c>
      <c r="AH219" s="702">
        <f t="shared" si="123"/>
        <v>-76.620780324637536</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1.0000799065181449</v>
      </c>
      <c r="N220" s="694">
        <f t="shared" si="110"/>
        <v>-1.2641297214391273E-2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7.2994657945172561</v>
      </c>
      <c r="X220" s="699">
        <f t="shared" si="116"/>
        <v>-104.46605287372161</v>
      </c>
      <c r="Y220" s="702">
        <f t="shared" si="117"/>
        <v>75.533947126278392</v>
      </c>
      <c r="AA220" s="174">
        <f t="shared" si="118"/>
        <v>1000000000</v>
      </c>
      <c r="AB220" s="174">
        <f t="shared" si="119"/>
        <v>162192960.25</v>
      </c>
      <c r="AD220" s="701">
        <f t="shared" si="120"/>
        <v>27.633311227975188</v>
      </c>
      <c r="AE220" s="702">
        <f t="shared" si="121"/>
        <v>-9.6057636253954737</v>
      </c>
      <c r="AG220" s="701">
        <f t="shared" si="122"/>
        <v>5.2067164661991736</v>
      </c>
      <c r="AH220" s="702">
        <f t="shared" si="123"/>
        <v>-76.597087923935689</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1.0000808283112199</v>
      </c>
      <c r="N221" s="694">
        <f t="shared" si="110"/>
        <v>-1.2713997581305874E-2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7.2484103119033971</v>
      </c>
      <c r="X221" s="699">
        <f t="shared" si="116"/>
        <v>-104.53350276521849</v>
      </c>
      <c r="Y221" s="702">
        <f t="shared" si="117"/>
        <v>75.466497234781514</v>
      </c>
      <c r="AA221" s="174">
        <f t="shared" si="118"/>
        <v>1000000000</v>
      </c>
      <c r="AB221" s="174">
        <f t="shared" si="119"/>
        <v>164064076.5625</v>
      </c>
      <c r="AD221" s="701">
        <f t="shared" si="120"/>
        <v>27.632575307814822</v>
      </c>
      <c r="AE221" s="702">
        <f t="shared" si="121"/>
        <v>-9.593028353152361</v>
      </c>
      <c r="AG221" s="701">
        <f t="shared" si="122"/>
        <v>5.1580643581987538</v>
      </c>
      <c r="AH221" s="702">
        <f t="shared" si="123"/>
        <v>-76.573101688989325</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1.0000817553900556</v>
      </c>
      <c r="N222" s="694">
        <f t="shared" si="110"/>
        <v>-1.2786697813817798E-2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7.1976367382143911</v>
      </c>
      <c r="X222" s="699">
        <f t="shared" si="116"/>
        <v>-104.60102787624629</v>
      </c>
      <c r="Y222" s="702">
        <f t="shared" si="117"/>
        <v>75.398972123753708</v>
      </c>
      <c r="AA222" s="174">
        <f t="shared" si="118"/>
        <v>1000000000</v>
      </c>
      <c r="AB222" s="174">
        <f t="shared" si="119"/>
        <v>165945924</v>
      </c>
      <c r="AD222" s="701">
        <f t="shared" si="120"/>
        <v>27.631847201254644</v>
      </c>
      <c r="AE222" s="702">
        <f t="shared" si="121"/>
        <v>-9.5806717990917836</v>
      </c>
      <c r="AG222" s="701">
        <f t="shared" si="122"/>
        <v>5.1096956120747539</v>
      </c>
      <c r="AH222" s="702">
        <f t="shared" si="123"/>
        <v>-76.548826753644207</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1.0000827132858212</v>
      </c>
      <c r="N223" s="694">
        <f t="shared" si="110"/>
        <v>-1.2861382894848863E-2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7.145766949623459</v>
      </c>
      <c r="X223" s="699">
        <f t="shared" si="116"/>
        <v>-104.67047351731037</v>
      </c>
      <c r="Y223" s="702">
        <f t="shared" si="117"/>
        <v>75.32952648268963</v>
      </c>
      <c r="AA223" s="174">
        <f t="shared" si="118"/>
        <v>1000000000</v>
      </c>
      <c r="AB223" s="174">
        <f t="shared" si="119"/>
        <v>167890327.5625</v>
      </c>
      <c r="AD223" s="701">
        <f t="shared" si="120"/>
        <v>27.631107140508824</v>
      </c>
      <c r="AE223" s="702">
        <f t="shared" si="121"/>
        <v>-9.5683655563324876</v>
      </c>
      <c r="AG223" s="701">
        <f t="shared" si="122"/>
        <v>5.0602980303081155</v>
      </c>
      <c r="AH223" s="702">
        <f t="shared" si="123"/>
        <v>-76.523593663537085</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1.0000836767598991</v>
      </c>
      <c r="N224" s="694">
        <f t="shared" si="110"/>
        <v>-1.2936067832394271E-2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7.0941876801984556</v>
      </c>
      <c r="X224" s="699">
        <f t="shared" si="116"/>
        <v>-104.73999554559194</v>
      </c>
      <c r="Y224" s="702">
        <f t="shared" si="117"/>
        <v>75.260004454408062</v>
      </c>
      <c r="AA224" s="174">
        <f t="shared" si="118"/>
        <v>1000000000</v>
      </c>
      <c r="AB224" s="174">
        <f t="shared" si="119"/>
        <v>169846056.25</v>
      </c>
      <c r="AD224" s="701">
        <f t="shared" si="120"/>
        <v>27.630374902998057</v>
      </c>
      <c r="AE224" s="702">
        <f t="shared" si="121"/>
        <v>-9.5564455500710785</v>
      </c>
      <c r="AG224" s="701">
        <f t="shared" si="122"/>
        <v>5.0111929132836845</v>
      </c>
      <c r="AH224" s="702">
        <f t="shared" si="123"/>
        <v>-76.49806651018703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1.0000846458122727</v>
      </c>
      <c r="N225" s="694">
        <f t="shared" si="110"/>
        <v>-1.3010752625621277E-2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7.0428954779582318</v>
      </c>
      <c r="X225" s="699">
        <f t="shared" si="116"/>
        <v>-104.80959249091727</v>
      </c>
      <c r="Y225" s="702">
        <f t="shared" si="117"/>
        <v>75.190407509082732</v>
      </c>
      <c r="AA225" s="174">
        <f t="shared" si="118"/>
        <v>1000000000</v>
      </c>
      <c r="AB225" s="174">
        <f t="shared" si="119"/>
        <v>171813110.0625</v>
      </c>
      <c r="AD225" s="701">
        <f t="shared" si="120"/>
        <v>27.629650283434227</v>
      </c>
      <c r="AE225" s="702">
        <f t="shared" si="121"/>
        <v>-9.5449051949696653</v>
      </c>
      <c r="AG225" s="701">
        <f t="shared" si="122"/>
        <v>4.9623770088588843</v>
      </c>
      <c r="AH225" s="702">
        <f t="shared" si="123"/>
        <v>-76.472250494065804</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1.0000856204429258</v>
      </c>
      <c r="N226" s="694">
        <f t="shared" si="110"/>
        <v>-1.3085437273697147E-2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6.9918869511510753</v>
      </c>
      <c r="X226" s="699">
        <f t="shared" si="116"/>
        <v>-104.8792629142752</v>
      </c>
      <c r="Y226" s="702">
        <f t="shared" si="117"/>
        <v>75.120737085724798</v>
      </c>
      <c r="AA226" s="174">
        <f t="shared" si="118"/>
        <v>1000000000</v>
      </c>
      <c r="AB226" s="174">
        <f t="shared" si="119"/>
        <v>173791489</v>
      </c>
      <c r="AD226" s="701">
        <f t="shared" si="120"/>
        <v>27.628933082318689</v>
      </c>
      <c r="AE226" s="702">
        <f t="shared" si="121"/>
        <v>-9.533738053370918</v>
      </c>
      <c r="AG226" s="701">
        <f t="shared" si="122"/>
        <v>4.9138471193031927</v>
      </c>
      <c r="AH226" s="702">
        <f t="shared" si="123"/>
        <v>-76.44615069901829</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1.000086620247596</v>
      </c>
      <c r="N227" s="694">
        <f t="shared" si="110"/>
        <v>-1.3161610501915912E-2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6.9401504011116071</v>
      </c>
      <c r="X227" s="699">
        <f t="shared" si="116"/>
        <v>-104.95039634590773</v>
      </c>
      <c r="Y227" s="702">
        <f t="shared" si="117"/>
        <v>75.049603654092266</v>
      </c>
      <c r="AA227" s="174">
        <f t="shared" si="118"/>
        <v>1000000000</v>
      </c>
      <c r="AB227" s="174">
        <f t="shared" si="119"/>
        <v>175820970.0625</v>
      </c>
      <c r="AD227" s="701">
        <f t="shared" si="120"/>
        <v>27.628209025532875</v>
      </c>
      <c r="AE227" s="702">
        <f t="shared" si="121"/>
        <v>-9.5227262319179253</v>
      </c>
      <c r="AG227" s="701">
        <f t="shared" si="122"/>
        <v>4.8646412197472841</v>
      </c>
      <c r="AH227" s="702">
        <f t="shared" si="123"/>
        <v>-76.419243475428402</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1.0000876258551179</v>
      </c>
      <c r="N228" s="694">
        <f t="shared" si="110"/>
        <v>-1.3237783577389341E-2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6.8887020069798934</v>
      </c>
      <c r="X228" s="699">
        <f t="shared" si="116"/>
        <v>-105.02160328581957</v>
      </c>
      <c r="Y228" s="702">
        <f t="shared" si="117"/>
        <v>74.978396714180434</v>
      </c>
      <c r="AA228" s="174">
        <f t="shared" si="118"/>
        <v>1000000000</v>
      </c>
      <c r="AB228" s="174">
        <f t="shared" si="119"/>
        <v>177862232.25</v>
      </c>
      <c r="AD228" s="701">
        <f t="shared" si="120"/>
        <v>27.627492284265283</v>
      </c>
      <c r="AE228" s="702">
        <f t="shared" si="121"/>
        <v>-9.5120895757121193</v>
      </c>
      <c r="AG228" s="701">
        <f t="shared" si="122"/>
        <v>4.8157262997630372</v>
      </c>
      <c r="AH228" s="702">
        <f t="shared" si="123"/>
        <v>-76.39205137258098</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1.000088637265474</v>
      </c>
      <c r="N229" s="694">
        <f t="shared" si="110"/>
        <v>-1.3313956499233932E-2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6.8375383548582658</v>
      </c>
      <c r="X229" s="699">
        <f t="shared" si="116"/>
        <v>-105.09288230207891</v>
      </c>
      <c r="Y229" s="702">
        <f t="shared" si="117"/>
        <v>74.907117697921095</v>
      </c>
      <c r="AA229" s="174">
        <f t="shared" si="118"/>
        <v>1000000000</v>
      </c>
      <c r="AB229" s="174">
        <f t="shared" si="119"/>
        <v>179915275.5625</v>
      </c>
      <c r="AD229" s="701">
        <f t="shared" si="120"/>
        <v>27.626782664232799</v>
      </c>
      <c r="AE229" s="702">
        <f t="shared" si="121"/>
        <v>-9.50182170311923</v>
      </c>
      <c r="AG229" s="701">
        <f t="shared" si="122"/>
        <v>4.7670991338346669</v>
      </c>
      <c r="AH229" s="702">
        <f t="shared" si="123"/>
        <v>-76.364579430229639</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1.0000896544786466</v>
      </c>
      <c r="N230" s="694">
        <f t="shared" si="110"/>
        <v>-1.3390129266566197E-2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6.7866560901891351</v>
      </c>
      <c r="X230" s="699">
        <f t="shared" si="116"/>
        <v>-105.16423199298731</v>
      </c>
      <c r="Y230" s="702">
        <f t="shared" si="117"/>
        <v>74.835768007012689</v>
      </c>
      <c r="AA230" s="174">
        <f t="shared" si="118"/>
        <v>1000000000</v>
      </c>
      <c r="AB230" s="174">
        <f t="shared" si="119"/>
        <v>181980100</v>
      </c>
      <c r="AD230" s="701">
        <f t="shared" si="120"/>
        <v>27.626079976616897</v>
      </c>
      <c r="AE230" s="702">
        <f t="shared" si="121"/>
        <v>-9.4919163752460882</v>
      </c>
      <c r="AG230" s="701">
        <f t="shared" si="122"/>
        <v>4.7187565502919622</v>
      </c>
      <c r="AH230" s="702">
        <f t="shared" si="123"/>
        <v>-76.336832575499727</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1.000090700888379</v>
      </c>
      <c r="N231" s="694">
        <f t="shared" si="110"/>
        <v>-1.3468038711483549E-2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6.7349012924152953</v>
      </c>
      <c r="X231" s="699">
        <f t="shared" si="116"/>
        <v>-105.23728022985485</v>
      </c>
      <c r="Y231" s="702">
        <f t="shared" si="117"/>
        <v>74.762719770145154</v>
      </c>
      <c r="AA231" s="174">
        <f t="shared" si="118"/>
        <v>1000000000</v>
      </c>
      <c r="AB231" s="174">
        <f t="shared" si="119"/>
        <v>184104192.25</v>
      </c>
      <c r="AD231" s="701">
        <f t="shared" si="120"/>
        <v>27.625368246854258</v>
      </c>
      <c r="AE231" s="702">
        <f t="shared" si="121"/>
        <v>-9.4821538742043163</v>
      </c>
      <c r="AG231" s="701">
        <f t="shared" si="122"/>
        <v>4.6696028317807379</v>
      </c>
      <c r="AH231" s="702">
        <f t="shared" si="123"/>
        <v>-76.308173690860798</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1.0000917533685312</v>
      </c>
      <c r="N232" s="694">
        <f t="shared" si="110"/>
        <v>-1.3545947992892557E-2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6.6834339459958052</v>
      </c>
      <c r="X232" s="699">
        <f t="shared" si="116"/>
        <v>-105.31039952827837</v>
      </c>
      <c r="Y232" s="702">
        <f t="shared" si="117"/>
        <v>74.689600471721633</v>
      </c>
      <c r="AA232" s="174">
        <f t="shared" si="118"/>
        <v>1000000000</v>
      </c>
      <c r="AB232" s="174">
        <f t="shared" si="119"/>
        <v>186240609</v>
      </c>
      <c r="AD232" s="701">
        <f t="shared" si="120"/>
        <v>27.624663386410564</v>
      </c>
      <c r="AE232" s="702">
        <f t="shared" si="121"/>
        <v>-9.4727578774577808</v>
      </c>
      <c r="AG232" s="701">
        <f t="shared" si="122"/>
        <v>4.6207402771067745</v>
      </c>
      <c r="AH232" s="702">
        <f t="shared" si="123"/>
        <v>-76.279237293230764</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1.0000928119190833</v>
      </c>
      <c r="N233" s="694">
        <f t="shared" si="110"/>
        <v>-1.3623857109847945E-2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6.6322506454856889</v>
      </c>
      <c r="X233" s="699">
        <f t="shared" si="116"/>
        <v>-105.38358848141436</v>
      </c>
      <c r="Y233" s="702">
        <f t="shared" si="117"/>
        <v>74.616411518585636</v>
      </c>
      <c r="AA233" s="174">
        <f t="shared" si="118"/>
        <v>1000000000</v>
      </c>
      <c r="AB233" s="174">
        <f t="shared" si="119"/>
        <v>188389350.25</v>
      </c>
      <c r="AD233" s="701">
        <f t="shared" si="120"/>
        <v>27.623965209828029</v>
      </c>
      <c r="AE233" s="702">
        <f t="shared" si="121"/>
        <v>-9.463722147578423</v>
      </c>
      <c r="AG233" s="701">
        <f t="shared" si="122"/>
        <v>4.5721656598396176</v>
      </c>
      <c r="AH233" s="702">
        <f t="shared" si="123"/>
        <v>-76.250028309032771</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1.0000938765400165</v>
      </c>
      <c r="N234" s="694">
        <f t="shared" si="110"/>
        <v>-1.3701766061404441E-2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6.5813480445783963</v>
      </c>
      <c r="X234" s="699">
        <f t="shared" si="116"/>
        <v>-105.4568457120802</v>
      </c>
      <c r="Y234" s="702">
        <f t="shared" si="117"/>
        <v>74.543154287919805</v>
      </c>
      <c r="AA234" s="174">
        <f t="shared" si="118"/>
        <v>1000000000</v>
      </c>
      <c r="AB234" s="174">
        <f t="shared" si="119"/>
        <v>190550416</v>
      </c>
      <c r="AD234" s="701">
        <f t="shared" si="120"/>
        <v>27.623273536865959</v>
      </c>
      <c r="AE234" s="702">
        <f t="shared" si="121"/>
        <v>-9.4550405866784732</v>
      </c>
      <c r="AG234" s="701">
        <f t="shared" si="122"/>
        <v>4.5238758074376522</v>
      </c>
      <c r="AH234" s="702">
        <f t="shared" si="123"/>
        <v>-76.220551554677641</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1.0000949711693969</v>
      </c>
      <c r="N235" s="694">
        <f t="shared" si="110"/>
        <v>-1.3781411664766551E-2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6.5295974038723514</v>
      </c>
      <c r="X235" s="699">
        <f t="shared" si="116"/>
        <v>-105.53180523944785</v>
      </c>
      <c r="Y235" s="702">
        <f t="shared" si="117"/>
        <v>74.468194760552151</v>
      </c>
      <c r="AA235" s="174">
        <f t="shared" si="118"/>
        <v>1000000000</v>
      </c>
      <c r="AB235" s="174">
        <f t="shared" si="119"/>
        <v>192772398.0625</v>
      </c>
      <c r="AD235" s="701">
        <f t="shared" si="120"/>
        <v>27.622572984739698</v>
      </c>
      <c r="AE235" s="702">
        <f t="shared" si="121"/>
        <v>-9.4465253799101276</v>
      </c>
      <c r="AG235" s="701">
        <f t="shared" si="122"/>
        <v>4.4748005390755221</v>
      </c>
      <c r="AH235" s="702">
        <f t="shared" si="123"/>
        <v>-76.190145788127808</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1.0000960721427883</v>
      </c>
      <c r="N236" s="694">
        <f t="shared" si="110"/>
        <v>-1.3861057093275352E-2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6.4781332285382494</v>
      </c>
      <c r="X236" s="699">
        <f t="shared" si="116"/>
        <v>-105.60683330331756</v>
      </c>
      <c r="Y236" s="702">
        <f t="shared" si="117"/>
        <v>74.393166696682442</v>
      </c>
      <c r="AA236" s="174">
        <f t="shared" si="118"/>
        <v>1000000000</v>
      </c>
      <c r="AB236" s="174">
        <f t="shared" si="119"/>
        <v>195007260.25</v>
      </c>
      <c r="AD236" s="701">
        <f t="shared" si="120"/>
        <v>27.6218788644446</v>
      </c>
      <c r="AE236" s="702">
        <f t="shared" si="121"/>
        <v>-9.4383678511611198</v>
      </c>
      <c r="AG236" s="701">
        <f t="shared" si="122"/>
        <v>4.4260163358235651</v>
      </c>
      <c r="AH236" s="702">
        <f t="shared" si="123"/>
        <v>-76.159470020163752</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1.0000971794601692</v>
      </c>
      <c r="N237" s="694">
        <f t="shared" si="110"/>
        <v>-1.3940702345920975E-2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6.4269521263625133</v>
      </c>
      <c r="X237" s="699">
        <f t="shared" si="116"/>
        <v>-105.68192852334963</v>
      </c>
      <c r="Y237" s="702">
        <f t="shared" si="117"/>
        <v>74.318071476650374</v>
      </c>
      <c r="AA237" s="174">
        <f t="shared" si="118"/>
        <v>1000000000</v>
      </c>
      <c r="AB237" s="174">
        <f t="shared" si="119"/>
        <v>197255002.5625</v>
      </c>
      <c r="AD237" s="701">
        <f t="shared" si="120"/>
        <v>27.621190999210476</v>
      </c>
      <c r="AE237" s="702">
        <f t="shared" si="121"/>
        <v>-9.4305619130254001</v>
      </c>
      <c r="AG237" s="701">
        <f t="shared" si="122"/>
        <v>4.3775199752149438</v>
      </c>
      <c r="AH237" s="702">
        <f t="shared" si="123"/>
        <v>-76.128529059673141</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1.0000982931215188</v>
      </c>
      <c r="N238" s="694">
        <f t="shared" si="110"/>
        <v>-1.4020347421693575E-2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6.3760507639596007</v>
      </c>
      <c r="X238" s="699">
        <f t="shared" si="116"/>
        <v>-105.75708954824198</v>
      </c>
      <c r="Y238" s="702">
        <f t="shared" si="117"/>
        <v>74.242910451758021</v>
      </c>
      <c r="AA238" s="174">
        <f t="shared" si="118"/>
        <v>1000000000</v>
      </c>
      <c r="AB238" s="174">
        <f t="shared" si="119"/>
        <v>199515625</v>
      </c>
      <c r="AD238" s="701">
        <f t="shared" si="120"/>
        <v>27.620509217238258</v>
      </c>
      <c r="AE238" s="702">
        <f t="shared" si="121"/>
        <v>-9.4231016142346711</v>
      </c>
      <c r="AG238" s="701">
        <f t="shared" si="122"/>
        <v>4.3293082886043015</v>
      </c>
      <c r="AH238" s="702">
        <f t="shared" si="123"/>
        <v>-76.097327608296226</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1.0000994411207424</v>
      </c>
      <c r="N239" s="694">
        <f t="shared" si="110"/>
        <v>-1.4101977236876324E-2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6.3241676887216496</v>
      </c>
      <c r="X239" s="699">
        <f t="shared" si="116"/>
        <v>-105.8341906462427</v>
      </c>
      <c r="Y239" s="702">
        <f t="shared" si="117"/>
        <v>74.165809353757297</v>
      </c>
      <c r="AA239" s="174">
        <f t="shared" si="118"/>
        <v>1000000000</v>
      </c>
      <c r="AB239" s="174">
        <f t="shared" si="119"/>
        <v>201845952.5625</v>
      </c>
      <c r="AD239" s="701">
        <f t="shared" si="120"/>
        <v>27.619816581679789</v>
      </c>
      <c r="AE239" s="702">
        <f t="shared" si="121"/>
        <v>-9.41580796921372</v>
      </c>
      <c r="AG239" s="701">
        <f t="shared" si="122"/>
        <v>4.2801872090669226</v>
      </c>
      <c r="AH239" s="702">
        <f t="shared" si="123"/>
        <v>-76.065083050543009</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1.0001005957840405</v>
      </c>
      <c r="N240" s="694">
        <f t="shared" si="110"/>
        <v>-1.4183606864112066E-2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6.2725715636445276</v>
      </c>
      <c r="X240" s="699">
        <f t="shared" si="116"/>
        <v>-105.91135808578842</v>
      </c>
      <c r="Y240" s="702">
        <f t="shared" si="117"/>
        <v>74.088641914211578</v>
      </c>
      <c r="AA240" s="174">
        <f t="shared" si="118"/>
        <v>1000000000</v>
      </c>
      <c r="AB240" s="174">
        <f t="shared" si="119"/>
        <v>204189810.25</v>
      </c>
      <c r="AD240" s="701">
        <f t="shared" si="120"/>
        <v>27.619129986243696</v>
      </c>
      <c r="AE240" s="702">
        <f t="shared" si="121"/>
        <v>-9.4088651697058427</v>
      </c>
      <c r="AG240" s="701">
        <f t="shared" si="122"/>
        <v>4.2313585979286206</v>
      </c>
      <c r="AH240" s="702">
        <f t="shared" si="123"/>
        <v>-76.032574524399152</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1.0001017571113893</v>
      </c>
      <c r="N241" s="694">
        <f t="shared" si="110"/>
        <v>-1.426523630231359E-2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6.2212589834615226</v>
      </c>
      <c r="X241" s="699">
        <f t="shared" si="116"/>
        <v>-105.98859050190769</v>
      </c>
      <c r="Y241" s="702">
        <f t="shared" si="117"/>
        <v>74.011409498092306</v>
      </c>
      <c r="AA241" s="174">
        <f t="shared" si="118"/>
        <v>1000000000</v>
      </c>
      <c r="AB241" s="174">
        <f t="shared" si="119"/>
        <v>206547198.0625</v>
      </c>
      <c r="AD241" s="701">
        <f t="shared" si="120"/>
        <v>27.618449261149681</v>
      </c>
      <c r="AE241" s="702">
        <f t="shared" si="121"/>
        <v>-9.402267229094468</v>
      </c>
      <c r="AG241" s="701">
        <f t="shared" si="122"/>
        <v>4.1828192119884067</v>
      </c>
      <c r="AH241" s="702">
        <f t="shared" si="123"/>
        <v>-75.99980676049347</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1.000102925102766</v>
      </c>
      <c r="N242" s="694">
        <f t="shared" si="110"/>
        <v>-1.4346865550393703E-2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6.1702266020307466</v>
      </c>
      <c r="X242" s="699">
        <f t="shared" si="116"/>
        <v>-106.06588655834257</v>
      </c>
      <c r="Y242" s="702">
        <f t="shared" si="117"/>
        <v>73.934113441657431</v>
      </c>
      <c r="AA242" s="174">
        <f t="shared" si="118"/>
        <v>1000000000</v>
      </c>
      <c r="AB242" s="174">
        <f t="shared" si="119"/>
        <v>208918116</v>
      </c>
      <c r="AD242" s="701">
        <f t="shared" si="120"/>
        <v>27.617774241402557</v>
      </c>
      <c r="AE242" s="702">
        <f t="shared" si="121"/>
        <v>-9.3960082949349211</v>
      </c>
      <c r="AG242" s="701">
        <f t="shared" si="122"/>
        <v>4.1345658623469399</v>
      </c>
      <c r="AH242" s="702">
        <f t="shared" si="123"/>
        <v>-75.966784383832547</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1.0001053386976126</v>
      </c>
      <c r="N243" s="694">
        <f t="shared" si="110"/>
        <v>-1.45140932597249E-2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6.0665412196582524</v>
      </c>
      <c r="X243" s="699">
        <f t="shared" si="116"/>
        <v>-106.22443099994425</v>
      </c>
      <c r="Y243" s="702">
        <f t="shared" si="117"/>
        <v>73.775569000055754</v>
      </c>
      <c r="AA243" s="174">
        <f t="shared" si="118"/>
        <v>1000000000</v>
      </c>
      <c r="AB243" s="174">
        <f t="shared" si="119"/>
        <v>213817506.25</v>
      </c>
      <c r="AD243" s="701">
        <f t="shared" si="120"/>
        <v>27.616408519734406</v>
      </c>
      <c r="AE243" s="702">
        <f t="shared" si="121"/>
        <v>-9.3842207034030842</v>
      </c>
      <c r="AG243" s="701">
        <f t="shared" si="122"/>
        <v>4.0365925613450067</v>
      </c>
      <c r="AH243" s="702">
        <f t="shared" si="123"/>
        <v>-75.898357532027077</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1.0001065559830176</v>
      </c>
      <c r="N244" s="694">
        <f t="shared" si="110"/>
        <v>-1.4597706810538669E-2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6.0151257189237795</v>
      </c>
      <c r="X244" s="699">
        <f t="shared" si="116"/>
        <v>-106.30379790898913</v>
      </c>
      <c r="Y244" s="702">
        <f t="shared" si="117"/>
        <v>73.696202091010875</v>
      </c>
      <c r="AA244" s="174">
        <f t="shared" si="118"/>
        <v>1000000000</v>
      </c>
      <c r="AB244" s="174">
        <f t="shared" si="119"/>
        <v>216288495.5625</v>
      </c>
      <c r="AD244" s="701">
        <f t="shared" si="120"/>
        <v>27.615733971826138</v>
      </c>
      <c r="AE244" s="702">
        <f t="shared" si="121"/>
        <v>-9.3788365496408108</v>
      </c>
      <c r="AG244" s="701">
        <f t="shared" si="122"/>
        <v>3.9880429216398423</v>
      </c>
      <c r="AH244" s="702">
        <f t="shared" si="123"/>
        <v>-75.863762277068901</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1.0001077802603764</v>
      </c>
      <c r="N245" s="694">
        <f t="shared" si="110"/>
        <v>-1.4681320157226705E-2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5.9639905216697393</v>
      </c>
      <c r="X245" s="699">
        <f t="shared" si="116"/>
        <v>-106.38322617528333</v>
      </c>
      <c r="Y245" s="702">
        <f t="shared" si="117"/>
        <v>73.616773824716674</v>
      </c>
      <c r="AA245" s="174">
        <f t="shared" si="118"/>
        <v>1000000000</v>
      </c>
      <c r="AB245" s="174">
        <f t="shared" si="119"/>
        <v>218773681</v>
      </c>
      <c r="AD245" s="701">
        <f t="shared" si="120"/>
        <v>27.615064753475597</v>
      </c>
      <c r="AE245" s="702">
        <f t="shared" si="121"/>
        <v>-9.3737844543939879</v>
      </c>
      <c r="AG245" s="701">
        <f t="shared" si="122"/>
        <v>3.9397803333857953</v>
      </c>
      <c r="AH245" s="702">
        <f t="shared" si="123"/>
        <v>-75.828918559010063</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1.0001090408435678</v>
      </c>
      <c r="N246" s="694">
        <f t="shared" si="110"/>
        <v>-1.4766918177811313E-2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5.9119283562950864</v>
      </c>
      <c r="X246" s="699">
        <f t="shared" si="116"/>
        <v>-106.46460219009415</v>
      </c>
      <c r="Y246" s="702">
        <f t="shared" si="117"/>
        <v>73.535397809905845</v>
      </c>
      <c r="AA246" s="174">
        <f t="shared" si="118"/>
        <v>1000000000</v>
      </c>
      <c r="AB246" s="174">
        <f t="shared" si="119"/>
        <v>221332567.5625</v>
      </c>
      <c r="AD246" s="701">
        <f t="shared" si="120"/>
        <v>27.614385009016193</v>
      </c>
      <c r="AE246" s="702">
        <f t="shared" si="121"/>
        <v>-9.3689505414841072</v>
      </c>
      <c r="AG246" s="701">
        <f t="shared" si="122"/>
        <v>3.8906661112035685</v>
      </c>
      <c r="AH246" s="702">
        <f t="shared" si="123"/>
        <v>-75.792994945479805</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1.0001103087545609</v>
      </c>
      <c r="N247" s="694">
        <f t="shared" si="110"/>
        <v>-1.4852515981985693E-2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5.8601530338746963</v>
      </c>
      <c r="X247" s="699">
        <f t="shared" si="116"/>
        <v>-106.54603979970553</v>
      </c>
      <c r="Y247" s="702">
        <f t="shared" si="117"/>
        <v>73.453960200294475</v>
      </c>
      <c r="AA247" s="174">
        <f t="shared" si="118"/>
        <v>1000000000</v>
      </c>
      <c r="AB247" s="174">
        <f t="shared" si="119"/>
        <v>223906332.25</v>
      </c>
      <c r="AD247" s="701">
        <f t="shared" si="120"/>
        <v>27.613710528824011</v>
      </c>
      <c r="AE247" s="702">
        <f t="shared" si="121"/>
        <v>-9.3644528642590483</v>
      </c>
      <c r="AG247" s="701">
        <f t="shared" si="122"/>
        <v>3.8418461072962335</v>
      </c>
      <c r="AH247" s="702">
        <f t="shared" si="123"/>
        <v>-75.756820243494531</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1.0001115839933279</v>
      </c>
      <c r="N248" s="694">
        <f t="shared" si="110"/>
        <v>-1.4938113568496326E-2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5.8086611413860778</v>
      </c>
      <c r="X248" s="699">
        <f t="shared" si="116"/>
        <v>-106.62753767611716</v>
      </c>
      <c r="Y248" s="702">
        <f t="shared" si="117"/>
        <v>73.372462323882843</v>
      </c>
      <c r="AA248" s="174">
        <f t="shared" si="118"/>
        <v>1000000000</v>
      </c>
      <c r="AB248" s="174">
        <f t="shared" si="119"/>
        <v>226494975.0625</v>
      </c>
      <c r="AD248" s="701">
        <f t="shared" si="120"/>
        <v>27.613041157196122</v>
      </c>
      <c r="AE248" s="702">
        <f t="shared" si="121"/>
        <v>-9.3602856656398412</v>
      </c>
      <c r="AG248" s="701">
        <f t="shared" si="122"/>
        <v>3.7933170550897</v>
      </c>
      <c r="AH248" s="702">
        <f t="shared" si="123"/>
        <v>-75.720399006226401</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1.0001128665598402</v>
      </c>
      <c r="N249" s="694">
        <f t="shared" si="110"/>
        <v>-1.5023710936089707E-2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5.7574493251068883</v>
      </c>
      <c r="X249" s="699">
        <f t="shared" si="116"/>
        <v>-106.70909451918578</v>
      </c>
      <c r="Y249" s="702">
        <f t="shared" si="117"/>
        <v>73.290905480814217</v>
      </c>
      <c r="AA249" s="174">
        <f t="shared" si="118"/>
        <v>1000000000</v>
      </c>
      <c r="AB249" s="174">
        <f t="shared" si="119"/>
        <v>229098496</v>
      </c>
      <c r="AD249" s="701">
        <f t="shared" si="120"/>
        <v>27.612376742829756</v>
      </c>
      <c r="AE249" s="702">
        <f t="shared" si="121"/>
        <v>-9.3564433178828121</v>
      </c>
      <c r="AG249" s="701">
        <f t="shared" si="122"/>
        <v>3.7450757428641235</v>
      </c>
      <c r="AH249" s="702">
        <f t="shared" si="123"/>
        <v>-75.683735685164152</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1.0001141827016844</v>
      </c>
      <c r="N250" s="694">
        <f t="shared" si="110"/>
        <v>-1.5111044834940504E-2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5.7054836669686662</v>
      </c>
      <c r="X250" s="699">
        <f t="shared" si="116"/>
        <v>-106.79236559143037</v>
      </c>
      <c r="Y250" s="702">
        <f t="shared" si="117"/>
        <v>73.207634408569632</v>
      </c>
      <c r="AA250" s="174">
        <f t="shared" si="118"/>
        <v>1000000000</v>
      </c>
      <c r="AB250" s="174">
        <f t="shared" si="119"/>
        <v>231770176</v>
      </c>
      <c r="AD250" s="701">
        <f t="shared" si="120"/>
        <v>27.611703804187968</v>
      </c>
      <c r="AE250" s="702">
        <f t="shared" si="121"/>
        <v>-9.3528521056348612</v>
      </c>
      <c r="AG250" s="701">
        <f t="shared" si="122"/>
        <v>3.6961489013325188</v>
      </c>
      <c r="AH250" s="702">
        <f t="shared" si="123"/>
        <v>-75.646083485094309</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1.0001155064715894</v>
      </c>
      <c r="N251" s="694">
        <f t="shared" si="110"/>
        <v>-1.5198378503264142E-2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5.6538026952863882</v>
      </c>
      <c r="X251" s="699">
        <f t="shared" si="116"/>
        <v>-106.87569539849704</v>
      </c>
      <c r="Y251" s="702">
        <f t="shared" si="117"/>
        <v>73.124304601502956</v>
      </c>
      <c r="AA251" s="174">
        <f t="shared" si="118"/>
        <v>1000000000</v>
      </c>
      <c r="AB251" s="174">
        <f t="shared" si="119"/>
        <v>234457344</v>
      </c>
      <c r="AD251" s="701">
        <f t="shared" si="120"/>
        <v>27.611035721173558</v>
      </c>
      <c r="AE251" s="702">
        <f t="shared" si="121"/>
        <v>-9.3495876205699471</v>
      </c>
      <c r="AG251" s="701">
        <f t="shared" si="122"/>
        <v>3.6475150093128867</v>
      </c>
      <c r="AH251" s="702">
        <f t="shared" si="123"/>
        <v>-75.608188328575196</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1.0001168378695247</v>
      </c>
      <c r="N252" s="694">
        <f t="shared" si="110"/>
        <v>-1.5285711939729321E-2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5.6024030301988823</v>
      </c>
      <c r="X252" s="699">
        <f t="shared" si="116"/>
        <v>-106.95908264435069</v>
      </c>
      <c r="Y252" s="702">
        <f t="shared" si="117"/>
        <v>73.040917355649313</v>
      </c>
      <c r="AA252" s="174">
        <f t="shared" si="118"/>
        <v>1000000000</v>
      </c>
      <c r="AB252" s="174">
        <f t="shared" si="119"/>
        <v>237160000</v>
      </c>
      <c r="AD252" s="701">
        <f t="shared" si="120"/>
        <v>27.610372346314279</v>
      </c>
      <c r="AE252" s="702">
        <f t="shared" si="121"/>
        <v>-9.3466442787772728</v>
      </c>
      <c r="AG252" s="701">
        <f t="shared" si="122"/>
        <v>3.5991708243925724</v>
      </c>
      <c r="AH252" s="702">
        <f t="shared" si="123"/>
        <v>-75.570054634395746</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1.0001181768954597</v>
      </c>
      <c r="N253" s="694">
        <f t="shared" si="110"/>
        <v>-1.5373045143004764E-2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5.5512813503802665</v>
      </c>
      <c r="X253" s="699">
        <f t="shared" si="116"/>
        <v>-107.04252605999393</v>
      </c>
      <c r="Y253" s="702">
        <f t="shared" si="117"/>
        <v>72.957473940006068</v>
      </c>
      <c r="AA253" s="174">
        <f t="shared" si="118"/>
        <v>1000000000</v>
      </c>
      <c r="AB253" s="174">
        <f t="shared" si="119"/>
        <v>239878144</v>
      </c>
      <c r="AD253" s="701">
        <f t="shared" si="120"/>
        <v>27.609713536296326</v>
      </c>
      <c r="AE253" s="702">
        <f t="shared" si="121"/>
        <v>-9.3440166214824245</v>
      </c>
      <c r="AG253" s="701">
        <f t="shared" si="122"/>
        <v>3.5511131584873139</v>
      </c>
      <c r="AH253" s="702">
        <f t="shared" si="123"/>
        <v>-75.531686723017543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1.0001195580808657</v>
      </c>
      <c r="N254" s="694">
        <f t="shared" si="110"/>
        <v>-1.546261105389647E-2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5.4991379007494814</v>
      </c>
      <c r="X254" s="699">
        <f t="shared" si="116"/>
        <v>-107.1281600128607</v>
      </c>
      <c r="Y254" s="702">
        <f t="shared" si="117"/>
        <v>72.871839987139296</v>
      </c>
      <c r="AA254" s="174">
        <f t="shared" si="118"/>
        <v>1000000000</v>
      </c>
      <c r="AB254" s="174">
        <f t="shared" si="119"/>
        <v>242681873.0625</v>
      </c>
      <c r="AD254" s="701">
        <f t="shared" si="120"/>
        <v>27.609042477220083</v>
      </c>
      <c r="AE254" s="702">
        <f t="shared" si="121"/>
        <v>-9.3416440846643045</v>
      </c>
      <c r="AG254" s="701">
        <f t="shared" si="122"/>
        <v>3.5021210631457844</v>
      </c>
      <c r="AH254" s="702">
        <f t="shared" si="123"/>
        <v>-75.492098962461256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1.0001209472892612</v>
      </c>
      <c r="N255" s="694">
        <f t="shared" si="110"/>
        <v>-1.5552176716685339E-2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5.4472799404135488</v>
      </c>
      <c r="X255" s="699">
        <f t="shared" si="116"/>
        <v>-107.21385042510202</v>
      </c>
      <c r="Y255" s="702">
        <f t="shared" si="117"/>
        <v>72.786149574897976</v>
      </c>
      <c r="AA255" s="174">
        <f t="shared" si="118"/>
        <v>1000000000</v>
      </c>
      <c r="AB255" s="174">
        <f t="shared" si="119"/>
        <v>245501892.25</v>
      </c>
      <c r="AD255" s="701">
        <f t="shared" si="120"/>
        <v>27.608375926895476</v>
      </c>
      <c r="AE255" s="702">
        <f t="shared" si="121"/>
        <v>-9.3395923407996921</v>
      </c>
      <c r="AG255" s="701">
        <f t="shared" si="122"/>
        <v>3.4534237036964441</v>
      </c>
      <c r="AH255" s="702">
        <f t="shared" si="123"/>
        <v>-75.452273753678057</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1.0001223445206124</v>
      </c>
      <c r="N256" s="694">
        <f t="shared" si="110"/>
        <v>-1.5641742129935413E-2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5.3957040698321901</v>
      </c>
      <c r="X256" s="699">
        <f t="shared" si="116"/>
        <v>-107.29959601173815</v>
      </c>
      <c r="Y256" s="702">
        <f t="shared" si="117"/>
        <v>72.700403988261854</v>
      </c>
      <c r="AA256" s="174">
        <f t="shared" si="118"/>
        <v>1000000000</v>
      </c>
      <c r="AB256" s="174">
        <f t="shared" si="119"/>
        <v>248338201.5625</v>
      </c>
      <c r="AD256" s="701">
        <f t="shared" si="120"/>
        <v>27.607713743462568</v>
      </c>
      <c r="AE256" s="702">
        <f t="shared" si="121"/>
        <v>-9.3378558891710473</v>
      </c>
      <c r="AG256" s="701">
        <f t="shared" si="122"/>
        <v>3.4050178114353038</v>
      </c>
      <c r="AH256" s="702">
        <f t="shared" si="123"/>
        <v>-75.412215452620785</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1.0001237497748858</v>
      </c>
      <c r="N257" s="694">
        <f t="shared" si="110"/>
        <v>-1.5731307292210762E-2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5.3444069484559247</v>
      </c>
      <c r="X257" s="699">
        <f t="shared" si="116"/>
        <v>-107.38539551457525</v>
      </c>
      <c r="Y257" s="702">
        <f t="shared" si="117"/>
        <v>72.614604485424749</v>
      </c>
      <c r="AA257" s="174">
        <f t="shared" si="118"/>
        <v>1000000000</v>
      </c>
      <c r="AB257" s="174">
        <f t="shared" si="119"/>
        <v>251190801</v>
      </c>
      <c r="AD257" s="701">
        <f t="shared" si="120"/>
        <v>27.607055789073303</v>
      </c>
      <c r="AE257" s="702">
        <f t="shared" si="121"/>
        <v>-9.3364293526545836</v>
      </c>
      <c r="AG257" s="701">
        <f t="shared" si="122"/>
        <v>3.3569001725837118</v>
      </c>
      <c r="AH257" s="702">
        <f t="shared" si="123"/>
        <v>-75.371928318177567</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1.0001251944620753</v>
      </c>
      <c r="N258" s="694">
        <f t="shared" si="110"/>
        <v>-1.5822857017152882E-2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5.2922577147342666</v>
      </c>
      <c r="X258" s="699">
        <f t="shared" si="116"/>
        <v>-107.47315083044835</v>
      </c>
      <c r="Y258" s="702">
        <f t="shared" si="117"/>
        <v>72.526849169551653</v>
      </c>
      <c r="AA258" s="174">
        <f t="shared" si="118"/>
        <v>1000000000</v>
      </c>
      <c r="AB258" s="174">
        <f t="shared" si="119"/>
        <v>254123451.5625</v>
      </c>
      <c r="AD258" s="701">
        <f t="shared" si="120"/>
        <v>27.606387485178942</v>
      </c>
      <c r="AE258" s="702">
        <f t="shared" si="121"/>
        <v>-9.3352860237654092</v>
      </c>
      <c r="AG258" s="701">
        <f t="shared" si="122"/>
        <v>3.3080108311708423</v>
      </c>
      <c r="AH258" s="702">
        <f t="shared" si="123"/>
        <v>-75.330516233088517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1.0001266475316417</v>
      </c>
      <c r="N259" s="694">
        <f t="shared" si="110"/>
        <v>-1.5914406476839765E-2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5.2403928465874925</v>
      </c>
      <c r="X259" s="699">
        <f t="shared" si="116"/>
        <v>-107.56095990287345</v>
      </c>
      <c r="Y259" s="702">
        <f t="shared" si="117"/>
        <v>72.439040097126551</v>
      </c>
      <c r="AA259" s="174">
        <f t="shared" si="118"/>
        <v>1000000000</v>
      </c>
      <c r="AB259" s="174">
        <f t="shared" si="119"/>
        <v>257073122.25</v>
      </c>
      <c r="AD259" s="701">
        <f t="shared" si="120"/>
        <v>27.60572332085097</v>
      </c>
      <c r="AE259" s="702">
        <f t="shared" si="121"/>
        <v>-9.3344555177484914</v>
      </c>
      <c r="AG259" s="701">
        <f t="shared" si="122"/>
        <v>3.2594160408618675</v>
      </c>
      <c r="AH259" s="702">
        <f t="shared" si="123"/>
        <v>-75.288873759435504</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1.000128108983549</v>
      </c>
      <c r="N260" s="694">
        <f t="shared" si="110"/>
        <v>-1.6005955669737955E-2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5.1888089588184627</v>
      </c>
      <c r="X260" s="699">
        <f t="shared" si="116"/>
        <v>-107.64882147025526</v>
      </c>
      <c r="Y260" s="702">
        <f t="shared" si="117"/>
        <v>72.351178529744743</v>
      </c>
      <c r="AA260" s="174">
        <f t="shared" si="118"/>
        <v>1000000000</v>
      </c>
      <c r="AB260" s="174">
        <f t="shared" si="119"/>
        <v>260039813.0625</v>
      </c>
      <c r="AD260" s="701">
        <f t="shared" si="120"/>
        <v>27.605063161010534</v>
      </c>
      <c r="AE260" s="702">
        <f t="shared" si="121"/>
        <v>-9.3339324703343021</v>
      </c>
      <c r="AG260" s="701">
        <f t="shared" si="122"/>
        <v>3.2111125395369648</v>
      </c>
      <c r="AH260" s="702">
        <f t="shared" si="123"/>
        <v>-75.247005148525943</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1.00012957881776</v>
      </c>
      <c r="N261" s="694">
        <f t="shared" si="110"/>
        <v>-1.6097504594314038E-2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5.1375027248931913</v>
      </c>
      <c r="X261" s="699">
        <f t="shared" si="116"/>
        <v>-107.73673429717873</v>
      </c>
      <c r="Y261" s="702">
        <f t="shared" si="117"/>
        <v>72.263265702821272</v>
      </c>
      <c r="AA261" s="174">
        <f t="shared" si="118"/>
        <v>1000000000</v>
      </c>
      <c r="AB261" s="174">
        <f t="shared" si="119"/>
        <v>263023524</v>
      </c>
      <c r="AD261" s="701">
        <f t="shared" si="120"/>
        <v>27.6044068743977</v>
      </c>
      <c r="AE261" s="702">
        <f t="shared" si="121"/>
        <v>-9.3337116376926659</v>
      </c>
      <c r="AG261" s="701">
        <f t="shared" si="122"/>
        <v>3.1630971198633873</v>
      </c>
      <c r="AH261" s="702">
        <f t="shared" si="123"/>
        <v>-75.204914557124539</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1.0001310931930141</v>
      </c>
      <c r="N262" s="694">
        <f t="shared" si="110"/>
        <v>-1.6191286139668075E-2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5.0852295969101053</v>
      </c>
      <c r="X262" s="699">
        <f t="shared" si="116"/>
        <v>-107.82684322491833</v>
      </c>
      <c r="Y262" s="702">
        <f t="shared" si="117"/>
        <v>72.173156775081665</v>
      </c>
      <c r="AA262" s="174">
        <f t="shared" si="118"/>
        <v>1000000000</v>
      </c>
      <c r="AB262" s="174">
        <f t="shared" si="119"/>
        <v>266097656.25</v>
      </c>
      <c r="AD262" s="701">
        <f t="shared" si="120"/>
        <v>27.603738463550613</v>
      </c>
      <c r="AE262" s="702">
        <f t="shared" si="121"/>
        <v>-9.3337934218623211</v>
      </c>
      <c r="AG262" s="701">
        <f t="shared" si="122"/>
        <v>3.114206002969758</v>
      </c>
      <c r="AH262" s="702">
        <f t="shared" si="123"/>
        <v>-75.161571446663842</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1.0001326163643729</v>
      </c>
      <c r="N263" s="694">
        <f t="shared" si="110"/>
        <v>-1.6285067400194069E-2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5.0332409482531117</v>
      </c>
      <c r="X263" s="699">
        <f t="shared" si="116"/>
        <v>-107.9170033998795</v>
      </c>
      <c r="Y263" s="702">
        <f t="shared" si="117"/>
        <v>72.082996600120495</v>
      </c>
      <c r="AA263" s="174">
        <f t="shared" si="118"/>
        <v>1000000000</v>
      </c>
      <c r="AB263" s="174">
        <f t="shared" si="119"/>
        <v>269189649</v>
      </c>
      <c r="AD263" s="701">
        <f t="shared" si="120"/>
        <v>27.603073850067823</v>
      </c>
      <c r="AE263" s="702">
        <f t="shared" si="121"/>
        <v>-9.3341815760882767</v>
      </c>
      <c r="AG263" s="701">
        <f t="shared" si="122"/>
        <v>3.065610549390636</v>
      </c>
      <c r="AH263" s="702">
        <f t="shared" si="123"/>
        <v>-75.118003932969074</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1.0001341483317958</v>
      </c>
      <c r="N264" s="694">
        <f t="shared" si="110"/>
        <v>-1.6378848374243731E-2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4.9815333857800397</v>
      </c>
      <c r="X264" s="699">
        <f t="shared" si="116"/>
        <v>-108.00721357490093</v>
      </c>
      <c r="Y264" s="702">
        <f t="shared" si="117"/>
        <v>71.992786425099069</v>
      </c>
      <c r="AA264" s="174">
        <f t="shared" si="118"/>
        <v>1000000000</v>
      </c>
      <c r="AB264" s="174">
        <f t="shared" si="119"/>
        <v>272299502.25</v>
      </c>
      <c r="AD264" s="701">
        <f t="shared" si="120"/>
        <v>27.602412904491658</v>
      </c>
      <c r="AE264" s="702">
        <f t="shared" si="121"/>
        <v>-9.3348708348898839</v>
      </c>
      <c r="AG264" s="701">
        <f t="shared" si="122"/>
        <v>3.0173074822923587</v>
      </c>
      <c r="AH264" s="702">
        <f t="shared" si="123"/>
        <v>-75.074216192892308</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1.0001356890952426</v>
      </c>
      <c r="N265" s="694">
        <f t="shared" si="110"/>
        <v>-1.6472629060168786E-2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4.9301035752001701</v>
      </c>
      <c r="X265" s="699">
        <f t="shared" si="116"/>
        <v>-108.09747252863218</v>
      </c>
      <c r="Y265" s="702">
        <f t="shared" si="117"/>
        <v>71.902527471367819</v>
      </c>
      <c r="AA265" s="174">
        <f t="shared" si="118"/>
        <v>1000000000</v>
      </c>
      <c r="AB265" s="174">
        <f t="shared" si="119"/>
        <v>275427216</v>
      </c>
      <c r="AD265" s="701">
        <f t="shared" si="120"/>
        <v>27.601755501031331</v>
      </c>
      <c r="AE265" s="702">
        <f t="shared" si="121"/>
        <v>-9.335856051171211</v>
      </c>
      <c r="AG265" s="701">
        <f t="shared" si="122"/>
        <v>2.9692935799633697</v>
      </c>
      <c r="AH265" s="702">
        <f t="shared" si="123"/>
        <v>-75.030212310394248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1.0001372715446304</v>
      </c>
      <c r="N266" s="694">
        <f t="shared" si="110"/>
        <v>-1.6568394223466672E-2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4.8778685295437665</v>
      </c>
      <c r="X266" s="699">
        <f t="shared" si="116"/>
        <v>-108.18969081987686</v>
      </c>
      <c r="Y266" s="702">
        <f t="shared" si="117"/>
        <v>71.810309180123141</v>
      </c>
      <c r="AA266" s="174">
        <f t="shared" si="118"/>
        <v>1000000000</v>
      </c>
      <c r="AB266" s="174">
        <f t="shared" si="119"/>
        <v>278639556.25</v>
      </c>
      <c r="AD266" s="701">
        <f t="shared" si="120"/>
        <v>27.601087712601124</v>
      </c>
      <c r="AE266" s="702">
        <f t="shared" si="121"/>
        <v>-9.3371623089191029</v>
      </c>
      <c r="AG266" s="701">
        <f t="shared" si="122"/>
        <v>2.9205586278892488</v>
      </c>
      <c r="AH266" s="702">
        <f t="shared" si="123"/>
        <v>-74.985058226243183</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1.0001388631662143</v>
      </c>
      <c r="N267" s="694">
        <f t="shared" si="110"/>
        <v>-1.6664159082841343E-2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4.8259162713073271</v>
      </c>
      <c r="X267" s="699">
        <f t="shared" si="116"/>
        <v>-108.28195748153635</v>
      </c>
      <c r="Y267" s="702">
        <f t="shared" si="117"/>
        <v>71.718042518463648</v>
      </c>
      <c r="AA267" s="174">
        <f t="shared" si="118"/>
        <v>1000000000</v>
      </c>
      <c r="AB267" s="174">
        <f t="shared" si="119"/>
        <v>281870521</v>
      </c>
      <c r="AD267" s="701">
        <f t="shared" si="120"/>
        <v>27.600423363850929</v>
      </c>
      <c r="AE267" s="702">
        <f t="shared" si="121"/>
        <v>-9.3387666991936147</v>
      </c>
      <c r="AG267" s="701">
        <f t="shared" si="122"/>
        <v>2.8721185902180424</v>
      </c>
      <c r="AH267" s="702">
        <f t="shared" si="123"/>
        <v>-74.939687076372522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1.0001404639599507</v>
      </c>
      <c r="N268" s="694">
        <f t="shared" si="110"/>
        <v>-1.6759923636537739E-2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4.7742434313449875</v>
      </c>
      <c r="X268" s="699">
        <f t="shared" si="116"/>
        <v>-108.37427129191455</v>
      </c>
      <c r="Y268" s="702">
        <f t="shared" si="117"/>
        <v>71.625728708085447</v>
      </c>
      <c r="AA268" s="174">
        <f t="shared" si="118"/>
        <v>1000000000</v>
      </c>
      <c r="AB268" s="174">
        <f t="shared" si="119"/>
        <v>285120110.25</v>
      </c>
      <c r="AD268" s="701">
        <f t="shared" si="120"/>
        <v>27.599762331889387</v>
      </c>
      <c r="AE268" s="702">
        <f t="shared" si="121"/>
        <v>-9.340664102252358</v>
      </c>
      <c r="AG268" s="701">
        <f t="shared" si="122"/>
        <v>2.8239702064267829</v>
      </c>
      <c r="AH268" s="702">
        <f t="shared" si="123"/>
        <v>-74.8941029262635</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1.0001420739257958</v>
      </c>
      <c r="N269" s="694">
        <f t="shared" ref="N269:N332" si="142">-ATAN(G269/z_RHP)</f>
        <v>-1.6855687882800854E-2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4.7228466988163547</v>
      </c>
      <c r="X269" s="699">
        <f t="shared" ref="X269:X332" si="148">((L269+R269+N269+V269)-(J269+P269+T269))*radconv</f>
        <v>-108.4666310544432</v>
      </c>
      <c r="Y269" s="702">
        <f t="shared" ref="Y269:Y332" si="149">IF(X269&gt;0,X269,X269+180)</f>
        <v>71.533368945556802</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2.7761102707543515</v>
      </c>
      <c r="AH269" s="702">
        <f t="shared" ref="AH269:AH332" si="155">(L269+N269-(J269+V269))*radconv</f>
        <v>-74.848309751268488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1.0001437351321696</v>
      </c>
      <c r="N270" s="694">
        <f t="shared" si="142"/>
        <v>-1.6953932746763475E-2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4.670401964143883</v>
      </c>
      <c r="X270" s="699">
        <f t="shared" si="148"/>
        <v>-108.5614300817878</v>
      </c>
      <c r="Y270" s="702">
        <f t="shared" si="149"/>
        <v>71.438569918212195</v>
      </c>
      <c r="AA270" s="174">
        <f t="shared" si="150"/>
        <v>1000000000</v>
      </c>
      <c r="AB270" s="174">
        <f t="shared" si="151"/>
        <v>291760561</v>
      </c>
      <c r="AD270" s="701">
        <f t="shared" si="152"/>
        <v>27.598432821443012</v>
      </c>
      <c r="AE270" s="702">
        <f t="shared" si="153"/>
        <v>-9.3453857096443027</v>
      </c>
      <c r="AG270" s="701">
        <f t="shared" si="154"/>
        <v>2.7273068907124136</v>
      </c>
      <c r="AH270" s="702">
        <f t="shared" si="155"/>
        <v>-74.801117081266128</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1.0001454059919521</v>
      </c>
      <c r="N271" s="694">
        <f t="shared" si="142"/>
        <v>-1.7052177283415307E-2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4.6182409514120781</v>
      </c>
      <c r="X271" s="699">
        <f t="shared" si="148"/>
        <v>-108.65627499993586</v>
      </c>
      <c r="Y271" s="702">
        <f t="shared" si="149"/>
        <v>71.34372500006414</v>
      </c>
      <c r="AA271" s="174">
        <f t="shared" si="150"/>
        <v>1000000000</v>
      </c>
      <c r="AB271" s="174">
        <f t="shared" si="151"/>
        <v>295152400</v>
      </c>
      <c r="AD271" s="701">
        <f t="shared" si="152"/>
        <v>27.597764266882329</v>
      </c>
      <c r="AE271" s="702">
        <f t="shared" si="153"/>
        <v>-9.348214715877404</v>
      </c>
      <c r="AG271" s="701">
        <f t="shared" si="154"/>
        <v>2.6788004341000633</v>
      </c>
      <c r="AH271" s="702">
        <f t="shared" si="155"/>
        <v>-74.753712611860664</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1.0001470865050945</v>
      </c>
      <c r="N272" s="694">
        <f t="shared" si="142"/>
        <v>-1.7150421490861475E-2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4.5663602683612412</v>
      </c>
      <c r="X272" s="699">
        <f t="shared" si="148"/>
        <v>-108.75116459491085</v>
      </c>
      <c r="Y272" s="702">
        <f t="shared" si="149"/>
        <v>71.248835405089153</v>
      </c>
      <c r="AA272" s="174">
        <f t="shared" si="150"/>
        <v>1000000000</v>
      </c>
      <c r="AB272" s="174">
        <f t="shared" si="151"/>
        <v>298563841</v>
      </c>
      <c r="AD272" s="701">
        <f t="shared" si="152"/>
        <v>27.597098715337186</v>
      </c>
      <c r="AE272" s="702">
        <f t="shared" si="153"/>
        <v>-9.351331484213393</v>
      </c>
      <c r="AG272" s="701">
        <f t="shared" si="154"/>
        <v>2.6305876112439641</v>
      </c>
      <c r="AH272" s="702">
        <f t="shared" si="155"/>
        <v>-74.706100356061796</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1.0001487766715484</v>
      </c>
      <c r="N273" s="694">
        <f t="shared" si="142"/>
        <v>-1.7248665367207157E-2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4.5147565815784638</v>
      </c>
      <c r="X273" s="699">
        <f t="shared" si="148"/>
        <v>-108.84609767765535</v>
      </c>
      <c r="Y273" s="702">
        <f t="shared" si="149"/>
        <v>71.153902322344649</v>
      </c>
      <c r="AA273" s="174">
        <f t="shared" si="150"/>
        <v>1000000000</v>
      </c>
      <c r="AB273" s="174">
        <f t="shared" si="151"/>
        <v>301994884</v>
      </c>
      <c r="AD273" s="701">
        <f t="shared" si="152"/>
        <v>27.596436051882968</v>
      </c>
      <c r="AE273" s="702">
        <f t="shared" si="153"/>
        <v>-9.3547310805116304</v>
      </c>
      <c r="AG273" s="701">
        <f t="shared" si="154"/>
        <v>2.5826651878863065</v>
      </c>
      <c r="AH273" s="702">
        <f t="shared" si="155"/>
        <v>-74.658284237796636</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1.0001505152357202</v>
      </c>
      <c r="N274" s="694">
        <f t="shared" si="142"/>
        <v>-1.7349141714476098E-2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4.4622631808155226</v>
      </c>
      <c r="X274" s="699">
        <f t="shared" si="148"/>
        <v>-108.94323209818465</v>
      </c>
      <c r="Y274" s="702">
        <f t="shared" si="149"/>
        <v>71.056767901815348</v>
      </c>
      <c r="AA274" s="174">
        <f t="shared" si="150"/>
        <v>1000000000</v>
      </c>
      <c r="AB274" s="174">
        <f t="shared" si="151"/>
        <v>305524180.5625</v>
      </c>
      <c r="AD274" s="701">
        <f t="shared" si="152"/>
        <v>27.595761198818266</v>
      </c>
      <c r="AE274" s="702">
        <f t="shared" si="153"/>
        <v>-9.3584954566635297</v>
      </c>
      <c r="AG274" s="701">
        <f t="shared" si="154"/>
        <v>2.5339506791075399</v>
      </c>
      <c r="AH274" s="702">
        <f t="shared" si="155"/>
        <v>-74.609174523319865</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1.0001522638968725</v>
      </c>
      <c r="N275" s="694">
        <f t="shared" si="142"/>
        <v>-1.7449617711414716E-2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4.4100526402269233</v>
      </c>
      <c r="X275" s="699">
        <f t="shared" si="148"/>
        <v>-109.04040956684011</v>
      </c>
      <c r="Y275" s="702">
        <f t="shared" si="149"/>
        <v>70.959590433159889</v>
      </c>
      <c r="AA275" s="174">
        <f t="shared" si="150"/>
        <v>1000000000</v>
      </c>
      <c r="AB275" s="174">
        <f t="shared" si="151"/>
        <v>309073980.25</v>
      </c>
      <c r="AD275" s="701">
        <f t="shared" si="152"/>
        <v>27.595089133736334</v>
      </c>
      <c r="AE275" s="702">
        <f t="shared" si="153"/>
        <v>-9.3625455736097827</v>
      </c>
      <c r="AG275" s="701">
        <f t="shared" si="154"/>
        <v>2.4855332491750484</v>
      </c>
      <c r="AH275" s="702">
        <f t="shared" si="155"/>
        <v>-74.55985960195612</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1.0001540226549528</v>
      </c>
      <c r="N276" s="694">
        <f t="shared" si="142"/>
        <v>-1.7550093355996162E-2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4.3581215762346419</v>
      </c>
      <c r="X276" s="699">
        <f t="shared" si="148"/>
        <v>-109.13762888816069</v>
      </c>
      <c r="Y276" s="702">
        <f t="shared" si="149"/>
        <v>70.862371111839309</v>
      </c>
      <c r="AA276" s="174">
        <f t="shared" si="150"/>
        <v>1000000000</v>
      </c>
      <c r="AB276" s="174">
        <f t="shared" si="151"/>
        <v>312644283.0625</v>
      </c>
      <c r="AD276" s="701">
        <f t="shared" si="152"/>
        <v>27.594419743876276</v>
      </c>
      <c r="AE276" s="702">
        <f t="shared" si="153"/>
        <v>-9.3668765014389912</v>
      </c>
      <c r="AG276" s="701">
        <f t="shared" si="154"/>
        <v>2.4374096101671889</v>
      </c>
      <c r="AH276" s="702">
        <f t="shared" si="155"/>
        <v>-74.510343398173589</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1.0001557915099073</v>
      </c>
      <c r="N277" s="694">
        <f t="shared" si="142"/>
        <v>-1.7650568646193621E-2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4.3064666639179894</v>
      </c>
      <c r="X277" s="699">
        <f t="shared" si="148"/>
        <v>-109.23488889108721</v>
      </c>
      <c r="Y277" s="702">
        <f t="shared" si="149"/>
        <v>70.765111108912791</v>
      </c>
      <c r="AA277" s="174">
        <f t="shared" si="150"/>
        <v>1000000000</v>
      </c>
      <c r="AB277" s="174">
        <f t="shared" si="151"/>
        <v>316235089</v>
      </c>
      <c r="AD277" s="701">
        <f t="shared" si="152"/>
        <v>27.593752919680178</v>
      </c>
      <c r="AE277" s="702">
        <f t="shared" si="153"/>
        <v>-9.3714834211504883</v>
      </c>
      <c r="AG277" s="701">
        <f t="shared" si="154"/>
        <v>2.3895765295382816</v>
      </c>
      <c r="AH277" s="702">
        <f t="shared" si="155"/>
        <v>-74.460629749490693</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1.000157610108624</v>
      </c>
      <c r="N278" s="694">
        <f t="shared" si="142"/>
        <v>-1.7753276352223062E-2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4.2539458875509029</v>
      </c>
      <c r="X278" s="699">
        <f t="shared" si="148"/>
        <v>-109.33435108061791</v>
      </c>
      <c r="Y278" s="702">
        <f t="shared" si="149"/>
        <v>70.665648919382093</v>
      </c>
      <c r="AA278" s="174">
        <f t="shared" si="150"/>
        <v>1000000000</v>
      </c>
      <c r="AB278" s="174">
        <f t="shared" si="151"/>
        <v>319926882.25</v>
      </c>
      <c r="AD278" s="701">
        <f t="shared" si="152"/>
        <v>27.593073818152867</v>
      </c>
      <c r="AE278" s="702">
        <f t="shared" si="153"/>
        <v>-9.3764730717561626</v>
      </c>
      <c r="AG278" s="701">
        <f t="shared" si="154"/>
        <v>2.3409774977975801</v>
      </c>
      <c r="AH278" s="702">
        <f t="shared" si="155"/>
        <v>-74.409611185198756</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1.0001594392578379</v>
      </c>
      <c r="N279" s="694">
        <f t="shared" si="142"/>
        <v>-1.7855983683660401E-2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4.201706828555559</v>
      </c>
      <c r="X279" s="699">
        <f t="shared" si="148"/>
        <v>-109.43385338053898</v>
      </c>
      <c r="Y279" s="702">
        <f t="shared" si="149"/>
        <v>70.566146619461023</v>
      </c>
      <c r="AA279" s="174">
        <f t="shared" si="150"/>
        <v>1000000000</v>
      </c>
      <c r="AB279" s="174">
        <f t="shared" si="151"/>
        <v>323640100</v>
      </c>
      <c r="AD279" s="701">
        <f t="shared" si="152"/>
        <v>27.592397175861883</v>
      </c>
      <c r="AE279" s="702">
        <f t="shared" si="153"/>
        <v>-9.3817412751982232</v>
      </c>
      <c r="AG279" s="701">
        <f t="shared" si="154"/>
        <v>2.2926754227088981</v>
      </c>
      <c r="AH279" s="702">
        <f t="shared" si="155"/>
        <v>-74.358394144616028</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1.0001612789574907</v>
      </c>
      <c r="N280" s="694">
        <f t="shared" si="142"/>
        <v>-1.7958690638340831E-2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4.1497461168148826</v>
      </c>
      <c r="X280" s="699">
        <f t="shared" si="148"/>
        <v>-109.53339461478647</v>
      </c>
      <c r="Y280" s="702">
        <f t="shared" si="149"/>
        <v>70.466605385213526</v>
      </c>
      <c r="AA280" s="174">
        <f t="shared" si="150"/>
        <v>1000000000</v>
      </c>
      <c r="AB280" s="174">
        <f t="shared" si="151"/>
        <v>327374742.25</v>
      </c>
      <c r="AD280" s="701">
        <f t="shared" si="152"/>
        <v>27.591722885474045</v>
      </c>
      <c r="AE280" s="702">
        <f t="shared" si="153"/>
        <v>-9.3872832235299626</v>
      </c>
      <c r="AG280" s="701">
        <f t="shared" si="154"/>
        <v>2.2446670228814614</v>
      </c>
      <c r="AH280" s="702">
        <f t="shared" si="155"/>
        <v>-74.306982460681056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1.0001631292075248</v>
      </c>
      <c r="N281" s="694">
        <f t="shared" si="142"/>
        <v>-1.8061397214099571E-2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4.0980604405721612</v>
      </c>
      <c r="X281" s="699">
        <f t="shared" si="148"/>
        <v>-109.63297363114837</v>
      </c>
      <c r="Y281" s="702">
        <f t="shared" si="149"/>
        <v>70.367026368851626</v>
      </c>
      <c r="AA281" s="174">
        <f t="shared" si="150"/>
        <v>1000000000</v>
      </c>
      <c r="AB281" s="174">
        <f t="shared" si="151"/>
        <v>331130809</v>
      </c>
      <c r="AD281" s="701">
        <f t="shared" si="152"/>
        <v>27.591050842705375</v>
      </c>
      <c r="AE281" s="702">
        <f t="shared" si="153"/>
        <v>-9.3930942168770564</v>
      </c>
      <c r="AG281" s="701">
        <f t="shared" si="154"/>
        <v>2.1969490721512503</v>
      </c>
      <c r="AH281" s="702">
        <f t="shared" si="155"/>
        <v>-74.25537988162182</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1.0001650350852462</v>
      </c>
      <c r="N282" s="694">
        <f t="shared" si="142"/>
        <v>-1.816658422999845E-2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4.0454079984128803</v>
      </c>
      <c r="X282" s="699">
        <f t="shared" si="148"/>
        <v>-109.73499592028963</v>
      </c>
      <c r="Y282" s="702">
        <f t="shared" si="149"/>
        <v>70.265004079710366</v>
      </c>
      <c r="AA282" s="174">
        <f t="shared" si="150"/>
        <v>1000000000</v>
      </c>
      <c r="AB282" s="174">
        <f t="shared" si="151"/>
        <v>334999809</v>
      </c>
      <c r="AD282" s="701">
        <f t="shared" si="152"/>
        <v>27.59036479086387</v>
      </c>
      <c r="AE282" s="702">
        <f t="shared" si="153"/>
        <v>-9.399319643548198</v>
      </c>
      <c r="AG282" s="701">
        <f t="shared" si="154"/>
        <v>2.1483762570920675</v>
      </c>
      <c r="AH282" s="702">
        <f t="shared" si="155"/>
        <v>-74.202336826020613</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1.0001669520290599</v>
      </c>
      <c r="N283" s="694">
        <f t="shared" si="142"/>
        <v>-1.8271770843853261E-2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3.9930371895747419</v>
      </c>
      <c r="X283" s="699">
        <f t="shared" si="148"/>
        <v>-109.83705546642042</v>
      </c>
      <c r="Y283" s="702">
        <f t="shared" si="149"/>
        <v>70.162944533579577</v>
      </c>
      <c r="AA283" s="174">
        <f t="shared" si="150"/>
        <v>1000000000</v>
      </c>
      <c r="AB283" s="174">
        <f t="shared" si="151"/>
        <v>338891281</v>
      </c>
      <c r="AD283" s="701">
        <f t="shared" si="152"/>
        <v>27.589680884490004</v>
      </c>
      <c r="AE283" s="702">
        <f t="shared" si="153"/>
        <v>-9.4058176256131159</v>
      </c>
      <c r="AG283" s="701">
        <f t="shared" si="154"/>
        <v>2.1001014146542811</v>
      </c>
      <c r="AH283" s="702">
        <f t="shared" si="155"/>
        <v>-74.149101237721652</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1.0001688800389019</v>
      </c>
      <c r="N284" s="694">
        <f t="shared" si="142"/>
        <v>-1.8376957053338701E-2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3.9409446381888538</v>
      </c>
      <c r="X284" s="699">
        <f t="shared" si="148"/>
        <v>-109.93915110541525</v>
      </c>
      <c r="Y284" s="702">
        <f t="shared" si="149"/>
        <v>70.060848894584751</v>
      </c>
      <c r="AA284" s="174">
        <f t="shared" si="150"/>
        <v>1000000000</v>
      </c>
      <c r="AB284" s="174">
        <f t="shared" si="151"/>
        <v>342805225</v>
      </c>
      <c r="AD284" s="701">
        <f t="shared" si="152"/>
        <v>27.588999020847101</v>
      </c>
      <c r="AE284" s="702">
        <f t="shared" si="153"/>
        <v>-9.4125834473511105</v>
      </c>
      <c r="AG284" s="701">
        <f t="shared" si="154"/>
        <v>2.0521212513538138</v>
      </c>
      <c r="AH284" s="702">
        <f t="shared" si="155"/>
        <v>-74.095676882163744</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1.0001708191147083</v>
      </c>
      <c r="N285" s="694">
        <f t="shared" si="142"/>
        <v>-1.8482142856129532E-2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3.8891270268943616</v>
      </c>
      <c r="X285" s="699">
        <f t="shared" si="148"/>
        <v>-110.04128169664</v>
      </c>
      <c r="Y285" s="702">
        <f t="shared" si="149"/>
        <v>69.958718303360001</v>
      </c>
      <c r="AA285" s="174">
        <f t="shared" si="150"/>
        <v>1000000000</v>
      </c>
      <c r="AB285" s="174">
        <f t="shared" si="151"/>
        <v>346741641</v>
      </c>
      <c r="AD285" s="701">
        <f t="shared" si="152"/>
        <v>27.588319100123261</v>
      </c>
      <c r="AE285" s="702">
        <f t="shared" si="153"/>
        <v>-9.4196124991417616</v>
      </c>
      <c r="AG285" s="701">
        <f t="shared" si="154"/>
        <v>2.0044325291987635</v>
      </c>
      <c r="AH285" s="702">
        <f t="shared" si="155"/>
        <v>-74.042067441629342</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1.0001728153838942</v>
      </c>
      <c r="N286" s="694">
        <f t="shared" si="142"/>
        <v>-1.8589809032533468E-2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3.8363686427034267</v>
      </c>
      <c r="X286" s="699">
        <f t="shared" si="148"/>
        <v>-110.14585606009162</v>
      </c>
      <c r="Y286" s="702">
        <f t="shared" si="149"/>
        <v>69.854143939908383</v>
      </c>
      <c r="AA286" s="174">
        <f t="shared" si="150"/>
        <v>1000000000</v>
      </c>
      <c r="AB286" s="174">
        <f t="shared" si="151"/>
        <v>350794170.25</v>
      </c>
      <c r="AD286" s="701">
        <f t="shared" si="152"/>
        <v>27.587625054511822</v>
      </c>
      <c r="AE286" s="702">
        <f t="shared" si="153"/>
        <v>-9.4270752428583098</v>
      </c>
      <c r="AG286" s="701">
        <f t="shared" si="154"/>
        <v>1.9559175827974897</v>
      </c>
      <c r="AH286" s="702">
        <f t="shared" si="155"/>
        <v>-73.987005701932077</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1.0001748232470427</v>
      </c>
      <c r="N287" s="694">
        <f t="shared" si="142"/>
        <v>-1.8697474777903133E-2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3.783891469107747</v>
      </c>
      <c r="X287" s="699">
        <f t="shared" si="148"/>
        <v>-110.25046469823542</v>
      </c>
      <c r="Y287" s="702">
        <f t="shared" si="149"/>
        <v>69.749535301764581</v>
      </c>
      <c r="AA287" s="174">
        <f t="shared" si="150"/>
        <v>1000000000</v>
      </c>
      <c r="AB287" s="174">
        <f t="shared" si="151"/>
        <v>354870244</v>
      </c>
      <c r="AD287" s="701">
        <f t="shared" si="152"/>
        <v>27.586932841896967</v>
      </c>
      <c r="AE287" s="702">
        <f t="shared" si="153"/>
        <v>-9.4348043342316803</v>
      </c>
      <c r="AG287" s="701">
        <f t="shared" si="154"/>
        <v>1.9077012945921987</v>
      </c>
      <c r="AH287" s="702">
        <f t="shared" si="155"/>
        <v>-73.931757593997659</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1.0001768427040836</v>
      </c>
      <c r="N288" s="694">
        <f t="shared" si="142"/>
        <v>-1.8805140089745039E-2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3.7316921302654982</v>
      </c>
      <c r="X288" s="699">
        <f t="shared" si="148"/>
        <v>-110.35510646017275</v>
      </c>
      <c r="Y288" s="702">
        <f t="shared" si="149"/>
        <v>69.644893539827251</v>
      </c>
      <c r="AA288" s="174">
        <f t="shared" si="150"/>
        <v>1000000000</v>
      </c>
      <c r="AB288" s="174">
        <f t="shared" si="151"/>
        <v>358969862.25</v>
      </c>
      <c r="AD288" s="701">
        <f t="shared" si="152"/>
        <v>27.586242364128108</v>
      </c>
      <c r="AE288" s="702">
        <f t="shared" si="153"/>
        <v>-9.4427951560192263</v>
      </c>
      <c r="AG288" s="701">
        <f t="shared" si="154"/>
        <v>1.8597803646733286</v>
      </c>
      <c r="AH288" s="702">
        <f t="shared" si="155"/>
        <v>-73.876326811121515</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1.0001788737549471</v>
      </c>
      <c r="N289" s="694">
        <f t="shared" si="142"/>
        <v>-1.8912804965565733E-2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3.6797673088601703</v>
      </c>
      <c r="X289" s="699">
        <f t="shared" si="148"/>
        <v>-110.45978021808999</v>
      </c>
      <c r="Y289" s="702">
        <f t="shared" si="149"/>
        <v>69.540219781910011</v>
      </c>
      <c r="AA289" s="174">
        <f t="shared" si="150"/>
        <v>1000000000</v>
      </c>
      <c r="AB289" s="174">
        <f t="shared" si="151"/>
        <v>363093025</v>
      </c>
      <c r="AD289" s="701">
        <f t="shared" si="152"/>
        <v>27.585553525853612</v>
      </c>
      <c r="AE289" s="702">
        <f t="shared" si="153"/>
        <v>-9.4510431948987748</v>
      </c>
      <c r="AG289" s="701">
        <f t="shared" si="154"/>
        <v>1.8121515487592867</v>
      </c>
      <c r="AH289" s="702">
        <f t="shared" si="155"/>
        <v>-73.820716965153238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1.000180958881256</v>
      </c>
      <c r="N290" s="694">
        <f t="shared" si="142"/>
        <v>-1.9022702070875998E-2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3.6270454358629567</v>
      </c>
      <c r="X290" s="699">
        <f t="shared" si="148"/>
        <v>-110.56665648036018</v>
      </c>
      <c r="Y290" s="702">
        <f t="shared" si="149"/>
        <v>69.43334351963982</v>
      </c>
      <c r="AA290" s="174">
        <f t="shared" si="150"/>
        <v>1000000000</v>
      </c>
      <c r="AB290" s="174">
        <f t="shared" si="151"/>
        <v>367325973.0625</v>
      </c>
      <c r="AD290" s="701">
        <f t="shared" si="152"/>
        <v>27.584851997564517</v>
      </c>
      <c r="AE290" s="702">
        <f t="shared" si="153"/>
        <v>-9.4597229680136188</v>
      </c>
      <c r="AG290" s="701">
        <f t="shared" si="154"/>
        <v>1.763832989552887</v>
      </c>
      <c r="AH290" s="702">
        <f t="shared" si="155"/>
        <v>-73.763772916186909</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1.0001830560870739</v>
      </c>
      <c r="N291" s="694">
        <f t="shared" si="142"/>
        <v>-1.9132598716644196E-2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3.574602780176301</v>
      </c>
      <c r="X291" s="699">
        <f t="shared" si="148"/>
        <v>-110.67356377570673</v>
      </c>
      <c r="Y291" s="702">
        <f t="shared" si="149"/>
        <v>69.326436224293275</v>
      </c>
      <c r="AA291" s="174">
        <f t="shared" si="150"/>
        <v>1000000000</v>
      </c>
      <c r="AB291" s="174">
        <f t="shared" si="151"/>
        <v>371583452.25</v>
      </c>
      <c r="AD291" s="701">
        <f t="shared" si="152"/>
        <v>27.58415198522998</v>
      </c>
      <c r="AE291" s="702">
        <f t="shared" si="153"/>
        <v>-9.4686615529040079</v>
      </c>
      <c r="AG291" s="701">
        <f t="shared" si="154"/>
        <v>1.715812126548836</v>
      </c>
      <c r="AH291" s="702">
        <f t="shared" si="155"/>
        <v>-73.706649655369631</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1.0001851653723246</v>
      </c>
      <c r="N292" s="694">
        <f t="shared" si="142"/>
        <v>-1.9242494900218707E-2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3.522435993911758</v>
      </c>
      <c r="X292" s="699">
        <f t="shared" si="148"/>
        <v>-110.78050097510993</v>
      </c>
      <c r="Y292" s="702">
        <f t="shared" si="149"/>
        <v>69.219499024890069</v>
      </c>
      <c r="AA292" s="174">
        <f t="shared" si="150"/>
        <v>1000000000</v>
      </c>
      <c r="AB292" s="174">
        <f t="shared" si="151"/>
        <v>375865462.5625</v>
      </c>
      <c r="AD292" s="701">
        <f t="shared" si="152"/>
        <v>27.583453395869103</v>
      </c>
      <c r="AE292" s="702">
        <f t="shared" si="153"/>
        <v>-9.4778544660838318</v>
      </c>
      <c r="AG292" s="701">
        <f t="shared" si="154"/>
        <v>1.6680856807914115</v>
      </c>
      <c r="AH292" s="702">
        <f t="shared" si="155"/>
        <v>-73.649350775902391</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1.0001872867369317</v>
      </c>
      <c r="N293" s="694">
        <f t="shared" si="142"/>
        <v>-1.9352390618948008E-2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3.4705417870829214</v>
      </c>
      <c r="X293" s="699">
        <f t="shared" si="148"/>
        <v>-110.88746697198843</v>
      </c>
      <c r="Y293" s="702">
        <f t="shared" si="149"/>
        <v>69.112533028011569</v>
      </c>
      <c r="AA293" s="174">
        <f t="shared" si="150"/>
        <v>1000000000</v>
      </c>
      <c r="AB293" s="174">
        <f t="shared" si="151"/>
        <v>380172004</v>
      </c>
      <c r="AD293" s="701">
        <f t="shared" si="152"/>
        <v>27.58275613915022</v>
      </c>
      <c r="AE293" s="702">
        <f t="shared" si="153"/>
        <v>-9.487297324732145</v>
      </c>
      <c r="AG293" s="701">
        <f t="shared" si="154"/>
        <v>1.6206504284729935</v>
      </c>
      <c r="AH293" s="702">
        <f t="shared" si="155"/>
        <v>-73.591879792087894</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1.0001894781396561</v>
      </c>
      <c r="N294" s="694">
        <f t="shared" si="142"/>
        <v>-1.9465262710186917E-2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3.4175222270372156</v>
      </c>
      <c r="X294" s="699">
        <f t="shared" si="148"/>
        <v>-110.99735930652592</v>
      </c>
      <c r="Y294" s="702">
        <f t="shared" si="149"/>
        <v>69.002640693474078</v>
      </c>
      <c r="AA294" s="174">
        <f t="shared" si="150"/>
        <v>1000000000</v>
      </c>
      <c r="AB294" s="174">
        <f t="shared" si="151"/>
        <v>384620738.0625</v>
      </c>
      <c r="AD294" s="701">
        <f t="shared" si="152"/>
        <v>27.582041290217909</v>
      </c>
      <c r="AE294" s="702">
        <f t="shared" si="153"/>
        <v>-9.4972516645955913</v>
      </c>
      <c r="AG294" s="701">
        <f t="shared" si="154"/>
        <v>1.5722300511129403</v>
      </c>
      <c r="AH294" s="702">
        <f t="shared" si="155"/>
        <v>-73.532676482071963</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1.0001916822848478</v>
      </c>
      <c r="N295" s="694">
        <f t="shared" si="142"/>
        <v>-1.957813430538622E-2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3.3647833603890733</v>
      </c>
      <c r="X295" s="699">
        <f t="shared" si="148"/>
        <v>-111.10727972359813</v>
      </c>
      <c r="Y295" s="702">
        <f t="shared" si="149"/>
        <v>68.892720276401874</v>
      </c>
      <c r="AA295" s="174">
        <f t="shared" si="150"/>
        <v>1000000000</v>
      </c>
      <c r="AB295" s="174">
        <f t="shared" si="151"/>
        <v>389095350.25</v>
      </c>
      <c r="AD295" s="701">
        <f t="shared" si="152"/>
        <v>27.581327662141533</v>
      </c>
      <c r="AE295" s="702">
        <f t="shared" si="153"/>
        <v>-9.5074606163134323</v>
      </c>
      <c r="AG295" s="701">
        <f t="shared" si="154"/>
        <v>1.524110136221192</v>
      </c>
      <c r="AH295" s="702">
        <f t="shared" si="155"/>
        <v>-73.47329888624364</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1.0001938991724222</v>
      </c>
      <c r="N296" s="694">
        <f t="shared" si="142"/>
        <v>-1.9691005401673241E-2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3.3123218046028287</v>
      </c>
      <c r="X296" s="699">
        <f t="shared" si="148"/>
        <v>-111.21722709419957</v>
      </c>
      <c r="Y296" s="702">
        <f t="shared" si="149"/>
        <v>68.782772905800428</v>
      </c>
      <c r="AA296" s="174">
        <f t="shared" si="150"/>
        <v>1000000000</v>
      </c>
      <c r="AB296" s="174">
        <f t="shared" si="151"/>
        <v>393595840.5625</v>
      </c>
      <c r="AD296" s="701">
        <f t="shared" si="152"/>
        <v>27.580615165199191</v>
      </c>
      <c r="AE296" s="702">
        <f t="shared" si="153"/>
        <v>-9.5179197444617216</v>
      </c>
      <c r="AG296" s="701">
        <f t="shared" si="154"/>
        <v>1.4762873644731007</v>
      </c>
      <c r="AH296" s="702">
        <f t="shared" si="155"/>
        <v>-73.413750566729149</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1.0001961288022947</v>
      </c>
      <c r="N297" s="694">
        <f t="shared" si="142"/>
        <v>-1.9803875996175373E-2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3.2601342358661012</v>
      </c>
      <c r="X297" s="699">
        <f t="shared" si="148"/>
        <v>-111.32720031168509</v>
      </c>
      <c r="Y297" s="702">
        <f t="shared" si="149"/>
        <v>68.67279968831491</v>
      </c>
      <c r="AA297" s="174">
        <f t="shared" si="150"/>
        <v>1000000000</v>
      </c>
      <c r="AB297" s="174">
        <f t="shared" si="151"/>
        <v>398122209</v>
      </c>
      <c r="AD297" s="701">
        <f t="shared" si="152"/>
        <v>27.579903712239226</v>
      </c>
      <c r="AE297" s="702">
        <f t="shared" si="153"/>
        <v>-9.5286247135659856</v>
      </c>
      <c r="AG297" s="701">
        <f t="shared" si="154"/>
        <v>1.4287584725829492</v>
      </c>
      <c r="AH297" s="702">
        <f t="shared" si="155"/>
        <v>-73.354035007305669</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1.0001984156575066</v>
      </c>
      <c r="N298" s="694">
        <f t="shared" si="142"/>
        <v>-1.9918978676094486E-2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3.2071931696042677</v>
      </c>
      <c r="X298" s="699">
        <f t="shared" si="148"/>
        <v>-111.43937431785585</v>
      </c>
      <c r="Y298" s="702">
        <f t="shared" si="149"/>
        <v>68.560625682144149</v>
      </c>
      <c r="AA298" s="174">
        <f t="shared" si="150"/>
        <v>1000000000</v>
      </c>
      <c r="AB298" s="174">
        <f t="shared" si="151"/>
        <v>402764761</v>
      </c>
      <c r="AD298" s="701">
        <f t="shared" si="152"/>
        <v>27.579179173986152</v>
      </c>
      <c r="AE298" s="702">
        <f t="shared" si="153"/>
        <v>-9.539790219336556</v>
      </c>
      <c r="AG298" s="701">
        <f t="shared" si="154"/>
        <v>1.3805887797856227</v>
      </c>
      <c r="AH298" s="702">
        <f t="shared" si="155"/>
        <v>-73.292969558458111</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1.0002007157639135</v>
      </c>
      <c r="N299" s="694">
        <f t="shared" si="142"/>
        <v>-2.0034080828147977E-2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3.1545302358126888</v>
      </c>
      <c r="X299" s="699">
        <f t="shared" si="148"/>
        <v>-111.55157294748113</v>
      </c>
      <c r="Y299" s="702">
        <f t="shared" si="149"/>
        <v>68.448427052518866</v>
      </c>
      <c r="AA299" s="174">
        <f t="shared" si="150"/>
        <v>1000000000</v>
      </c>
      <c r="AB299" s="174">
        <f t="shared" si="151"/>
        <v>407434225</v>
      </c>
      <c r="AD299" s="701">
        <f t="shared" si="152"/>
        <v>27.578455546160079</v>
      </c>
      <c r="AE299" s="702">
        <f t="shared" si="153"/>
        <v>-9.5512025867533907</v>
      </c>
      <c r="AG299" s="701">
        <f t="shared" si="154"/>
        <v>1.3327180259975389</v>
      </c>
      <c r="AH299" s="702">
        <f t="shared" si="155"/>
        <v>-73.231737266291674</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1.0002030291214239</v>
      </c>
      <c r="N300" s="694">
        <f t="shared" si="142"/>
        <v>-2.0149182449289628E-2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3.1021420896452896</v>
      </c>
      <c r="X300" s="699">
        <f t="shared" si="148"/>
        <v>-111.66379509493105</v>
      </c>
      <c r="Y300" s="702">
        <f t="shared" si="149"/>
        <v>68.336204905068954</v>
      </c>
      <c r="AA300" s="174">
        <f t="shared" si="150"/>
        <v>1000000000</v>
      </c>
      <c r="AB300" s="174">
        <f t="shared" si="151"/>
        <v>412130601</v>
      </c>
      <c r="AD300" s="701">
        <f t="shared" si="152"/>
        <v>27.577732744047083</v>
      </c>
      <c r="AE300" s="702">
        <f t="shared" si="153"/>
        <v>-9.5628575213107947</v>
      </c>
      <c r="AG300" s="701">
        <f t="shared" si="154"/>
        <v>1.2851429224871973</v>
      </c>
      <c r="AH300" s="702">
        <f t="shared" si="155"/>
        <v>-73.170341587604298</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1.000205355729946</v>
      </c>
      <c r="N301" s="694">
        <f t="shared" si="142"/>
        <v>-2.0264283536473315E-2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3.0500254441368906</v>
      </c>
      <c r="X301" s="699">
        <f t="shared" si="148"/>
        <v>-111.77603967623176</v>
      </c>
      <c r="Y301" s="702">
        <f t="shared" si="149"/>
        <v>68.223960323768239</v>
      </c>
      <c r="AA301" s="174">
        <f t="shared" si="150"/>
        <v>1000000000</v>
      </c>
      <c r="AB301" s="174">
        <f t="shared" si="151"/>
        <v>416853889</v>
      </c>
      <c r="AD301" s="701">
        <f t="shared" si="152"/>
        <v>27.577010685356647</v>
      </c>
      <c r="AE301" s="702">
        <f t="shared" si="153"/>
        <v>-9.574750824941983</v>
      </c>
      <c r="AG301" s="701">
        <f t="shared" si="154"/>
        <v>1.2378602358597737</v>
      </c>
      <c r="AH301" s="702">
        <f t="shared" si="155"/>
        <v>-73.108785903579786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1.0002077562787721</v>
      </c>
      <c r="N302" s="694">
        <f t="shared" si="142"/>
        <v>-2.0382360817868823E-2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2.9968396927916658</v>
      </c>
      <c r="X302" s="699">
        <f t="shared" si="148"/>
        <v>-111.89120933239374</v>
      </c>
      <c r="Y302" s="702">
        <f t="shared" si="149"/>
        <v>68.108790667606257</v>
      </c>
      <c r="AA302" s="174">
        <f t="shared" si="150"/>
        <v>1000000000</v>
      </c>
      <c r="AB302" s="174">
        <f t="shared" si="151"/>
        <v>421727296</v>
      </c>
      <c r="AD302" s="701">
        <f t="shared" si="152"/>
        <v>27.576270641468092</v>
      </c>
      <c r="AE302" s="702">
        <f t="shared" si="153"/>
        <v>-9.5871951088116312</v>
      </c>
      <c r="AG302" s="701">
        <f t="shared" si="154"/>
        <v>1.1896552477468463</v>
      </c>
      <c r="AH302" s="702">
        <f t="shared" si="155"/>
        <v>-73.045475462505181</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1.000210170772672</v>
      </c>
      <c r="N303" s="694">
        <f t="shared" si="142"/>
        <v>-2.0500437530836645E-2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2.9439328402863563</v>
      </c>
      <c r="X303" s="699">
        <f t="shared" si="148"/>
        <v>-112.00640035418081</v>
      </c>
      <c r="Y303" s="702">
        <f t="shared" si="149"/>
        <v>67.993599645819188</v>
      </c>
      <c r="AA303" s="174">
        <f t="shared" si="150"/>
        <v>1000000000</v>
      </c>
      <c r="AB303" s="174">
        <f t="shared" si="151"/>
        <v>426629025</v>
      </c>
      <c r="AD303" s="701">
        <f t="shared" si="152"/>
        <v>27.575531211987091</v>
      </c>
      <c r="AE303" s="702">
        <f t="shared" si="153"/>
        <v>-9.5998816002190495</v>
      </c>
      <c r="AG303" s="701">
        <f t="shared" si="154"/>
        <v>1.1417512769072971</v>
      </c>
      <c r="AH303" s="702">
        <f t="shared" si="155"/>
        <v>-72.982003606473498</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1.0002125992115452</v>
      </c>
      <c r="N304" s="694">
        <f t="shared" si="142"/>
        <v>-2.0618513672088425E-2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2.8913015192779405</v>
      </c>
      <c r="X304" s="699">
        <f t="shared" si="148"/>
        <v>-112.12161163857476</v>
      </c>
      <c r="Y304" s="702">
        <f t="shared" si="149"/>
        <v>67.878388361425237</v>
      </c>
      <c r="AA304" s="174">
        <f t="shared" si="150"/>
        <v>1000000000</v>
      </c>
      <c r="AB304" s="174">
        <f t="shared" si="151"/>
        <v>431559076</v>
      </c>
      <c r="AD304" s="701">
        <f t="shared" si="152"/>
        <v>27.574792315497323</v>
      </c>
      <c r="AE304" s="702">
        <f t="shared" si="153"/>
        <v>-9.6128060657703429</v>
      </c>
      <c r="AG304" s="701">
        <f t="shared" si="154"/>
        <v>1.0941450060159559</v>
      </c>
      <c r="AH304" s="702">
        <f t="shared" si="155"/>
        <v>-72.918373751464841</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1.0002150415952895</v>
      </c>
      <c r="N305" s="694">
        <f t="shared" si="142"/>
        <v>-2.073658923833591E-2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2.8389424208517906</v>
      </c>
      <c r="X305" s="699">
        <f t="shared" si="148"/>
        <v>-112.23684210404411</v>
      </c>
      <c r="Y305" s="702">
        <f t="shared" si="149"/>
        <v>67.763157895955885</v>
      </c>
      <c r="AA305" s="174">
        <f t="shared" si="150"/>
        <v>1000000000</v>
      </c>
      <c r="AB305" s="174">
        <f t="shared" si="151"/>
        <v>436517449</v>
      </c>
      <c r="AD305" s="701">
        <f t="shared" si="152"/>
        <v>27.574053872922608</v>
      </c>
      <c r="AE305" s="702">
        <f t="shared" si="153"/>
        <v>-9.6259643673637978</v>
      </c>
      <c r="AG305" s="701">
        <f t="shared" si="154"/>
        <v>1.0468331737050196</v>
      </c>
      <c r="AH305" s="702">
        <f t="shared" si="155"/>
        <v>-72.85458923871775</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1.0002175548525463</v>
      </c>
      <c r="N306" s="694">
        <f t="shared" si="142"/>
        <v>-2.0857392843099599E-2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2.7856516838200336</v>
      </c>
      <c r="X306" s="699">
        <f t="shared" si="148"/>
        <v>-112.35475420349931</v>
      </c>
      <c r="Y306" s="702">
        <f t="shared" si="149"/>
        <v>67.645245796500689</v>
      </c>
      <c r="AA306" s="174">
        <f t="shared" si="150"/>
        <v>1000000000</v>
      </c>
      <c r="AB306" s="174">
        <f t="shared" si="151"/>
        <v>441619717.5625</v>
      </c>
      <c r="AD306" s="701">
        <f t="shared" si="152"/>
        <v>27.573298755172068</v>
      </c>
      <c r="AE306" s="702">
        <f t="shared" si="153"/>
        <v>-9.6396645329934909</v>
      </c>
      <c r="AG306" s="701">
        <f t="shared" si="154"/>
        <v>0.998729380392396</v>
      </c>
      <c r="AH306" s="702">
        <f t="shared" si="155"/>
        <v>-72.789174062446364</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1.0002200827064156</v>
      </c>
      <c r="N307" s="694">
        <f t="shared" si="142"/>
        <v>-2.0978195839012889E-2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2.7326390707498565</v>
      </c>
      <c r="X307" s="699">
        <f t="shared" si="148"/>
        <v>-112.47268415682093</v>
      </c>
      <c r="Y307" s="702">
        <f t="shared" si="149"/>
        <v>67.527315843179068</v>
      </c>
      <c r="AA307" s="174">
        <f t="shared" si="150"/>
        <v>1000000000</v>
      </c>
      <c r="AB307" s="174">
        <f t="shared" si="151"/>
        <v>446751632.25</v>
      </c>
      <c r="AD307" s="701">
        <f t="shared" si="152"/>
        <v>27.57254395226385</v>
      </c>
      <c r="AE307" s="702">
        <f t="shared" si="153"/>
        <v>-9.6536009978535162</v>
      </c>
      <c r="AG307" s="701">
        <f t="shared" si="154"/>
        <v>0.95092705880247219</v>
      </c>
      <c r="AH307" s="702">
        <f t="shared" si="155"/>
        <v>-72.72360384289604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1.0002226251567867</v>
      </c>
      <c r="N308" s="694">
        <f t="shared" si="142"/>
        <v>-2.1098998222554562E-2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2.6799012192728471</v>
      </c>
      <c r="X308" s="699">
        <f t="shared" si="148"/>
        <v>-112.59063087184769</v>
      </c>
      <c r="Y308" s="702">
        <f t="shared" si="149"/>
        <v>67.409369128152306</v>
      </c>
      <c r="AA308" s="174">
        <f t="shared" si="150"/>
        <v>1000000000</v>
      </c>
      <c r="AB308" s="174">
        <f t="shared" si="151"/>
        <v>451913193.0625</v>
      </c>
      <c r="AD308" s="701">
        <f t="shared" si="152"/>
        <v>27.571789386614171</v>
      </c>
      <c r="AE308" s="702">
        <f t="shared" si="153"/>
        <v>-9.6677696228054497</v>
      </c>
      <c r="AG308" s="701">
        <f t="shared" si="154"/>
        <v>0.90342288996463138</v>
      </c>
      <c r="AH308" s="702">
        <f t="shared" si="155"/>
        <v>-72.657881928851552</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1.0002251822035482</v>
      </c>
      <c r="N309" s="694">
        <f t="shared" si="142"/>
        <v>-2.121979999020351E-2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2.6274348253668967</v>
      </c>
      <c r="X309" s="699">
        <f t="shared" si="148"/>
        <v>-112.70859327750972</v>
      </c>
      <c r="Y309" s="702">
        <f t="shared" si="149"/>
        <v>67.291406722490279</v>
      </c>
      <c r="AA309" s="174">
        <f t="shared" si="150"/>
        <v>1000000000</v>
      </c>
      <c r="AB309" s="174">
        <f t="shared" si="151"/>
        <v>457104400</v>
      </c>
      <c r="AD309" s="701">
        <f t="shared" si="152"/>
        <v>27.571034982874462</v>
      </c>
      <c r="AE309" s="702">
        <f t="shared" si="153"/>
        <v>-9.6821663618473064</v>
      </c>
      <c r="AG309" s="701">
        <f t="shared" si="154"/>
        <v>0.8562136108794004</v>
      </c>
      <c r="AH309" s="702">
        <f t="shared" si="155"/>
        <v>-72.592011596014061</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1.0002278121015484</v>
      </c>
      <c r="N310" s="694">
        <f t="shared" si="142"/>
        <v>-2.1343329699287837E-2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2.5740607001525428</v>
      </c>
      <c r="X310" s="699">
        <f t="shared" si="148"/>
        <v>-112.82923526353889</v>
      </c>
      <c r="Y310" s="702">
        <f t="shared" si="149"/>
        <v>67.170764736461109</v>
      </c>
      <c r="AA310" s="174">
        <f t="shared" si="150"/>
        <v>1000000000</v>
      </c>
      <c r="AB310" s="174">
        <f t="shared" si="151"/>
        <v>462443520.25</v>
      </c>
      <c r="AD310" s="701">
        <f t="shared" si="152"/>
        <v>27.570263630407105</v>
      </c>
      <c r="AE310" s="702">
        <f t="shared" si="153"/>
        <v>-9.6971200641152109</v>
      </c>
      <c r="AG310" s="701">
        <f t="shared" si="154"/>
        <v>0.80823961674844524</v>
      </c>
      <c r="AH310" s="702">
        <f t="shared" si="155"/>
        <v>-72.524503285632491</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1.0002304572625338</v>
      </c>
      <c r="N311" s="694">
        <f t="shared" si="142"/>
        <v>-2.1466858756895791E-2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2.520963627042291</v>
      </c>
      <c r="X311" s="699">
        <f t="shared" si="148"/>
        <v>-112.94989145679665</v>
      </c>
      <c r="Y311" s="702">
        <f t="shared" si="149"/>
        <v>67.050108543203351</v>
      </c>
      <c r="AA311" s="174">
        <f t="shared" si="150"/>
        <v>1000000000</v>
      </c>
      <c r="AB311" s="174">
        <f t="shared" si="151"/>
        <v>467813641</v>
      </c>
      <c r="AD311" s="701">
        <f t="shared" si="152"/>
        <v>27.569492294718792</v>
      </c>
      <c r="AE311" s="702">
        <f t="shared" si="153"/>
        <v>-9.712304031477375</v>
      </c>
      <c r="AG311" s="701">
        <f t="shared" si="154"/>
        <v>0.76056725688077109</v>
      </c>
      <c r="AH311" s="702">
        <f t="shared" si="155"/>
        <v>-72.456846478871768</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1.000233117686383</v>
      </c>
      <c r="N312" s="694">
        <f t="shared" si="142"/>
        <v>-2.1590387159262599E-2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2.4681402537486825</v>
      </c>
      <c r="X312" s="699">
        <f t="shared" si="148"/>
        <v>-113.07056077676043</v>
      </c>
      <c r="Y312" s="702">
        <f t="shared" si="149"/>
        <v>66.929439223239569</v>
      </c>
      <c r="AA312" s="174">
        <f t="shared" si="150"/>
        <v>1000000000</v>
      </c>
      <c r="AB312" s="174">
        <f t="shared" si="151"/>
        <v>473214762.25</v>
      </c>
      <c r="AD312" s="701">
        <f t="shared" si="152"/>
        <v>27.568720902010956</v>
      </c>
      <c r="AE312" s="702">
        <f t="shared" si="153"/>
        <v>-9.7277142229299525</v>
      </c>
      <c r="AG312" s="701">
        <f t="shared" si="154"/>
        <v>0.7131932156345212</v>
      </c>
      <c r="AH312" s="702">
        <f t="shared" si="155"/>
        <v>-72.38904445443886</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1.0002357933729742</v>
      </c>
      <c r="N313" s="694">
        <f t="shared" si="142"/>
        <v>-2.1713914902623595E-2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2.4155872861340857</v>
      </c>
      <c r="X313" s="699">
        <f t="shared" si="148"/>
        <v>-113.19124216357557</v>
      </c>
      <c r="Y313" s="702">
        <f t="shared" si="149"/>
        <v>66.808757836424434</v>
      </c>
      <c r="AA313" s="174">
        <f t="shared" si="150"/>
        <v>1000000000</v>
      </c>
      <c r="AB313" s="174">
        <f t="shared" si="151"/>
        <v>478646884</v>
      </c>
      <c r="AD313" s="701">
        <f t="shared" si="152"/>
        <v>27.567949380615833</v>
      </c>
      <c r="AE313" s="702">
        <f t="shared" si="153"/>
        <v>-9.7433466883142668</v>
      </c>
      <c r="AG313" s="701">
        <f t="shared" si="154"/>
        <v>0.66611423323795305</v>
      </c>
      <c r="AH313" s="702">
        <f t="shared" si="155"/>
        <v>-72.321100419714199</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1.0002385439331076</v>
      </c>
      <c r="N314" s="694">
        <f t="shared" si="142"/>
        <v>-2.1840170485516407E-2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2.3621495711897325</v>
      </c>
      <c r="X314" s="699">
        <f t="shared" si="148"/>
        <v>-113.31460059086929</v>
      </c>
      <c r="Y314" s="702">
        <f t="shared" si="149"/>
        <v>66.68539940913071</v>
      </c>
      <c r="AA314" s="174">
        <f t="shared" si="150"/>
        <v>1000000000</v>
      </c>
      <c r="AB314" s="174">
        <f t="shared" si="151"/>
        <v>484231027.5625</v>
      </c>
      <c r="AD314" s="701">
        <f t="shared" si="152"/>
        <v>27.567160612151142</v>
      </c>
      <c r="AE314" s="702">
        <f t="shared" si="153"/>
        <v>-9.7595501221248284</v>
      </c>
      <c r="AG314" s="701">
        <f t="shared" si="154"/>
        <v>0.61829692430260363</v>
      </c>
      <c r="AH314" s="702">
        <f t="shared" si="155"/>
        <v>-72.251512129312331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1.0002413104374279</v>
      </c>
      <c r="N315" s="694">
        <f t="shared" si="142"/>
        <v>-2.1966425372017071E-2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2.3089875611172679</v>
      </c>
      <c r="X315" s="699">
        <f t="shared" si="148"/>
        <v>-113.43796944881913</v>
      </c>
      <c r="Y315" s="702">
        <f t="shared" si="149"/>
        <v>66.562030551180868</v>
      </c>
      <c r="AA315" s="174">
        <f t="shared" si="150"/>
        <v>1000000000</v>
      </c>
      <c r="AB315" s="174">
        <f t="shared" si="151"/>
        <v>489847556.25</v>
      </c>
      <c r="AD315" s="701">
        <f t="shared" si="152"/>
        <v>27.566371564365721</v>
      </c>
      <c r="AE315" s="702">
        <f t="shared" si="153"/>
        <v>-9.7759776927868174</v>
      </c>
      <c r="AG315" s="701">
        <f t="shared" si="154"/>
        <v>0.57078114015066006</v>
      </c>
      <c r="AH315" s="702">
        <f t="shared" si="155"/>
        <v>-72.181782041593763</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1.000244092885803</v>
      </c>
      <c r="N316" s="694">
        <f t="shared" si="142"/>
        <v>-2.2092679558106305E-2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2.2560979184463155</v>
      </c>
      <c r="X316" s="699">
        <f t="shared" si="148"/>
        <v>-113.56134766915844</v>
      </c>
      <c r="Y316" s="702">
        <f t="shared" si="149"/>
        <v>66.438652330841563</v>
      </c>
      <c r="AA316" s="174">
        <f t="shared" si="150"/>
        <v>1000000000</v>
      </c>
      <c r="AB316" s="174">
        <f t="shared" si="151"/>
        <v>495496470.0625</v>
      </c>
      <c r="AD316" s="701">
        <f t="shared" si="152"/>
        <v>27.5655821671822</v>
      </c>
      <c r="AE316" s="702">
        <f t="shared" si="153"/>
        <v>-9.7926254604733707</v>
      </c>
      <c r="AG316" s="701">
        <f t="shared" si="154"/>
        <v>0.52356357308414714</v>
      </c>
      <c r="AH316" s="702">
        <f t="shared" si="155"/>
        <v>-72.111913362929513</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1.0002468912780993</v>
      </c>
      <c r="N317" s="694">
        <f t="shared" si="142"/>
        <v>-2.2218933039764955E-2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2.2034773635546392</v>
      </c>
      <c r="X317" s="699">
        <f t="shared" si="148"/>
        <v>-113.68473420384295</v>
      </c>
      <c r="Y317" s="702">
        <f t="shared" si="149"/>
        <v>66.31526579615705</v>
      </c>
      <c r="AA317" s="174">
        <f t="shared" si="150"/>
        <v>1000000000</v>
      </c>
      <c r="AB317" s="174">
        <f t="shared" si="151"/>
        <v>501177769</v>
      </c>
      <c r="AD317" s="701">
        <f t="shared" si="152"/>
        <v>27.564792352550857</v>
      </c>
      <c r="AE317" s="702">
        <f t="shared" si="153"/>
        <v>-9.809489573801228</v>
      </c>
      <c r="AG317" s="701">
        <f t="shared" si="154"/>
        <v>0.47664097106717174</v>
      </c>
      <c r="AH317" s="702">
        <f t="shared" si="155"/>
        <v>-72.041909230200233</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1.0002497777019044</v>
      </c>
      <c r="N318" s="694">
        <f t="shared" si="142"/>
        <v>-2.2348410334213881E-2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2.1497889738737097</v>
      </c>
      <c r="X318" s="699">
        <f t="shared" si="148"/>
        <v>-113.81127962308396</v>
      </c>
      <c r="Y318" s="702">
        <f t="shared" si="149"/>
        <v>66.188720376916038</v>
      </c>
      <c r="AA318" s="174">
        <f t="shared" si="150"/>
        <v>1000000000</v>
      </c>
      <c r="AB318" s="174">
        <f t="shared" si="151"/>
        <v>507037806.25</v>
      </c>
      <c r="AD318" s="701">
        <f t="shared" si="152"/>
        <v>27.563981863044802</v>
      </c>
      <c r="AE318" s="702">
        <f t="shared" si="153"/>
        <v>-9.8270051620790486</v>
      </c>
      <c r="AG318" s="701">
        <f t="shared" si="154"/>
        <v>0.4288229652887009</v>
      </c>
      <c r="AH318" s="702">
        <f t="shared" si="155"/>
        <v>-71.969979699733827</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1.0002526808941699</v>
      </c>
      <c r="N319" s="694">
        <f t="shared" si="142"/>
        <v>-2.2477886879228349E-2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2.0963767869919647</v>
      </c>
      <c r="X319" s="699">
        <f t="shared" si="148"/>
        <v>-113.9378316170524</v>
      </c>
      <c r="Y319" s="702">
        <f t="shared" si="149"/>
        <v>66.062168382947604</v>
      </c>
      <c r="AA319" s="174">
        <f t="shared" si="150"/>
        <v>1000000000</v>
      </c>
      <c r="AB319" s="174">
        <f t="shared" si="151"/>
        <v>512931904</v>
      </c>
      <c r="AD319" s="701">
        <f t="shared" si="152"/>
        <v>27.563170795778564</v>
      </c>
      <c r="AE319" s="702">
        <f t="shared" si="153"/>
        <v>-9.844740358227531</v>
      </c>
      <c r="AG319" s="701">
        <f t="shared" si="154"/>
        <v>0.38130843029520489</v>
      </c>
      <c r="AH319" s="702">
        <f t="shared" si="155"/>
        <v>-71.897914174421501</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1.0002556008547492</v>
      </c>
      <c r="N320" s="694">
        <f t="shared" si="142"/>
        <v>-2.2607362670473759E-2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2.043237446532324</v>
      </c>
      <c r="X320" s="699">
        <f t="shared" si="148"/>
        <v>-114.06438911809956</v>
      </c>
      <c r="Y320" s="702">
        <f t="shared" si="149"/>
        <v>65.935610881900445</v>
      </c>
      <c r="AA320" s="174">
        <f t="shared" si="150"/>
        <v>1000000000</v>
      </c>
      <c r="AB320" s="174">
        <f t="shared" si="151"/>
        <v>518860062.25</v>
      </c>
      <c r="AD320" s="701">
        <f t="shared" si="152"/>
        <v>27.562359083560118</v>
      </c>
      <c r="AE320" s="702">
        <f t="shared" si="153"/>
        <v>-9.8626912819422117</v>
      </c>
      <c r="AG320" s="701">
        <f t="shared" si="154"/>
        <v>0.33409403274667487</v>
      </c>
      <c r="AH320" s="702">
        <f t="shared" si="155"/>
        <v>-71.825715822488789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1.000258537583496</v>
      </c>
      <c r="N321" s="694">
        <f t="shared" si="142"/>
        <v>-2.2736837703615682E-2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1.9903676544460582</v>
      </c>
      <c r="X321" s="699">
        <f t="shared" si="148"/>
        <v>-114.19095107863843</v>
      </c>
      <c r="Y321" s="702">
        <f t="shared" si="149"/>
        <v>65.809048921361565</v>
      </c>
      <c r="AA321" s="174">
        <f t="shared" si="150"/>
        <v>1000000000</v>
      </c>
      <c r="AB321" s="174">
        <f t="shared" si="151"/>
        <v>524822281</v>
      </c>
      <c r="AD321" s="701">
        <f t="shared" si="152"/>
        <v>27.561546661153088</v>
      </c>
      <c r="AE321" s="702">
        <f t="shared" si="153"/>
        <v>-9.8808541401852743</v>
      </c>
      <c r="AG321" s="701">
        <f t="shared" si="154"/>
        <v>0.28717649550553881</v>
      </c>
      <c r="AH321" s="702">
        <f t="shared" si="155"/>
        <v>-71.753387743536493</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1.0002615534990966</v>
      </c>
      <c r="N322" s="694">
        <f t="shared" si="142"/>
        <v>-2.2869040351100621E-2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1.936658508991884</v>
      </c>
      <c r="X322" s="699">
        <f t="shared" si="148"/>
        <v>-114.32018358698308</v>
      </c>
      <c r="Y322" s="702">
        <f t="shared" si="149"/>
        <v>65.679816413016923</v>
      </c>
      <c r="AA322" s="174">
        <f t="shared" si="150"/>
        <v>1000000000</v>
      </c>
      <c r="AB322" s="174">
        <f t="shared" si="151"/>
        <v>530945285.0625</v>
      </c>
      <c r="AD322" s="701">
        <f t="shared" si="152"/>
        <v>27.560716320126932</v>
      </c>
      <c r="AE322" s="702">
        <f t="shared" si="153"/>
        <v>-9.8996145686308683</v>
      </c>
      <c r="AG322" s="701">
        <f t="shared" si="154"/>
        <v>0.2395732364389761</v>
      </c>
      <c r="AH322" s="702">
        <f t="shared" si="155"/>
        <v>-71.679404804328229</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1.0002645868967028</v>
      </c>
      <c r="N323" s="694">
        <f t="shared" si="142"/>
        <v>-2.3001242199061873E-2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1.8832236226145185</v>
      </c>
      <c r="X323" s="699">
        <f t="shared" si="148"/>
        <v>-114.44941859898316</v>
      </c>
      <c r="Y323" s="702">
        <f t="shared" si="149"/>
        <v>65.550581401016842</v>
      </c>
      <c r="AA323" s="174">
        <f t="shared" si="150"/>
        <v>1000000000</v>
      </c>
      <c r="AB323" s="174">
        <f t="shared" si="151"/>
        <v>537103800.25</v>
      </c>
      <c r="AD323" s="701">
        <f t="shared" si="152"/>
        <v>27.559885107156163</v>
      </c>
      <c r="AE323" s="702">
        <f t="shared" si="153"/>
        <v>-9.9185882330056234</v>
      </c>
      <c r="AG323" s="701">
        <f t="shared" si="154"/>
        <v>0.19227274916221182</v>
      </c>
      <c r="AH323" s="702">
        <f t="shared" si="155"/>
        <v>-71.605292933824941</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1.0002676377761559</v>
      </c>
      <c r="N324" s="694">
        <f t="shared" si="142"/>
        <v>-2.313344324288567E-2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1.8300596640785325</v>
      </c>
      <c r="X324" s="699">
        <f t="shared" si="148"/>
        <v>-114.57865506075477</v>
      </c>
      <c r="Y324" s="702">
        <f t="shared" si="149"/>
        <v>65.42134493924523</v>
      </c>
      <c r="AA324" s="174">
        <f t="shared" si="150"/>
        <v>1000000000</v>
      </c>
      <c r="AB324" s="174">
        <f t="shared" si="151"/>
        <v>543297826.5625</v>
      </c>
      <c r="AD324" s="701">
        <f t="shared" si="152"/>
        <v>27.559052958687367</v>
      </c>
      <c r="AE324" s="702">
        <f t="shared" si="153"/>
        <v>-9.9377713614133683</v>
      </c>
      <c r="AG324" s="701">
        <f t="shared" si="154"/>
        <v>0.14527171826578564</v>
      </c>
      <c r="AH324" s="702">
        <f t="shared" si="155"/>
        <v>-71.531055222439107</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1.0002707061372955</v>
      </c>
      <c r="N325" s="694">
        <f t="shared" si="142"/>
        <v>-2.3265643477958405E-2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1.7771633599446668</v>
      </c>
      <c r="X325" s="699">
        <f t="shared" si="148"/>
        <v>-114.70789193798103</v>
      </c>
      <c r="Y325" s="702">
        <f t="shared" si="149"/>
        <v>65.292108062018968</v>
      </c>
      <c r="AA325" s="174">
        <f t="shared" si="150"/>
        <v>1000000000</v>
      </c>
      <c r="AB325" s="174">
        <f t="shared" si="151"/>
        <v>549527364</v>
      </c>
      <c r="AD325" s="701">
        <f t="shared" si="152"/>
        <v>27.558219813020735</v>
      </c>
      <c r="AE325" s="702">
        <f t="shared" si="153"/>
        <v>-9.9571602665700993</v>
      </c>
      <c r="AG325" s="701">
        <f t="shared" si="154"/>
        <v>9.8566884103202718E-2</v>
      </c>
      <c r="AH325" s="702">
        <f t="shared" si="155"/>
        <v>-71.456694693977056</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1.000273867462804</v>
      </c>
      <c r="N326" s="694">
        <f t="shared" si="142"/>
        <v>-2.3401067265605962E-2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1.7232510659232234</v>
      </c>
      <c r="X326" s="699">
        <f t="shared" si="148"/>
        <v>-114.84028030378785</v>
      </c>
      <c r="Y326" s="702">
        <f t="shared" si="149"/>
        <v>65.15971969621215</v>
      </c>
      <c r="AA326" s="174">
        <f t="shared" si="150"/>
        <v>1000000000</v>
      </c>
      <c r="AB326" s="174">
        <f t="shared" si="151"/>
        <v>555945662.25</v>
      </c>
      <c r="AD326" s="701">
        <f t="shared" si="152"/>
        <v>27.557365250138901</v>
      </c>
      <c r="AE326" s="702">
        <f t="shared" si="153"/>
        <v>-9.9772316703369572</v>
      </c>
      <c r="AG326" s="701">
        <f t="shared" si="154"/>
        <v>5.1026678916031451E-2</v>
      </c>
      <c r="AH326" s="702">
        <f t="shared" si="155"/>
        <v>-71.380396239903774</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1.0002770471328211</v>
      </c>
      <c r="N327" s="694">
        <f t="shared" si="142"/>
        <v>-2.3536490194769721E-2</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1.6696128681884292</v>
      </c>
      <c r="X327" s="699">
        <f t="shared" si="148"/>
        <v>-114.97266696903496</v>
      </c>
      <c r="Y327" s="702">
        <f t="shared" si="149"/>
        <v>65.027333030965039</v>
      </c>
      <c r="AA327" s="174">
        <f t="shared" si="150"/>
        <v>1000000000</v>
      </c>
      <c r="AB327" s="174">
        <f t="shared" si="151"/>
        <v>562401225</v>
      </c>
      <c r="AD327" s="701">
        <f t="shared" si="152"/>
        <v>27.556509515447061</v>
      </c>
      <c r="AE327" s="702">
        <f t="shared" si="153"/>
        <v>-9.997511440091138</v>
      </c>
      <c r="AG327" s="701">
        <f t="shared" si="154"/>
        <v>3.7905446690821103E-3</v>
      </c>
      <c r="AH327" s="702">
        <f t="shared" si="155"/>
        <v>-71.303975121898773</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1.0002802451471722</v>
      </c>
      <c r="N328" s="694">
        <f t="shared" si="142"/>
        <v>-2.3671912260490754E-2</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1.6162454280329153</v>
      </c>
      <c r="X328" s="699">
        <f t="shared" si="148"/>
        <v>-115.10505088238698</v>
      </c>
      <c r="Y328" s="702">
        <f t="shared" si="149"/>
        <v>64.894949117613024</v>
      </c>
      <c r="AA328" s="174">
        <f t="shared" si="150"/>
        <v>1000000000</v>
      </c>
      <c r="AB328" s="174">
        <f t="shared" si="151"/>
        <v>568894052.25</v>
      </c>
      <c r="AD328" s="701">
        <f t="shared" si="152"/>
        <v>27.555652548271219</v>
      </c>
      <c r="AE328" s="702">
        <f t="shared" si="153"/>
        <v>-10.017995872999327</v>
      </c>
      <c r="AG328" s="701">
        <f t="shared" si="154"/>
        <v>-4.3144848745644705E-2</v>
      </c>
      <c r="AH328" s="702">
        <f t="shared" si="155"/>
        <v>-71.227434384973336</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1.0002834615056808</v>
      </c>
      <c r="N329" s="694">
        <f t="shared" si="142"/>
        <v>-2.3807333457810317E-2</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1.5631454647704246</v>
      </c>
      <c r="X329" s="699">
        <f t="shared" si="148"/>
        <v>-115.23743101185423</v>
      </c>
      <c r="Y329" s="702">
        <f t="shared" si="149"/>
        <v>64.762568988145773</v>
      </c>
      <c r="AA329" s="174">
        <f t="shared" si="150"/>
        <v>1000000000</v>
      </c>
      <c r="AB329" s="174">
        <f t="shared" si="151"/>
        <v>575424144</v>
      </c>
      <c r="AD329" s="701">
        <f t="shared" si="152"/>
        <v>27.55479428971741</v>
      </c>
      <c r="AE329" s="702">
        <f t="shared" si="153"/>
        <v>-10.038681349340679</v>
      </c>
      <c r="AG329" s="701">
        <f t="shared" si="154"/>
        <v>-8.9782775386224201E-2</v>
      </c>
      <c r="AH329" s="702">
        <f t="shared" si="155"/>
        <v>-71.150777008632929</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1.0002867734484753</v>
      </c>
      <c r="N330" s="694">
        <f t="shared" si="142"/>
        <v>-2.3945978064512003E-2</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1.5090549559162088</v>
      </c>
      <c r="X330" s="699">
        <f t="shared" si="148"/>
        <v>-115.37295807122698</v>
      </c>
      <c r="Y330" s="702">
        <f t="shared" si="149"/>
        <v>64.627041928773025</v>
      </c>
      <c r="AA330" s="174">
        <f t="shared" si="150"/>
        <v>1000000000</v>
      </c>
      <c r="AB330" s="174">
        <f t="shared" si="151"/>
        <v>582148320.0625</v>
      </c>
      <c r="AD330" s="701">
        <f t="shared" si="152"/>
        <v>27.553914198880062</v>
      </c>
      <c r="AE330" s="702">
        <f t="shared" si="153"/>
        <v>-10.06006392261907</v>
      </c>
      <c r="AG330" s="701">
        <f t="shared" si="154"/>
        <v>-0.13722631523956791</v>
      </c>
      <c r="AH330" s="702">
        <f t="shared" si="155"/>
        <v>-71.072176662865743</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1.0002901046189818</v>
      </c>
      <c r="N331" s="694">
        <f t="shared" si="142"/>
        <v>-2.4084621750448971E-2</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1.4552380338326578</v>
      </c>
      <c r="X331" s="699">
        <f t="shared" si="148"/>
        <v>-115.50847903513427</v>
      </c>
      <c r="Y331" s="702">
        <f t="shared" si="149"/>
        <v>64.491520964865728</v>
      </c>
      <c r="AA331" s="174">
        <f t="shared" si="150"/>
        <v>1000000000</v>
      </c>
      <c r="AB331" s="174">
        <f t="shared" si="151"/>
        <v>588911556.25</v>
      </c>
      <c r="AD331" s="701">
        <f t="shared" si="152"/>
        <v>27.553032634966534</v>
      </c>
      <c r="AE331" s="702">
        <f t="shared" si="153"/>
        <v>-10.081649805101437</v>
      </c>
      <c r="AG331" s="701">
        <f t="shared" si="154"/>
        <v>-0.18436482535860033</v>
      </c>
      <c r="AH331" s="702">
        <f t="shared" si="155"/>
        <v>-70.993460175228137</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1.0002934550170079</v>
      </c>
      <c r="N332" s="694">
        <f t="shared" si="142"/>
        <v>-2.4223264510300407E-2</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1.4016913583544108</v>
      </c>
      <c r="X332" s="699">
        <f t="shared" si="148"/>
        <v>-115.643992855836</v>
      </c>
      <c r="Y332" s="702">
        <f t="shared" si="149"/>
        <v>64.356007144163996</v>
      </c>
      <c r="AA332" s="174">
        <f t="shared" si="150"/>
        <v>1000000000</v>
      </c>
      <c r="AB332" s="174">
        <f t="shared" si="151"/>
        <v>595713852.5625</v>
      </c>
      <c r="AD332" s="701">
        <f t="shared" si="152"/>
        <v>27.552149540191554</v>
      </c>
      <c r="AE332" s="702">
        <f t="shared" si="153"/>
        <v>-10.103435368048043</v>
      </c>
      <c r="AG332" s="701">
        <f t="shared" si="154"/>
        <v>-0.23120164482437364</v>
      </c>
      <c r="AH332" s="702">
        <f t="shared" si="155"/>
        <v>-70.914630541455196</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1.0002968246423605</v>
      </c>
      <c r="N333" s="694">
        <f t="shared" ref="N333:N396" si="174">-ATAN(G333/z_RHP)</f>
        <v>-2.4361906338745718E-2</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1.3484116474286725</v>
      </c>
      <c r="X333" s="699">
        <f t="shared" ref="X333:X396" si="180">((L333+R333+N333+V333)-(J333+P333+T333))*radconv</f>
        <v>-115.77949850468352</v>
      </c>
      <c r="Y333" s="702">
        <f t="shared" ref="Y333:Y396" si="181">IF(X333&gt;0,X333,X333+180)</f>
        <v>64.220501495316483</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-0.27774005651385425</v>
      </c>
      <c r="AH333" s="702">
        <f t="shared" ref="AH333:AH396" si="187">(L333+N333-(J333+V333))*radconv</f>
        <v>-70.835690692999378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1.0003002925341375</v>
      </c>
      <c r="N334" s="694">
        <f t="shared" si="174"/>
        <v>-2.4503771426060507E-2</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1.2941658587290488</v>
      </c>
      <c r="X334" s="699">
        <f t="shared" si="180"/>
        <v>-115.91814593500121</v>
      </c>
      <c r="Y334" s="702">
        <f t="shared" si="181"/>
        <v>64.081854064998794</v>
      </c>
      <c r="AA334" s="174">
        <f t="shared" si="182"/>
        <v>1000000000</v>
      </c>
      <c r="AB334" s="174">
        <f t="shared" si="183"/>
        <v>609596100</v>
      </c>
      <c r="AD334" s="701">
        <f t="shared" si="184"/>
        <v>27.550357903264846</v>
      </c>
      <c r="AE334" s="702">
        <f t="shared" si="185"/>
        <v>-10.148109373156853</v>
      </c>
      <c r="AG334" s="701">
        <f t="shared" si="186"/>
        <v>-0.32505522579293977</v>
      </c>
      <c r="AH334" s="702">
        <f t="shared" si="187"/>
        <v>-70.754803937388743</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1.0003037805575212</v>
      </c>
      <c r="N335" s="694">
        <f t="shared" si="174"/>
        <v>-2.4645635526873454E-2</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1.2401928237062143</v>
      </c>
      <c r="X335" s="699">
        <f t="shared" si="180"/>
        <v>-116.05678268888673</v>
      </c>
      <c r="Y335" s="702">
        <f t="shared" si="181"/>
        <v>63.943217311113273</v>
      </c>
      <c r="AA335" s="174">
        <f t="shared" si="182"/>
        <v>1000000000</v>
      </c>
      <c r="AB335" s="174">
        <f t="shared" si="183"/>
        <v>616677889</v>
      </c>
      <c r="AD335" s="701">
        <f t="shared" si="184"/>
        <v>27.549449172865728</v>
      </c>
      <c r="AE335" s="702">
        <f t="shared" si="185"/>
        <v>-10.170999780449947</v>
      </c>
      <c r="AG335" s="701">
        <f t="shared" si="186"/>
        <v>-0.37206472630375109</v>
      </c>
      <c r="AH335" s="702">
        <f t="shared" si="187"/>
        <v>-70.673807792869681</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1.0003072887123012</v>
      </c>
      <c r="N336" s="694">
        <f t="shared" si="174"/>
        <v>-2.4787498635484764E-2</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1.1864892063815944</v>
      </c>
      <c r="X336" s="699">
        <f t="shared" si="180"/>
        <v>-116.19540772309944</v>
      </c>
      <c r="Y336" s="702">
        <f t="shared" si="181"/>
        <v>63.804592276900564</v>
      </c>
      <c r="AA336" s="174">
        <f t="shared" si="182"/>
        <v>1000000000</v>
      </c>
      <c r="AB336" s="174">
        <f t="shared" si="183"/>
        <v>623800576</v>
      </c>
      <c r="AD336" s="701">
        <f t="shared" si="184"/>
        <v>27.548538612373704</v>
      </c>
      <c r="AE336" s="702">
        <f t="shared" si="185"/>
        <v>-10.194084735587701</v>
      </c>
      <c r="AG336" s="701">
        <f t="shared" si="186"/>
        <v>-0.4187719007354348</v>
      </c>
      <c r="AH336" s="702">
        <f t="shared" si="187"/>
        <v>-70.592705202632061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1.0003108169982655</v>
      </c>
      <c r="N337" s="694">
        <f t="shared" si="174"/>
        <v>-2.4929360746194874E-2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1.1330517288552158</v>
      </c>
      <c r="X337" s="699">
        <f t="shared" si="180"/>
        <v>-116.33402001321197</v>
      </c>
      <c r="Y337" s="702">
        <f t="shared" si="181"/>
        <v>63.665979986788031</v>
      </c>
      <c r="AA337" s="174">
        <f t="shared" si="182"/>
        <v>1000000000</v>
      </c>
      <c r="AB337" s="174">
        <f t="shared" si="183"/>
        <v>630964161</v>
      </c>
      <c r="AD337" s="701">
        <f t="shared" si="184"/>
        <v>27.547626168515134</v>
      </c>
      <c r="AE337" s="702">
        <f t="shared" si="185"/>
        <v>-10.217360767748804</v>
      </c>
      <c r="AG337" s="701">
        <f t="shared" si="186"/>
        <v>-0.46518003554371345</v>
      </c>
      <c r="AH337" s="702">
        <f t="shared" si="187"/>
        <v>-70.511499046907829</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1.0003144462949989</v>
      </c>
      <c r="N338" s="694">
        <f t="shared" si="174"/>
        <v>-2.5074445957666735E-2</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1.0786716879832707</v>
      </c>
      <c r="X338" s="699">
        <f t="shared" si="180"/>
        <v>-116.47576835235321</v>
      </c>
      <c r="Y338" s="702">
        <f t="shared" si="181"/>
        <v>63.524231647646786</v>
      </c>
      <c r="AA338" s="174">
        <f t="shared" si="182"/>
        <v>1000000000</v>
      </c>
      <c r="AB338" s="174">
        <f t="shared" si="183"/>
        <v>638332857.5625</v>
      </c>
      <c r="AD338" s="701">
        <f t="shared" si="184"/>
        <v>27.546690985368024</v>
      </c>
      <c r="AE338" s="702">
        <f t="shared" si="185"/>
        <v>-10.241359904870981</v>
      </c>
      <c r="AG338" s="701">
        <f t="shared" si="186"/>
        <v>-0.51233695679227775</v>
      </c>
      <c r="AH338" s="702">
        <f t="shared" si="187"/>
        <v>-70.428343111444121</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1.000318096647917</v>
      </c>
      <c r="N339" s="694">
        <f t="shared" si="174"/>
        <v>-2.5219530113304935E-2</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1.0245632668354272</v>
      </c>
      <c r="X339" s="699">
        <f t="shared" si="180"/>
        <v>-116.61750125227528</v>
      </c>
      <c r="Y339" s="702">
        <f t="shared" si="181"/>
        <v>63.382498747724725</v>
      </c>
      <c r="AA339" s="174">
        <f t="shared" si="182"/>
        <v>1000000000</v>
      </c>
      <c r="AB339" s="174">
        <f t="shared" si="183"/>
        <v>645744332.25</v>
      </c>
      <c r="AD339" s="701">
        <f t="shared" si="184"/>
        <v>27.545753724550138</v>
      </c>
      <c r="AE339" s="702">
        <f t="shared" si="185"/>
        <v>-10.265551805177939</v>
      </c>
      <c r="AG339" s="701">
        <f t="shared" si="186"/>
        <v>-0.55918786981844082</v>
      </c>
      <c r="AH339" s="702">
        <f t="shared" si="187"/>
        <v>-70.345084749089693</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1.0003217680567893</v>
      </c>
      <c r="N340" s="694">
        <f t="shared" si="174"/>
        <v>-2.5364613207013192E-2</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0.97072313889433071</v>
      </c>
      <c r="X340" s="699">
        <f t="shared" si="180"/>
        <v>-116.75921767501646</v>
      </c>
      <c r="Y340" s="702">
        <f t="shared" si="181"/>
        <v>63.240782324983542</v>
      </c>
      <c r="AA340" s="174">
        <f t="shared" si="182"/>
        <v>1000000000</v>
      </c>
      <c r="AB340" s="174">
        <f t="shared" si="183"/>
        <v>653198585.0625</v>
      </c>
      <c r="AD340" s="701">
        <f t="shared" si="184"/>
        <v>27.544814334016074</v>
      </c>
      <c r="AE340" s="702">
        <f t="shared" si="185"/>
        <v>-10.289932999905458</v>
      </c>
      <c r="AG340" s="701">
        <f t="shared" si="186"/>
        <v>-0.60573611591820797</v>
      </c>
      <c r="AH340" s="702">
        <f t="shared" si="187"/>
        <v>-70.261726847776814</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1.0003254605213836</v>
      </c>
      <c r="N341" s="694">
        <f t="shared" si="174"/>
        <v>-2.5509695232695504E-2</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0.91714803557050983</v>
      </c>
      <c r="X341" s="699">
        <f t="shared" si="180"/>
        <v>-116.90091660112917</v>
      </c>
      <c r="Y341" s="702">
        <f t="shared" si="181"/>
        <v>63.099083398870832</v>
      </c>
      <c r="AA341" s="174">
        <f t="shared" si="182"/>
        <v>1000000000</v>
      </c>
      <c r="AB341" s="174">
        <f t="shared" si="183"/>
        <v>660695616</v>
      </c>
      <c r="AD341" s="701">
        <f t="shared" si="184"/>
        <v>27.543872763276443</v>
      </c>
      <c r="AE341" s="702">
        <f t="shared" si="185"/>
        <v>-10.314500097993838</v>
      </c>
      <c r="AG341" s="701">
        <f t="shared" si="186"/>
        <v>-0.65198498024148388</v>
      </c>
      <c r="AH341" s="702">
        <f t="shared" si="187"/>
        <v>-70.178272233889032</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1.0003292631700067</v>
      </c>
      <c r="N342" s="694">
        <f t="shared" si="174"/>
        <v>-2.56582481938178E-2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0.86256205283040166</v>
      </c>
      <c r="X342" s="699">
        <f t="shared" si="180"/>
        <v>-117.04598743711526</v>
      </c>
      <c r="Y342" s="702">
        <f t="shared" si="181"/>
        <v>62.954012562884742</v>
      </c>
      <c r="AA342" s="174">
        <f t="shared" si="182"/>
        <v>1000000000</v>
      </c>
      <c r="AB342" s="174">
        <f t="shared" si="183"/>
        <v>668416389.0625</v>
      </c>
      <c r="AD342" s="701">
        <f t="shared" si="184"/>
        <v>27.542906348972625</v>
      </c>
      <c r="AE342" s="702">
        <f t="shared" si="185"/>
        <v>-10.339844294231863</v>
      </c>
      <c r="AG342" s="701">
        <f t="shared" si="186"/>
        <v>-0.69903381396362874</v>
      </c>
      <c r="AH342" s="702">
        <f t="shared" si="187"/>
        <v>-70.092723092703423</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1.0003330878937098</v>
      </c>
      <c r="N343" s="694">
        <f t="shared" si="174"/>
        <v>-2.5806800022248628E-2</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0.80824717604927543</v>
      </c>
      <c r="X343" s="699">
        <f t="shared" si="180"/>
        <v>-117.19103782320224</v>
      </c>
      <c r="Y343" s="702">
        <f t="shared" si="181"/>
        <v>62.808962176797763</v>
      </c>
      <c r="AA343" s="174">
        <f t="shared" si="182"/>
        <v>1000000000</v>
      </c>
      <c r="AB343" s="174">
        <f t="shared" si="183"/>
        <v>676182012.25</v>
      </c>
      <c r="AD343" s="701">
        <f t="shared" si="184"/>
        <v>27.541937546502595</v>
      </c>
      <c r="AE343" s="702">
        <f t="shared" si="185"/>
        <v>-10.365376442820908</v>
      </c>
      <c r="AG343" s="701">
        <f t="shared" si="186"/>
        <v>-0.74577556107670118</v>
      </c>
      <c r="AH343" s="702">
        <f t="shared" si="187"/>
        <v>-70.007078361599127</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1.0003369346922404</v>
      </c>
      <c r="N344" s="694">
        <f t="shared" si="174"/>
        <v>-2.5955350711444645E-2</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0.75420007658022492</v>
      </c>
      <c r="X344" s="699">
        <f t="shared" si="180"/>
        <v>-117.33606672223739</v>
      </c>
      <c r="Y344" s="702">
        <f t="shared" si="181"/>
        <v>62.663933277762609</v>
      </c>
      <c r="AA344" s="174">
        <f t="shared" si="182"/>
        <v>1000000000</v>
      </c>
      <c r="AB344" s="174">
        <f t="shared" si="183"/>
        <v>683992485.5625</v>
      </c>
      <c r="AD344" s="701">
        <f t="shared" si="184"/>
        <v>27.540966306402023</v>
      </c>
      <c r="AE344" s="702">
        <f t="shared" si="185"/>
        <v>-10.391093142558015</v>
      </c>
      <c r="AG344" s="701">
        <f t="shared" si="186"/>
        <v>-0.79221357346293553</v>
      </c>
      <c r="AH344" s="702">
        <f t="shared" si="187"/>
        <v>-69.92134088511645</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1.0003408035653434</v>
      </c>
      <c r="N345" s="694">
        <f t="shared" si="174"/>
        <v>-2.6103900254862793E-2</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0.70041748382757718</v>
      </c>
      <c r="X345" s="699">
        <f t="shared" si="180"/>
        <v>-117.48107311538946</v>
      </c>
      <c r="Y345" s="702">
        <f t="shared" si="181"/>
        <v>62.518926884610536</v>
      </c>
      <c r="AA345" s="174">
        <f t="shared" si="182"/>
        <v>1000000000</v>
      </c>
      <c r="AB345" s="174">
        <f t="shared" si="183"/>
        <v>691847809</v>
      </c>
      <c r="AD345" s="701">
        <f t="shared" si="184"/>
        <v>27.539992580698605</v>
      </c>
      <c r="AE345" s="702">
        <f t="shared" si="185"/>
        <v>-10.416991068417683</v>
      </c>
      <c r="AG345" s="701">
        <f t="shared" si="186"/>
        <v>-0.83835114668319521</v>
      </c>
      <c r="AH345" s="702">
        <f t="shared" si="187"/>
        <v>-69.835513447325127</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1.0003447792020985</v>
      </c>
      <c r="N346" s="694">
        <f t="shared" si="174"/>
        <v>-2.6255672554812339E-2</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0.64573749305538009</v>
      </c>
      <c r="X346" s="699">
        <f t="shared" si="180"/>
        <v>-117.62920227378125</v>
      </c>
      <c r="Y346" s="702">
        <f t="shared" si="181"/>
        <v>62.370797726218754</v>
      </c>
      <c r="AA346" s="174">
        <f t="shared" si="182"/>
        <v>1000000000</v>
      </c>
      <c r="AB346" s="174">
        <f t="shared" si="183"/>
        <v>699919936</v>
      </c>
      <c r="AD346" s="701">
        <f t="shared" si="184"/>
        <v>27.538995106883092</v>
      </c>
      <c r="AE346" s="702">
        <f t="shared" si="185"/>
        <v>-10.443634839780684</v>
      </c>
      <c r="AG346" s="701">
        <f t="shared" si="186"/>
        <v>-0.88518311636043157</v>
      </c>
      <c r="AH346" s="702">
        <f t="shared" si="187"/>
        <v>-69.747733234095534</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1.0003487778814435</v>
      </c>
      <c r="N347" s="694">
        <f t="shared" si="174"/>
        <v>-2.6407443644903553E-2</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0.59132689207518996</v>
      </c>
      <c r="X347" s="699">
        <f t="shared" si="180"/>
        <v>-117.77730584514134</v>
      </c>
      <c r="Y347" s="702">
        <f t="shared" si="181"/>
        <v>62.222694154858658</v>
      </c>
      <c r="AA347" s="174">
        <f t="shared" si="182"/>
        <v>1000000000</v>
      </c>
      <c r="AB347" s="174">
        <f t="shared" si="183"/>
        <v>708038881</v>
      </c>
      <c r="AD347" s="701">
        <f t="shared" si="184"/>
        <v>27.537994941714707</v>
      </c>
      <c r="AE347" s="702">
        <f t="shared" si="185"/>
        <v>-10.470461005782775</v>
      </c>
      <c r="AG347" s="701">
        <f t="shared" si="186"/>
        <v>-0.93170824518509776</v>
      </c>
      <c r="AH347" s="702">
        <f t="shared" si="187"/>
        <v>-69.659864801917905</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1.0003527996031014</v>
      </c>
      <c r="N348" s="694">
        <f t="shared" si="174"/>
        <v>-2.6559213518159052E-2</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0.53718237197776286</v>
      </c>
      <c r="X348" s="699">
        <f t="shared" si="180"/>
        <v>-117.92538279910274</v>
      </c>
      <c r="Y348" s="702">
        <f t="shared" si="181"/>
        <v>62.074617200897265</v>
      </c>
      <c r="AA348" s="174">
        <f t="shared" si="182"/>
        <v>1000000000</v>
      </c>
      <c r="AB348" s="174">
        <f t="shared" si="183"/>
        <v>716204644</v>
      </c>
      <c r="AD348" s="701">
        <f t="shared" si="184"/>
        <v>27.536992038537772</v>
      </c>
      <c r="AE348" s="702">
        <f t="shared" si="185"/>
        <v>-10.49746625288585</v>
      </c>
      <c r="AG348" s="701">
        <f t="shared" si="186"/>
        <v>-0.9779298739530411</v>
      </c>
      <c r="AH348" s="702">
        <f t="shared" si="187"/>
        <v>-69.571910935144984</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1.0003568443667947</v>
      </c>
      <c r="N349" s="694">
        <f t="shared" si="174"/>
        <v>-2.6710982167601795E-2</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0.48330068152764594</v>
      </c>
      <c r="X349" s="699">
        <f t="shared" si="180"/>
        <v>-118.07343212328951</v>
      </c>
      <c r="Y349" s="702">
        <f t="shared" si="181"/>
        <v>61.926567876710493</v>
      </c>
      <c r="AA349" s="174">
        <f t="shared" si="182"/>
        <v>1000000000</v>
      </c>
      <c r="AB349" s="174">
        <f t="shared" si="183"/>
        <v>724417225</v>
      </c>
      <c r="AD349" s="701">
        <f t="shared" si="184"/>
        <v>27.535986352115103</v>
      </c>
      <c r="AE349" s="702">
        <f t="shared" si="185"/>
        <v>-10.524647341587006</v>
      </c>
      <c r="AG349" s="701">
        <f t="shared" si="186"/>
        <v>-1.0238512874526571</v>
      </c>
      <c r="AH349" s="702">
        <f t="shared" si="187"/>
        <v>-69.483874359213203</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1.0003610121626507</v>
      </c>
      <c r="N350" s="694">
        <f t="shared" si="174"/>
        <v>-2.6866469360415944E-2</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0.42836759284943798</v>
      </c>
      <c r="X350" s="699">
        <f t="shared" si="180"/>
        <v>-118.22508041347189</v>
      </c>
      <c r="Y350" s="702">
        <f t="shared" si="181"/>
        <v>61.774919586528114</v>
      </c>
      <c r="AA350" s="174">
        <f t="shared" si="182"/>
        <v>1000000000</v>
      </c>
      <c r="AB350" s="174">
        <f t="shared" si="183"/>
        <v>732879648.0625</v>
      </c>
      <c r="AD350" s="701">
        <f t="shared" si="184"/>
        <v>27.534953084253463</v>
      </c>
      <c r="AE350" s="702">
        <f t="shared" si="185"/>
        <v>-10.552673681281307</v>
      </c>
      <c r="AG350" s="701">
        <f t="shared" si="186"/>
        <v>-1.0705902598119517</v>
      </c>
      <c r="AH350" s="702">
        <f t="shared" si="187"/>
        <v>-69.393597038568373</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1.0003652041432998</v>
      </c>
      <c r="N351" s="694">
        <f t="shared" si="174"/>
        <v>-2.7021955253866435E-2</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0.37370364669941086</v>
      </c>
      <c r="X351" s="699">
        <f t="shared" si="180"/>
        <v>-118.37669760754187</v>
      </c>
      <c r="Y351" s="702">
        <f t="shared" si="181"/>
        <v>61.623302392458129</v>
      </c>
      <c r="AA351" s="174">
        <f t="shared" si="182"/>
        <v>1000000000</v>
      </c>
      <c r="AB351" s="174">
        <f t="shared" si="183"/>
        <v>741391212.25</v>
      </c>
      <c r="AD351" s="701">
        <f t="shared" si="184"/>
        <v>27.533916803274856</v>
      </c>
      <c r="AE351" s="702">
        <f t="shared" si="185"/>
        <v>-10.580877933372987</v>
      </c>
      <c r="AG351" s="701">
        <f t="shared" si="186"/>
        <v>-1.1170209253801966</v>
      </c>
      <c r="AH351" s="702">
        <f t="shared" si="187"/>
        <v>-69.303238513522516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1.0003694203084381</v>
      </c>
      <c r="N352" s="694">
        <f t="shared" si="174"/>
        <v>-2.717743984045164E-2</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0.31930552671910573</v>
      </c>
      <c r="X352" s="699">
        <f t="shared" si="180"/>
        <v>-118.52828267264023</v>
      </c>
      <c r="Y352" s="702">
        <f t="shared" si="181"/>
        <v>61.471717327359769</v>
      </c>
      <c r="AA352" s="174">
        <f t="shared" si="182"/>
        <v>1000000000</v>
      </c>
      <c r="AB352" s="174">
        <f t="shared" si="183"/>
        <v>749951917.5625</v>
      </c>
      <c r="AD352" s="701">
        <f t="shared" si="184"/>
        <v>27.532877464861699</v>
      </c>
      <c r="AE352" s="702">
        <f t="shared" si="185"/>
        <v>-10.6092568426269</v>
      </c>
      <c r="AG352" s="701">
        <f t="shared" si="186"/>
        <v>-1.1631466417148948</v>
      </c>
      <c r="AH352" s="702">
        <f t="shared" si="187"/>
        <v>-69.212801532898752</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1.00037366065776</v>
      </c>
      <c r="N353" s="694">
        <f t="shared" si="174"/>
        <v>-2.7332923112670306E-2</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0.26516997448305368</v>
      </c>
      <c r="X353" s="699">
        <f t="shared" si="180"/>
        <v>-118.67983459378567</v>
      </c>
      <c r="Y353" s="702">
        <f t="shared" si="181"/>
        <v>61.320165406214329</v>
      </c>
      <c r="AA353" s="174">
        <f t="shared" si="182"/>
        <v>1000000000</v>
      </c>
      <c r="AB353" s="174">
        <f t="shared" si="183"/>
        <v>758561764</v>
      </c>
      <c r="AD353" s="701">
        <f t="shared" si="184"/>
        <v>27.531835026060165</v>
      </c>
      <c r="AE353" s="702">
        <f t="shared" si="185"/>
        <v>-10.637807226555442</v>
      </c>
      <c r="AG353" s="701">
        <f t="shared" si="186"/>
        <v>-1.2089707100644236</v>
      </c>
      <c r="AH353" s="702">
        <f t="shared" si="187"/>
        <v>-69.122288787466942</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1.0003780275094818</v>
      </c>
      <c r="N354" s="694">
        <f t="shared" si="174"/>
        <v>-2.7492124710653508E-2</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0.2100080347765062</v>
      </c>
      <c r="X354" s="699">
        <f t="shared" si="180"/>
        <v>-118.83497677439168</v>
      </c>
      <c r="Y354" s="702">
        <f t="shared" si="181"/>
        <v>61.165023225608323</v>
      </c>
      <c r="AA354" s="174">
        <f t="shared" si="182"/>
        <v>1000000000</v>
      </c>
      <c r="AB354" s="174">
        <f t="shared" si="183"/>
        <v>767428506.25</v>
      </c>
      <c r="AD354" s="701">
        <f t="shared" si="184"/>
        <v>27.530764392520112</v>
      </c>
      <c r="AE354" s="702">
        <f t="shared" si="185"/>
        <v>-10.667215061540251</v>
      </c>
      <c r="AG354" s="701">
        <f t="shared" si="186"/>
        <v>-1.2555818791120033</v>
      </c>
      <c r="AH354" s="702">
        <f t="shared" si="187"/>
        <v>-69.029534911042717</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1.0003824197157116</v>
      </c>
      <c r="N355" s="694">
        <f t="shared" si="174"/>
        <v>-2.7651324914713733E-2</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0.15511464247717588</v>
      </c>
      <c r="X355" s="699">
        <f t="shared" si="180"/>
        <v>-118.99008210803756</v>
      </c>
      <c r="Y355" s="702">
        <f t="shared" si="181"/>
        <v>61.009917891962445</v>
      </c>
      <c r="AA355" s="174">
        <f t="shared" si="182"/>
        <v>1000000000</v>
      </c>
      <c r="AB355" s="174">
        <f t="shared" si="183"/>
        <v>776346769</v>
      </c>
      <c r="AD355" s="701">
        <f t="shared" si="184"/>
        <v>27.529690421515205</v>
      </c>
      <c r="AE355" s="702">
        <f t="shared" si="185"/>
        <v>-10.696796145829181</v>
      </c>
      <c r="AG355" s="701">
        <f t="shared" si="186"/>
        <v>-1.3018836241514959</v>
      </c>
      <c r="AH355" s="702">
        <f t="shared" si="187"/>
        <v>-68.936707131243281</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1.0003868372761158</v>
      </c>
      <c r="N356" s="694">
        <f t="shared" si="174"/>
        <v>-2.7810523716799641E-2</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0.10048647994741761</v>
      </c>
      <c r="X356" s="699">
        <f t="shared" si="180"/>
        <v>-119.14514956050492</v>
      </c>
      <c r="Y356" s="702">
        <f t="shared" si="181"/>
        <v>60.854850439495081</v>
      </c>
      <c r="AA356" s="174">
        <f t="shared" si="182"/>
        <v>1000000000</v>
      </c>
      <c r="AB356" s="174">
        <f t="shared" si="183"/>
        <v>785316552.25</v>
      </c>
      <c r="AD356" s="701">
        <f t="shared" si="184"/>
        <v>27.528613071087147</v>
      </c>
      <c r="AE356" s="702">
        <f t="shared" si="185"/>
        <v>-10.726547286936469</v>
      </c>
      <c r="AG356" s="701">
        <f t="shared" si="186"/>
        <v>-1.3478793137699319</v>
      </c>
      <c r="AH356" s="702">
        <f t="shared" si="187"/>
        <v>-68.843808157646848</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1.0003912801903585</v>
      </c>
      <c r="N357" s="694">
        <f t="shared" si="174"/>
        <v>-2.7969721108860299E-2</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4.6120287606123057E-2</v>
      </c>
      <c r="X357" s="699">
        <f t="shared" si="180"/>
        <v>-119.30017811532092</v>
      </c>
      <c r="Y357" s="702">
        <f t="shared" si="181"/>
        <v>60.699821884679082</v>
      </c>
      <c r="AA357" s="174">
        <f t="shared" si="182"/>
        <v>1000000000</v>
      </c>
      <c r="AB357" s="174">
        <f t="shared" si="183"/>
        <v>794337856</v>
      </c>
      <c r="AD357" s="701">
        <f t="shared" si="184"/>
        <v>27.527532300585804</v>
      </c>
      <c r="AE357" s="702">
        <f t="shared" si="185"/>
        <v>-10.756465363687292</v>
      </c>
      <c r="AG357" s="701">
        <f t="shared" si="186"/>
        <v>-1.393572260077697</v>
      </c>
      <c r="AH357" s="702">
        <f t="shared" si="187"/>
        <v>-68.750840642742702</v>
      </c>
      <c r="AJ357" s="174">
        <f t="shared" si="188"/>
        <v>28184</v>
      </c>
      <c r="AK357" s="174">
        <f t="shared" si="200"/>
        <v>60.699821884679082</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1.000395846179428</v>
      </c>
      <c r="N358" s="694">
        <f t="shared" si="174"/>
        <v>-2.8132388630281335E-2</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-9.1641908438514826E-3</v>
      </c>
      <c r="X358" s="699">
        <f t="shared" si="180"/>
        <v>-119.4585461363821</v>
      </c>
      <c r="Y358" s="702">
        <f t="shared" si="181"/>
        <v>60.541453863617903</v>
      </c>
      <c r="AA358" s="174">
        <f t="shared" si="182"/>
        <v>28348</v>
      </c>
      <c r="AB358" s="174">
        <f t="shared" si="183"/>
        <v>803609104</v>
      </c>
      <c r="AD358" s="701">
        <f t="shared" si="184"/>
        <v>27.526424388150335</v>
      </c>
      <c r="AE358" s="702">
        <f t="shared" si="185"/>
        <v>-10.787205120449357</v>
      </c>
      <c r="AG358" s="701">
        <f t="shared" si="186"/>
        <v>-1.4399522960277247</v>
      </c>
      <c r="AH358" s="702">
        <f t="shared" si="187"/>
        <v>-68.65577770095922</v>
      </c>
      <c r="AJ358" s="174">
        <f t="shared" si="188"/>
        <v>0</v>
      </c>
      <c r="AK358" s="174">
        <f t="shared" si="200"/>
        <v>0</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1.0004004386394523</v>
      </c>
      <c r="N359" s="694">
        <f t="shared" si="174"/>
        <v>-2.8295054662516465E-2</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-6.4181850079722186E-2</v>
      </c>
      <c r="X359" s="699">
        <f t="shared" si="180"/>
        <v>-119.61687145388612</v>
      </c>
      <c r="Y359" s="702">
        <f t="shared" si="181"/>
        <v>60.38312854611388</v>
      </c>
      <c r="AA359" s="174">
        <f t="shared" si="182"/>
        <v>28512</v>
      </c>
      <c r="AB359" s="174">
        <f t="shared" si="183"/>
        <v>812934144</v>
      </c>
      <c r="AD359" s="701">
        <f t="shared" si="184"/>
        <v>27.525312823035009</v>
      </c>
      <c r="AE359" s="702">
        <f t="shared" si="185"/>
        <v>-10.818112803469987</v>
      </c>
      <c r="AG359" s="701">
        <f t="shared" si="186"/>
        <v>-1.4860230577148636</v>
      </c>
      <c r="AH359" s="702">
        <f t="shared" si="187"/>
        <v>-68.560648619526475</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1.0004050575700669</v>
      </c>
      <c r="N360" s="694">
        <f t="shared" si="174"/>
        <v>-2.8457719196977902E-2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-0.118935988243154</v>
      </c>
      <c r="X360" s="699">
        <f t="shared" si="180"/>
        <v>-119.77515303798816</v>
      </c>
      <c r="Y360" s="702">
        <f t="shared" si="181"/>
        <v>60.224846962011839</v>
      </c>
      <c r="AA360" s="174">
        <f t="shared" si="182"/>
        <v>28676</v>
      </c>
      <c r="AB360" s="174">
        <f t="shared" si="183"/>
        <v>822312976</v>
      </c>
      <c r="AD360" s="701">
        <f t="shared" si="184"/>
        <v>27.524197565827031</v>
      </c>
      <c r="AE360" s="702">
        <f t="shared" si="185"/>
        <v>-10.849185300811921</v>
      </c>
      <c r="AG360" s="701">
        <f t="shared" si="186"/>
        <v>-1.5317879041315339</v>
      </c>
      <c r="AH360" s="702">
        <f t="shared" si="187"/>
        <v>-68.465456053517997</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1.0004097029709051</v>
      </c>
      <c r="N361" s="694">
        <f t="shared" si="174"/>
        <v>-2.8620382225078327E-2</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-0.17342984577210341</v>
      </c>
      <c r="X361" s="699">
        <f t="shared" si="180"/>
        <v>-119.93338987633292</v>
      </c>
      <c r="Y361" s="702">
        <f t="shared" si="181"/>
        <v>60.066610123667076</v>
      </c>
      <c r="AA361" s="174">
        <f t="shared" si="182"/>
        <v>28840</v>
      </c>
      <c r="AB361" s="174">
        <f t="shared" si="183"/>
        <v>831745600</v>
      </c>
      <c r="AD361" s="701">
        <f t="shared" si="184"/>
        <v>27.523078578358437</v>
      </c>
      <c r="AE361" s="702">
        <f t="shared" si="185"/>
        <v>-10.880419569867366</v>
      </c>
      <c r="AG361" s="701">
        <f t="shared" si="186"/>
        <v>-1.5772501380913273</v>
      </c>
      <c r="AH361" s="702">
        <f t="shared" si="187"/>
        <v>-68.370202602305298</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1.0004144891203373</v>
      </c>
      <c r="N362" s="694">
        <f t="shared" si="174"/>
        <v>-2.8787011073212257E-2</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-0.22898626923438134</v>
      </c>
      <c r="X362" s="699">
        <f t="shared" si="180"/>
        <v>-120.09543871336312</v>
      </c>
      <c r="Y362" s="702">
        <f t="shared" si="181"/>
        <v>59.904561286636877</v>
      </c>
      <c r="AA362" s="174">
        <f t="shared" si="182"/>
        <v>29008</v>
      </c>
      <c r="AB362" s="174">
        <f t="shared" si="183"/>
        <v>841464064</v>
      </c>
      <c r="AD362" s="701">
        <f t="shared" si="184"/>
        <v>27.521928392037417</v>
      </c>
      <c r="AE362" s="702">
        <f t="shared" si="185"/>
        <v>-10.912580279048235</v>
      </c>
      <c r="AG362" s="701">
        <f t="shared" si="186"/>
        <v>-1.6235108281014301</v>
      </c>
      <c r="AH362" s="702">
        <f t="shared" si="187"/>
        <v>-68.2725654255389</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1.0004193030461845</v>
      </c>
      <c r="N363" s="694">
        <f t="shared" si="174"/>
        <v>-2.895363832236714E-2</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-0.28427626443301041</v>
      </c>
      <c r="X363" s="699">
        <f t="shared" si="180"/>
        <v>-120.25743849911939</v>
      </c>
      <c r="Y363" s="702">
        <f t="shared" si="181"/>
        <v>59.742561500880612</v>
      </c>
      <c r="AA363" s="174">
        <f t="shared" si="182"/>
        <v>29176</v>
      </c>
      <c r="AB363" s="174">
        <f t="shared" si="183"/>
        <v>851238976</v>
      </c>
      <c r="AD363" s="701">
        <f t="shared" si="184"/>
        <v>27.520774214018001</v>
      </c>
      <c r="AE363" s="702">
        <f t="shared" si="185"/>
        <v>-10.944904498594717</v>
      </c>
      <c r="AG363" s="701">
        <f t="shared" si="186"/>
        <v>-1.6694608050934134</v>
      </c>
      <c r="AH363" s="702">
        <f t="shared" si="187"/>
        <v>-68.174869706610679</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1.000424144748046</v>
      </c>
      <c r="N364" s="694">
        <f t="shared" si="174"/>
        <v>-2.912026396331344E-2</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-0.33930313487456337</v>
      </c>
      <c r="X364" s="699">
        <f t="shared" si="180"/>
        <v>-120.41938819966497</v>
      </c>
      <c r="Y364" s="702">
        <f t="shared" si="181"/>
        <v>59.580611800335035</v>
      </c>
      <c r="AA364" s="174">
        <f t="shared" si="182"/>
        <v>29344</v>
      </c>
      <c r="AB364" s="174">
        <f t="shared" si="183"/>
        <v>861070336</v>
      </c>
      <c r="AD364" s="701">
        <f t="shared" si="184"/>
        <v>27.51961600706835</v>
      </c>
      <c r="AE364" s="702">
        <f t="shared" si="185"/>
        <v>-10.977389171539752</v>
      </c>
      <c r="AG364" s="701">
        <f t="shared" si="186"/>
        <v>-1.7151034443103668</v>
      </c>
      <c r="AH364" s="702">
        <f t="shared" si="187"/>
        <v>-68.077118067701008</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1.0004290142255183</v>
      </c>
      <c r="N365" s="694">
        <f t="shared" si="174"/>
        <v>-2.9286887986822149E-2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-0.3940701261287135</v>
      </c>
      <c r="X365" s="699">
        <f t="shared" si="180"/>
        <v>-120.58128679849848</v>
      </c>
      <c r="Y365" s="702">
        <f t="shared" si="181"/>
        <v>59.418713201501518</v>
      </c>
      <c r="AA365" s="174">
        <f t="shared" si="182"/>
        <v>29512</v>
      </c>
      <c r="AB365" s="174">
        <f t="shared" si="183"/>
        <v>870958144</v>
      </c>
      <c r="AD365" s="701">
        <f t="shared" si="184"/>
        <v>27.518453735153535</v>
      </c>
      <c r="AE365" s="702">
        <f t="shared" si="185"/>
        <v>-11.010031309004837</v>
      </c>
      <c r="AG365" s="701">
        <f t="shared" si="186"/>
        <v>-1.7604420645456793</v>
      </c>
      <c r="AH365" s="702">
        <f t="shared" si="187"/>
        <v>-67.979313076064997</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1.0004340284179769</v>
      </c>
      <c r="N366" s="694">
        <f t="shared" si="174"/>
        <v>-2.9457477563687599E-2</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-0.44987518873819532</v>
      </c>
      <c r="X366" s="699">
        <f t="shared" si="180"/>
        <v>-120.74698614103461</v>
      </c>
      <c r="Y366" s="702">
        <f t="shared" si="181"/>
        <v>59.253013858965389</v>
      </c>
      <c r="AA366" s="174">
        <f t="shared" si="182"/>
        <v>29684</v>
      </c>
      <c r="AB366" s="174">
        <f t="shared" si="183"/>
        <v>881139856</v>
      </c>
      <c r="AD366" s="701">
        <f t="shared" si="184"/>
        <v>27.517259542390072</v>
      </c>
      <c r="AE366" s="702">
        <f t="shared" si="185"/>
        <v>-11.043610721558505</v>
      </c>
      <c r="AG366" s="701">
        <f t="shared" si="186"/>
        <v>-1.8065486203622438</v>
      </c>
      <c r="AH366" s="702">
        <f t="shared" si="187"/>
        <v>-67.879126745502035</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1.0004390717235776</v>
      </c>
      <c r="N367" s="694">
        <f t="shared" si="174"/>
        <v>-2.9628065425601684E-2</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-0.50541455414602632</v>
      </c>
      <c r="X367" s="699">
        <f t="shared" si="180"/>
        <v>-120.91262981732243</v>
      </c>
      <c r="Y367" s="702">
        <f t="shared" si="181"/>
        <v>59.087370182677574</v>
      </c>
      <c r="AA367" s="174">
        <f t="shared" si="182"/>
        <v>29856</v>
      </c>
      <c r="AB367" s="174">
        <f t="shared" si="183"/>
        <v>891380736</v>
      </c>
      <c r="AD367" s="701">
        <f t="shared" si="184"/>
        <v>27.51606101601919</v>
      </c>
      <c r="AE367" s="702">
        <f t="shared" si="185"/>
        <v>-11.077349056281593</v>
      </c>
      <c r="AG367" s="701">
        <f t="shared" si="186"/>
        <v>-1.8523433721831757</v>
      </c>
      <c r="AH367" s="702">
        <f t="shared" si="187"/>
        <v>-67.778889767327357</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1.0004441441418799</v>
      </c>
      <c r="N368" s="694">
        <f t="shared" si="174"/>
        <v>-2.9798651562662121E-2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-0.56069152508295506</v>
      </c>
      <c r="X368" s="699">
        <f t="shared" si="180"/>
        <v>-121.07821679058651</v>
      </c>
      <c r="Y368" s="702">
        <f t="shared" si="181"/>
        <v>58.921783209413491</v>
      </c>
      <c r="AA368" s="174">
        <f t="shared" si="182"/>
        <v>30028</v>
      </c>
      <c r="AB368" s="174">
        <f t="shared" si="183"/>
        <v>901680784</v>
      </c>
      <c r="AD368" s="701">
        <f t="shared" si="184"/>
        <v>27.514858121014566</v>
      </c>
      <c r="AE368" s="702">
        <f t="shared" si="185"/>
        <v>-11.111243315172883</v>
      </c>
      <c r="AG368" s="701">
        <f t="shared" si="186"/>
        <v>-1.897829705878602</v>
      </c>
      <c r="AH368" s="702">
        <f t="shared" si="187"/>
        <v>-67.678604727208935</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1.000449245672441</v>
      </c>
      <c r="N369" s="694">
        <f t="shared" si="174"/>
        <v>-2.9969235964967238E-2</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-0.61570934624423446</v>
      </c>
      <c r="X369" s="699">
        <f t="shared" si="180"/>
        <v>-121.24374604141761</v>
      </c>
      <c r="Y369" s="702">
        <f t="shared" si="181"/>
        <v>58.756253958582391</v>
      </c>
      <c r="AA369" s="174">
        <f t="shared" si="182"/>
        <v>30200</v>
      </c>
      <c r="AB369" s="174">
        <f t="shared" si="183"/>
        <v>912040000</v>
      </c>
      <c r="AD369" s="701">
        <f t="shared" si="184"/>
        <v>27.513650823498253</v>
      </c>
      <c r="AE369" s="702">
        <f t="shared" si="185"/>
        <v>-11.145290566943475</v>
      </c>
      <c r="AG369" s="701">
        <f t="shared" si="186"/>
        <v>-1.943010950730222</v>
      </c>
      <c r="AH369" s="702">
        <f t="shared" si="187"/>
        <v>-67.578274156755569</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1.0004544884990194</v>
      </c>
      <c r="N370" s="694">
        <f t="shared" si="174"/>
        <v>-3.0143537701748803E-2</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-0.6716623139992256</v>
      </c>
      <c r="X370" s="699">
        <f t="shared" si="180"/>
        <v>-121.41282354807898</v>
      </c>
      <c r="Y370" s="702">
        <f t="shared" si="181"/>
        <v>58.587176451921025</v>
      </c>
      <c r="AA370" s="174">
        <f t="shared" si="182"/>
        <v>30375.75</v>
      </c>
      <c r="AB370" s="174">
        <f t="shared" si="183"/>
        <v>922686188.0625</v>
      </c>
      <c r="AD370" s="701">
        <f t="shared" si="184"/>
        <v>27.512412622465927</v>
      </c>
      <c r="AE370" s="702">
        <f t="shared" si="185"/>
        <v>-11.18023517858648</v>
      </c>
      <c r="AG370" s="701">
        <f t="shared" si="186"/>
        <v>-1.9888655190581142</v>
      </c>
      <c r="AH370" s="702">
        <f t="shared" si="187"/>
        <v>-67.475711695370151</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1.000459761720182</v>
      </c>
      <c r="N371" s="694">
        <f t="shared" si="174"/>
        <v>-3.0317837606407303E-2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-0.72735137826748353</v>
      </c>
      <c r="X371" s="699">
        <f t="shared" si="180"/>
        <v>-121.58183868969357</v>
      </c>
      <c r="Y371" s="702">
        <f t="shared" si="181"/>
        <v>58.418161310306431</v>
      </c>
      <c r="AA371" s="174">
        <f t="shared" si="182"/>
        <v>30551.5</v>
      </c>
      <c r="AB371" s="174">
        <f t="shared" si="183"/>
        <v>933394152.25</v>
      </c>
      <c r="AD371" s="701">
        <f t="shared" si="184"/>
        <v>27.511169756850702</v>
      </c>
      <c r="AE371" s="702">
        <f t="shared" si="185"/>
        <v>-11.215333544352314</v>
      </c>
      <c r="AG371" s="701">
        <f t="shared" si="186"/>
        <v>-2.0344084028300458</v>
      </c>
      <c r="AH371" s="702">
        <f t="shared" si="187"/>
        <v>-67.373106874282087</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1.0004650653354483</v>
      </c>
      <c r="N372" s="694">
        <f t="shared" si="174"/>
        <v>-3.0492135668381173E-2</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-0.78277982132941071</v>
      </c>
      <c r="X372" s="699">
        <f t="shared" si="180"/>
        <v>-121.75079043224315</v>
      </c>
      <c r="Y372" s="702">
        <f t="shared" si="181"/>
        <v>58.24920956775685</v>
      </c>
      <c r="AA372" s="174">
        <f t="shared" si="182"/>
        <v>30727.25</v>
      </c>
      <c r="AB372" s="174">
        <f t="shared" si="183"/>
        <v>944163892.5625</v>
      </c>
      <c r="AD372" s="701">
        <f t="shared" si="184"/>
        <v>27.509922193983257</v>
      </c>
      <c r="AE372" s="702">
        <f t="shared" si="185"/>
        <v>-11.250582740870088</v>
      </c>
      <c r="AG372" s="701">
        <f t="shared" si="186"/>
        <v>-2.0796429789733972</v>
      </c>
      <c r="AH372" s="702">
        <f t="shared" si="187"/>
        <v>-67.270462228726743</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1.0004703993443349</v>
      </c>
      <c r="N373" s="694">
        <f t="shared" si="174"/>
        <v>-3.0666431877109514E-2</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-0.83795086778290118</v>
      </c>
      <c r="X373" s="699">
        <f t="shared" si="180"/>
        <v>-121.91967775889782</v>
      </c>
      <c r="Y373" s="702">
        <f t="shared" si="181"/>
        <v>58.080322241102181</v>
      </c>
      <c r="AA373" s="174">
        <f t="shared" si="182"/>
        <v>30903</v>
      </c>
      <c r="AB373" s="174">
        <f t="shared" si="183"/>
        <v>954995409</v>
      </c>
      <c r="AD373" s="701">
        <f t="shared" si="184"/>
        <v>27.508669902287831</v>
      </c>
      <c r="AE373" s="702">
        <f t="shared" si="185"/>
        <v>-11.285979909625937</v>
      </c>
      <c r="AG373" s="701">
        <f t="shared" si="186"/>
        <v>-2.124572568129631</v>
      </c>
      <c r="AH373" s="702">
        <f t="shared" si="187"/>
        <v>-67.167780241118592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1.0004758938451042</v>
      </c>
      <c r="N374" s="694">
        <f t="shared" si="174"/>
        <v>-3.0844940998100687E-2</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-0.89419256647256495</v>
      </c>
      <c r="X374" s="699">
        <f t="shared" si="180"/>
        <v>-122.09258131569963</v>
      </c>
      <c r="Y374" s="702">
        <f t="shared" si="181"/>
        <v>57.907418684300367</v>
      </c>
      <c r="AA374" s="174">
        <f t="shared" si="182"/>
        <v>31083</v>
      </c>
      <c r="AB374" s="174">
        <f t="shared" si="183"/>
        <v>966152889</v>
      </c>
      <c r="AD374" s="701">
        <f t="shared" si="184"/>
        <v>27.507382393955734</v>
      </c>
      <c r="AE374" s="702">
        <f t="shared" si="185"/>
        <v>-11.322383517686143</v>
      </c>
      <c r="AG374" s="701">
        <f t="shared" si="186"/>
        <v>-2.1702759210525291</v>
      </c>
      <c r="AH374" s="702">
        <f t="shared" si="187"/>
        <v>-67.062579022209661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1.0004814202261936</v>
      </c>
      <c r="N375" s="694">
        <f t="shared" si="174"/>
        <v>-3.1023448152710555E-2</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-0.95017093612299042</v>
      </c>
      <c r="X375" s="699">
        <f t="shared" si="180"/>
        <v>-122.26541519804718</v>
      </c>
      <c r="Y375" s="702">
        <f t="shared" si="181"/>
        <v>57.73458480195282</v>
      </c>
      <c r="AA375" s="174">
        <f t="shared" si="182"/>
        <v>31263</v>
      </c>
      <c r="AB375" s="174">
        <f t="shared" si="183"/>
        <v>977375169</v>
      </c>
      <c r="AD375" s="701">
        <f t="shared" si="184"/>
        <v>27.50608986164201</v>
      </c>
      <c r="AE375" s="702">
        <f t="shared" si="185"/>
        <v>-11.358936472385674</v>
      </c>
      <c r="AG375" s="701">
        <f t="shared" si="186"/>
        <v>-2.2156662332973358</v>
      </c>
      <c r="AH375" s="702">
        <f t="shared" si="187"/>
        <v>-66.957343740466044</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1.0004869784870749</v>
      </c>
      <c r="N376" s="694">
        <f t="shared" si="174"/>
        <v>-3.1201953329595616E-2</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-1.0058892612926904</v>
      </c>
      <c r="X376" s="699">
        <f t="shared" si="180"/>
        <v>-122.43817836700887</v>
      </c>
      <c r="Y376" s="702">
        <f t="shared" si="181"/>
        <v>57.561821632991126</v>
      </c>
      <c r="AA376" s="174">
        <f t="shared" si="182"/>
        <v>31443</v>
      </c>
      <c r="AB376" s="174">
        <f t="shared" si="183"/>
        <v>988662249</v>
      </c>
      <c r="AD376" s="701">
        <f t="shared" si="184"/>
        <v>27.504792274759513</v>
      </c>
      <c r="AE376" s="702">
        <f t="shared" si="185"/>
        <v>-11.395635902596089</v>
      </c>
      <c r="AG376" s="701">
        <f t="shared" si="186"/>
        <v>-2.2607468968908067</v>
      </c>
      <c r="AH376" s="702">
        <f t="shared" si="187"/>
        <v>-66.852076899602963</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1.0004925686272168</v>
      </c>
      <c r="N377" s="694">
        <f t="shared" si="174"/>
        <v>-3.1380456517413113E-2</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-1.0613507686706283</v>
      </c>
      <c r="X377" s="699">
        <f t="shared" si="180"/>
        <v>-122.61086980085348</v>
      </c>
      <c r="Y377" s="702">
        <f t="shared" si="181"/>
        <v>57.389130199146521</v>
      </c>
      <c r="AA377" s="174">
        <f t="shared" si="182"/>
        <v>31623</v>
      </c>
      <c r="AB377" s="174">
        <f t="shared" si="183"/>
        <v>1000014129</v>
      </c>
      <c r="AD377" s="701">
        <f t="shared" si="184"/>
        <v>27.503489603772621</v>
      </c>
      <c r="AE377" s="702">
        <f t="shared" si="185"/>
        <v>-11.432479000834451</v>
      </c>
      <c r="AG377" s="701">
        <f t="shared" si="186"/>
        <v>-2.3055212473505158</v>
      </c>
      <c r="AH377" s="702">
        <f t="shared" si="187"/>
        <v>-66.746780951209715</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1.0004983159419125</v>
      </c>
      <c r="N378" s="694">
        <f t="shared" si="174"/>
        <v>-3.1562924375067018E-2</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-1.1177826127346191</v>
      </c>
      <c r="X378" s="699">
        <f t="shared" si="180"/>
        <v>-122.78732363184477</v>
      </c>
      <c r="Y378" s="702">
        <f t="shared" si="181"/>
        <v>57.212676368155229</v>
      </c>
      <c r="AA378" s="174">
        <f t="shared" si="182"/>
        <v>31807</v>
      </c>
      <c r="AB378" s="174">
        <f t="shared" si="183"/>
        <v>1011685249</v>
      </c>
      <c r="AD378" s="701">
        <f t="shared" si="184"/>
        <v>27.502152700022581</v>
      </c>
      <c r="AE378" s="702">
        <f t="shared" si="185"/>
        <v>-11.470286468526837</v>
      </c>
      <c r="AG378" s="701">
        <f t="shared" si="186"/>
        <v>-2.350977399409786</v>
      </c>
      <c r="AH378" s="702">
        <f t="shared" si="187"/>
        <v>-66.639117507452667</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1.0005040965673351</v>
      </c>
      <c r="N379" s="694">
        <f t="shared" si="174"/>
        <v>-3.1745390130302191E-2</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-1.1739527369713669</v>
      </c>
      <c r="X379" s="699">
        <f t="shared" si="180"/>
        <v>-122.96370039834812</v>
      </c>
      <c r="Y379" s="702">
        <f t="shared" si="181"/>
        <v>57.036299601651876</v>
      </c>
      <c r="AA379" s="174">
        <f t="shared" si="182"/>
        <v>31991</v>
      </c>
      <c r="AB379" s="174">
        <f t="shared" si="183"/>
        <v>1023424081</v>
      </c>
      <c r="AD379" s="701">
        <f t="shared" si="184"/>
        <v>27.500810424499864</v>
      </c>
      <c r="AE379" s="702">
        <f t="shared" si="185"/>
        <v>-11.508238323811598</v>
      </c>
      <c r="AG379" s="701">
        <f t="shared" si="186"/>
        <v>-2.3961203462039844</v>
      </c>
      <c r="AH379" s="702">
        <f t="shared" si="187"/>
        <v>-66.531428667838782</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1.0005099105029074</v>
      </c>
      <c r="N380" s="694">
        <f t="shared" si="174"/>
        <v>-3.1927853771005238E-2</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-1.229864408948985</v>
      </c>
      <c r="X380" s="699">
        <f t="shared" si="180"/>
        <v>-123.13999906218118</v>
      </c>
      <c r="Y380" s="702">
        <f t="shared" si="181"/>
        <v>56.860000937818825</v>
      </c>
      <c r="AA380" s="174">
        <f t="shared" si="182"/>
        <v>32175</v>
      </c>
      <c r="AB380" s="174">
        <f t="shared" si="183"/>
        <v>1035230625</v>
      </c>
      <c r="AD380" s="701">
        <f t="shared" si="184"/>
        <v>27.499462748841704</v>
      </c>
      <c r="AE380" s="702">
        <f t="shared" si="185"/>
        <v>-11.546331762621069</v>
      </c>
      <c r="AG380" s="701">
        <f t="shared" si="186"/>
        <v>-2.4409534756923539</v>
      </c>
      <c r="AH380" s="702">
        <f t="shared" si="187"/>
        <v>-66.423716891051427</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1.0005157577480486</v>
      </c>
      <c r="N381" s="694">
        <f t="shared" si="174"/>
        <v>-3.2110315285063605E-2</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-1.2855208386215409</v>
      </c>
      <c r="X381" s="699">
        <f t="shared" si="180"/>
        <v>-123.31621860227281</v>
      </c>
      <c r="Y381" s="702">
        <f t="shared" si="181"/>
        <v>56.683781397727188</v>
      </c>
      <c r="AA381" s="174">
        <f t="shared" si="182"/>
        <v>32359</v>
      </c>
      <c r="AB381" s="174">
        <f t="shared" si="183"/>
        <v>1047104881</v>
      </c>
      <c r="AD381" s="701">
        <f t="shared" si="184"/>
        <v>27.498109645689063</v>
      </c>
      <c r="AE381" s="702">
        <f t="shared" si="185"/>
        <v>-11.584564042868967</v>
      </c>
      <c r="AG381" s="701">
        <f t="shared" si="186"/>
        <v>-2.4854801195331278</v>
      </c>
      <c r="AH381" s="702">
        <f t="shared" si="187"/>
        <v>-66.315984584692956</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1.0005217825373416</v>
      </c>
      <c r="N382" s="694">
        <f t="shared" si="174"/>
        <v>-3.2297236955148897E-2</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-1.3422770454210324</v>
      </c>
      <c r="X382" s="699">
        <f t="shared" si="180"/>
        <v>-123.49666475945851</v>
      </c>
      <c r="Y382" s="702">
        <f t="shared" si="181"/>
        <v>56.503335240541489</v>
      </c>
      <c r="AA382" s="174">
        <f t="shared" si="182"/>
        <v>32547.5</v>
      </c>
      <c r="AB382" s="174">
        <f t="shared" si="183"/>
        <v>1059339756.25</v>
      </c>
      <c r="AD382" s="701">
        <f t="shared" si="184"/>
        <v>27.496717794534405</v>
      </c>
      <c r="AE382" s="702">
        <f t="shared" si="185"/>
        <v>-11.623872524711722</v>
      </c>
      <c r="AG382" s="701">
        <f t="shared" si="186"/>
        <v>-2.530781334706381</v>
      </c>
      <c r="AH382" s="702">
        <f t="shared" si="187"/>
        <v>-66.20559869670808</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1.0005278422841546</v>
      </c>
      <c r="N383" s="694">
        <f t="shared" si="174"/>
        <v>-3.2484156367564195E-2</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-1.3987720129878625</v>
      </c>
      <c r="X383" s="699">
        <f t="shared" si="180"/>
        <v>-123.67702575932684</v>
      </c>
      <c r="Y383" s="702">
        <f t="shared" si="181"/>
        <v>56.322974240673162</v>
      </c>
      <c r="AA383" s="174">
        <f t="shared" si="182"/>
        <v>32736</v>
      </c>
      <c r="AB383" s="174">
        <f t="shared" si="183"/>
        <v>1071645696</v>
      </c>
      <c r="AD383" s="701">
        <f t="shared" si="184"/>
        <v>27.495320192122392</v>
      </c>
      <c r="AE383" s="702">
        <f t="shared" si="185"/>
        <v>-11.663321088062919</v>
      </c>
      <c r="AG383" s="701">
        <f t="shared" si="186"/>
        <v>-2.5757677928237062</v>
      </c>
      <c r="AH383" s="702">
        <f t="shared" si="187"/>
        <v>-66.095196219570795</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1.0005339369878525</v>
      </c>
      <c r="N384" s="694">
        <f t="shared" si="174"/>
        <v>-3.267107350928912E-2</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-1.4550090129668189</v>
      </c>
      <c r="X384" s="699">
        <f t="shared" si="180"/>
        <v>-123.85730055741203</v>
      </c>
      <c r="Y384" s="702">
        <f t="shared" si="181"/>
        <v>56.142699442587968</v>
      </c>
      <c r="AA384" s="174">
        <f t="shared" si="182"/>
        <v>32924.5</v>
      </c>
      <c r="AB384" s="174">
        <f t="shared" si="183"/>
        <v>1084022700.25</v>
      </c>
      <c r="AD384" s="701">
        <f t="shared" si="184"/>
        <v>27.493916812102409</v>
      </c>
      <c r="AE384" s="702">
        <f t="shared" si="185"/>
        <v>-11.702906975829498</v>
      </c>
      <c r="AG384" s="701">
        <f t="shared" si="186"/>
        <v>-2.6204429004128338</v>
      </c>
      <c r="AH384" s="702">
        <f t="shared" si="187"/>
        <v>-65.984779583829152</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1.0005400666477964</v>
      </c>
      <c r="N385" s="694">
        <f t="shared" si="174"/>
        <v>-3.2857988367304261E-2</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-1.5109912591405104</v>
      </c>
      <c r="X385" s="699">
        <f t="shared" si="180"/>
        <v>-124.03748812645227</v>
      </c>
      <c r="Y385" s="702">
        <f t="shared" si="181"/>
        <v>55.962511873547726</v>
      </c>
      <c r="AA385" s="174">
        <f t="shared" si="182"/>
        <v>33113</v>
      </c>
      <c r="AB385" s="174">
        <f t="shared" si="183"/>
        <v>1096470769</v>
      </c>
      <c r="AD385" s="701">
        <f t="shared" si="184"/>
        <v>27.49250762909076</v>
      </c>
      <c r="AE385" s="702">
        <f t="shared" si="185"/>
        <v>-11.742627491809641</v>
      </c>
      <c r="AG385" s="701">
        <f t="shared" si="186"/>
        <v>-2.6648100074161549</v>
      </c>
      <c r="AH385" s="702">
        <f t="shared" si="187"/>
        <v>-65.874351169500102</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1.0005463706562912</v>
      </c>
      <c r="N386" s="694">
        <f t="shared" si="174"/>
        <v>-3.304911511095622E-2</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-1.5679755592913041</v>
      </c>
      <c r="X386" s="699">
        <f t="shared" si="180"/>
        <v>-124.22164702604454</v>
      </c>
      <c r="Y386" s="702">
        <f t="shared" si="181"/>
        <v>55.778352973955464</v>
      </c>
      <c r="AA386" s="174">
        <f t="shared" si="182"/>
        <v>33305.75</v>
      </c>
      <c r="AB386" s="174">
        <f t="shared" si="183"/>
        <v>1109272983.0625</v>
      </c>
      <c r="AD386" s="701">
        <f t="shared" si="184"/>
        <v>27.491060647860508</v>
      </c>
      <c r="AE386" s="702">
        <f t="shared" si="185"/>
        <v>-11.78338003166755</v>
      </c>
      <c r="AG386" s="701">
        <f t="shared" si="186"/>
        <v>-2.7098623706536347</v>
      </c>
      <c r="AH386" s="702">
        <f t="shared" si="187"/>
        <v>-65.761423238001484</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1.0005527112137151</v>
      </c>
      <c r="N387" s="694">
        <f t="shared" si="174"/>
        <v>-3.3240239439228443E-2</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-1.6247001054602761</v>
      </c>
      <c r="X387" s="699">
        <f t="shared" si="180"/>
        <v>-124.40571259983727</v>
      </c>
      <c r="Y387" s="702">
        <f t="shared" si="181"/>
        <v>55.594287400162727</v>
      </c>
      <c r="AA387" s="174">
        <f t="shared" si="182"/>
        <v>33498.5</v>
      </c>
      <c r="AB387" s="174">
        <f t="shared" si="183"/>
        <v>1122149502.25</v>
      </c>
      <c r="AD387" s="701">
        <f t="shared" si="184"/>
        <v>27.489607548293655</v>
      </c>
      <c r="AE387" s="702">
        <f t="shared" si="185"/>
        <v>-11.8242678246339</v>
      </c>
      <c r="AG387" s="701">
        <f t="shared" si="186"/>
        <v>-2.7545995968773052</v>
      </c>
      <c r="AH387" s="702">
        <f t="shared" si="187"/>
        <v>-65.648487867977153</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1.0005590883193738</v>
      </c>
      <c r="N388" s="694">
        <f t="shared" si="174"/>
        <v>-3.3431361338204013E-2</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-1.6811681545239674</v>
      </c>
      <c r="X388" s="699">
        <f t="shared" si="180"/>
        <v>-124.5896838028623</v>
      </c>
      <c r="Y388" s="702">
        <f t="shared" si="181"/>
        <v>55.410316197137703</v>
      </c>
      <c r="AA388" s="174">
        <f t="shared" si="182"/>
        <v>33691.25</v>
      </c>
      <c r="AB388" s="174">
        <f t="shared" si="183"/>
        <v>1135100326.5625</v>
      </c>
      <c r="AD388" s="701">
        <f t="shared" si="184"/>
        <v>27.488148306184709</v>
      </c>
      <c r="AE388" s="702">
        <f t="shared" si="185"/>
        <v>-11.865288174546645</v>
      </c>
      <c r="AG388" s="701">
        <f t="shared" si="186"/>
        <v>-2.7990250924304325</v>
      </c>
      <c r="AH388" s="702">
        <f t="shared" si="187"/>
        <v>-65.535547448697955</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1.0005655019725681</v>
      </c>
      <c r="N389" s="694">
        <f t="shared" si="174"/>
        <v>-3.3622480793967083E-2</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-1.7373829056816135</v>
      </c>
      <c r="X389" s="699">
        <f t="shared" si="180"/>
        <v>-124.77355960735225</v>
      </c>
      <c r="Y389" s="702">
        <f t="shared" si="181"/>
        <v>55.226440392647746</v>
      </c>
      <c r="AA389" s="174">
        <f t="shared" si="182"/>
        <v>33884</v>
      </c>
      <c r="AB389" s="174">
        <f t="shared" si="183"/>
        <v>1148125456</v>
      </c>
      <c r="AD389" s="701">
        <f t="shared" si="184"/>
        <v>27.486682898253076</v>
      </c>
      <c r="AE389" s="702">
        <f t="shared" si="185"/>
        <v>-11.906438444619454</v>
      </c>
      <c r="AG389" s="701">
        <f t="shared" si="186"/>
        <v>-2.843142207208571</v>
      </c>
      <c r="AH389" s="702">
        <f t="shared" si="187"/>
        <v>-65.422604319784099</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1.0005721115883501</v>
      </c>
      <c r="N390" s="694">
        <f t="shared" si="174"/>
        <v>-3.3818307518886537E-2</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-1.7947235233762231</v>
      </c>
      <c r="X390" s="699">
        <f t="shared" si="180"/>
        <v>-124.9618667111675</v>
      </c>
      <c r="Y390" s="702">
        <f t="shared" si="181"/>
        <v>55.038133288832498</v>
      </c>
      <c r="AA390" s="174">
        <f t="shared" si="182"/>
        <v>34081.5</v>
      </c>
      <c r="AB390" s="174">
        <f t="shared" si="183"/>
        <v>1161548642.25</v>
      </c>
      <c r="AD390" s="701">
        <f t="shared" si="184"/>
        <v>27.485174958784601</v>
      </c>
      <c r="AE390" s="702">
        <f t="shared" si="185"/>
        <v>-11.948734859277163</v>
      </c>
      <c r="AG390" s="701">
        <f t="shared" si="186"/>
        <v>-2.8880300857119212</v>
      </c>
      <c r="AH390" s="702">
        <f t="shared" si="187"/>
        <v>-65.306877482419992</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1.0005787595736697</v>
      </c>
      <c r="N391" s="694">
        <f t="shared" si="174"/>
        <v>-3.4014131649115049E-2</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-1.8518048255200217</v>
      </c>
      <c r="X391" s="699">
        <f t="shared" si="180"/>
        <v>-125.15007152572115</v>
      </c>
      <c r="Y391" s="702">
        <f t="shared" si="181"/>
        <v>54.849928474278855</v>
      </c>
      <c r="AA391" s="174">
        <f t="shared" si="182"/>
        <v>34279</v>
      </c>
      <c r="AB391" s="174">
        <f t="shared" si="183"/>
        <v>1175049841</v>
      </c>
      <c r="AD391" s="701">
        <f t="shared" si="184"/>
        <v>27.483660499217667</v>
      </c>
      <c r="AE391" s="702">
        <f t="shared" si="185"/>
        <v>-11.991162255388414</v>
      </c>
      <c r="AG391" s="701">
        <f t="shared" si="186"/>
        <v>-2.9326011416146214</v>
      </c>
      <c r="AH391" s="702">
        <f t="shared" si="187"/>
        <v>-65.191152619202697</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1.0005854459277626</v>
      </c>
      <c r="N392" s="694">
        <f t="shared" si="174"/>
        <v>-3.4209953169685933E-2</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-1.9086300737711763</v>
      </c>
      <c r="X392" s="699">
        <f t="shared" si="180"/>
        <v>-125.33817299915859</v>
      </c>
      <c r="Y392" s="702">
        <f t="shared" si="181"/>
        <v>54.661827000841413</v>
      </c>
      <c r="AA392" s="174">
        <f t="shared" si="182"/>
        <v>34476.5</v>
      </c>
      <c r="AB392" s="174">
        <f t="shared" si="183"/>
        <v>1188629052.25</v>
      </c>
      <c r="AD392" s="701">
        <f t="shared" si="184"/>
        <v>27.482139497335375</v>
      </c>
      <c r="AE392" s="702">
        <f t="shared" si="185"/>
        <v>-12.033717979606976</v>
      </c>
      <c r="AG392" s="701">
        <f t="shared" si="186"/>
        <v>-2.9768588024546849</v>
      </c>
      <c r="AH392" s="702">
        <f t="shared" si="187"/>
        <v>-65.075432093178023</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1.0005921706498593</v>
      </c>
      <c r="N393" s="694">
        <f t="shared" si="174"/>
        <v>-3.4405772065633673E-2</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-1.9652024718245842</v>
      </c>
      <c r="X393" s="699">
        <f t="shared" si="180"/>
        <v>-125.52617009699843</v>
      </c>
      <c r="Y393" s="702">
        <f t="shared" si="181"/>
        <v>54.473829903001572</v>
      </c>
      <c r="AA393" s="174">
        <f t="shared" si="182"/>
        <v>34674</v>
      </c>
      <c r="AB393" s="174">
        <f t="shared" si="183"/>
        <v>1202286276</v>
      </c>
      <c r="AD393" s="701">
        <f t="shared" si="184"/>
        <v>27.480611931813272</v>
      </c>
      <c r="AE393" s="702">
        <f t="shared" si="185"/>
        <v>-12.076399436960759</v>
      </c>
      <c r="AG393" s="701">
        <f t="shared" si="186"/>
        <v>-3.020806438996948</v>
      </c>
      <c r="AH393" s="702">
        <f t="shared" si="187"/>
        <v>-64.959718218166728</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1.0005990796957092</v>
      </c>
      <c r="N394" s="694">
        <f t="shared" si="174"/>
        <v>-3.4605802060413311E-2</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-2.0227344525947393</v>
      </c>
      <c r="X394" s="699">
        <f t="shared" si="180"/>
        <v>-125.71810387515961</v>
      </c>
      <c r="Y394" s="702">
        <f t="shared" si="181"/>
        <v>54.281896124840387</v>
      </c>
      <c r="AA394" s="174">
        <f t="shared" si="182"/>
        <v>34875.75</v>
      </c>
      <c r="AB394" s="174">
        <f t="shared" si="183"/>
        <v>1216317938.0625</v>
      </c>
      <c r="AD394" s="701">
        <f t="shared" si="184"/>
        <v>27.479044696331094</v>
      </c>
      <c r="AE394" s="702">
        <f t="shared" si="185"/>
        <v>-12.120126537529956</v>
      </c>
      <c r="AG394" s="701">
        <f t="shared" si="186"/>
        <v>-3.0653831282841102</v>
      </c>
      <c r="AH394" s="702">
        <f t="shared" si="187"/>
        <v>-64.841523521037459</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1.0006060287769745</v>
      </c>
      <c r="N395" s="694">
        <f t="shared" si="174"/>
        <v>-3.4805829284830732E-2</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-2.0800091626551205</v>
      </c>
      <c r="X395" s="699">
        <f t="shared" si="180"/>
        <v>-125.90992660894666</v>
      </c>
      <c r="Y395" s="702">
        <f t="shared" si="181"/>
        <v>54.090073391053338</v>
      </c>
      <c r="AA395" s="174">
        <f t="shared" si="182"/>
        <v>35077.5</v>
      </c>
      <c r="AB395" s="174">
        <f t="shared" si="183"/>
        <v>1230431006.25</v>
      </c>
      <c r="AD395" s="701">
        <f t="shared" si="184"/>
        <v>27.47747056942513</v>
      </c>
      <c r="AE395" s="702">
        <f t="shared" si="185"/>
        <v>-12.16397954605509</v>
      </c>
      <c r="AG395" s="701">
        <f t="shared" si="186"/>
        <v>-3.1096432416879773</v>
      </c>
      <c r="AH395" s="702">
        <f t="shared" si="187"/>
        <v>-64.723340493518151</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1.000613017892821</v>
      </c>
      <c r="N396" s="694">
        <f t="shared" si="174"/>
        <v>-3.500585372293729E-2</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-2.1370298381055925</v>
      </c>
      <c r="X396" s="699">
        <f t="shared" si="180"/>
        <v>-126.1016372494483</v>
      </c>
      <c r="Y396" s="702">
        <f t="shared" si="181"/>
        <v>53.898362750551698</v>
      </c>
      <c r="AA396" s="174">
        <f t="shared" si="182"/>
        <v>35279.25</v>
      </c>
      <c r="AB396" s="174">
        <f t="shared" si="183"/>
        <v>1244625480.5625</v>
      </c>
      <c r="AD396" s="701">
        <f t="shared" si="184"/>
        <v>27.4758895310644</v>
      </c>
      <c r="AE396" s="702">
        <f t="shared" si="185"/>
        <v>-12.207955874625336</v>
      </c>
      <c r="AG396" s="701">
        <f t="shared" si="186"/>
        <v>-3.1535901969971154</v>
      </c>
      <c r="AH396" s="702">
        <f t="shared" si="187"/>
        <v>-64.605171451078022</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1.00062004704241</v>
      </c>
      <c r="N397" s="694">
        <f t="shared" ref="N397:N460" si="206">-ATAN(G397/z_RHP)</f>
        <v>-3.5205875358785686E-2</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-2.1937996575028746</v>
      </c>
      <c r="X397" s="699">
        <f t="shared" ref="X397:X460" si="212">((L397+R397+N397+V397)-(J397+P397+T397))*radconv</f>
        <v>-126.29323476512502</v>
      </c>
      <c r="Y397" s="702">
        <f t="shared" ref="Y397:Y460" si="213">IF(X397&gt;0,X397,X397+180)</f>
        <v>53.706765234874979</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-3.1972273555903685</v>
      </c>
      <c r="AH397" s="702">
        <f t="shared" ref="AH397:AH460" si="219">(L397+N397-(J397+V397))*radconv</f>
        <v>-64.487018660931668</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1.0006272919298471</v>
      </c>
      <c r="N398" s="694">
        <f t="shared" si="206"/>
        <v>-3.5410851236358211E-2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-2.2517194188667404</v>
      </c>
      <c r="X398" s="699">
        <f t="shared" si="212"/>
        <v>-126.4894622441948</v>
      </c>
      <c r="Y398" s="702">
        <f t="shared" si="213"/>
        <v>53.510537755805203</v>
      </c>
      <c r="AA398" s="174">
        <f t="shared" si="214"/>
        <v>35687.75</v>
      </c>
      <c r="AB398" s="174">
        <f t="shared" si="215"/>
        <v>1273615500.0625</v>
      </c>
      <c r="AD398" s="701">
        <f t="shared" si="216"/>
        <v>27.47266702860021</v>
      </c>
      <c r="AE398" s="702">
        <f t="shared" si="217"/>
        <v>-12.297365701216096</v>
      </c>
      <c r="AG398" s="701">
        <f t="shared" si="218"/>
        <v>-3.2416280300090135</v>
      </c>
      <c r="AH398" s="702">
        <f t="shared" si="219"/>
        <v>-64.365956856371525</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1.0006345788581408</v>
      </c>
      <c r="N399" s="694">
        <f t="shared" si="206"/>
        <v>-3.5615824137148019E-2</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-2.3093823152602653</v>
      </c>
      <c r="X399" s="699">
        <f t="shared" si="212"/>
        <v>-126.68556878272422</v>
      </c>
      <c r="Y399" s="702">
        <f t="shared" si="213"/>
        <v>53.314431217275782</v>
      </c>
      <c r="AA399" s="174">
        <f t="shared" si="214"/>
        <v>35894.5</v>
      </c>
      <c r="AB399" s="174">
        <f t="shared" si="215"/>
        <v>1288415130.25</v>
      </c>
      <c r="AD399" s="701">
        <f t="shared" si="216"/>
        <v>27.471025178553212</v>
      </c>
      <c r="AE399" s="702">
        <f t="shared" si="217"/>
        <v>-12.342800053891933</v>
      </c>
      <c r="AG399" s="701">
        <f t="shared" si="218"/>
        <v>-3.2857103333599995</v>
      </c>
      <c r="AH399" s="702">
        <f t="shared" si="219"/>
        <v>-64.244916790556729</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1.000641907826372</v>
      </c>
      <c r="N400" s="694">
        <f t="shared" si="206"/>
        <v>-3.5820794043996906E-2</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-2.3667915878697063</v>
      </c>
      <c r="X400" s="699">
        <f t="shared" si="212"/>
        <v>-126.88155332502052</v>
      </c>
      <c r="Y400" s="702">
        <f t="shared" si="213"/>
        <v>53.118446674979481</v>
      </c>
      <c r="AA400" s="174">
        <f t="shared" si="214"/>
        <v>36101.25</v>
      </c>
      <c r="AB400" s="174">
        <f t="shared" si="215"/>
        <v>1303300251.5625</v>
      </c>
      <c r="AD400" s="701">
        <f t="shared" si="216"/>
        <v>27.469375993891457</v>
      </c>
      <c r="AE400" s="702">
        <f t="shared" si="217"/>
        <v>-12.388353500991462</v>
      </c>
      <c r="AG400" s="701">
        <f t="shared" si="218"/>
        <v>-3.329477707042523</v>
      </c>
      <c r="AH400" s="702">
        <f t="shared" si="219"/>
        <v>-64.123900753760353</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1.0006492788336174</v>
      </c>
      <c r="N401" s="694">
        <f t="shared" si="206"/>
        <v>-3.6025760939748193E-2</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-2.4239504200229165</v>
      </c>
      <c r="X401" s="699">
        <f t="shared" si="212"/>
        <v>-127.07741483302098</v>
      </c>
      <c r="Y401" s="702">
        <f t="shared" si="213"/>
        <v>52.922585166979019</v>
      </c>
      <c r="AA401" s="174">
        <f t="shared" si="214"/>
        <v>36308</v>
      </c>
      <c r="AB401" s="174">
        <f t="shared" si="215"/>
        <v>1318270864</v>
      </c>
      <c r="AD401" s="701">
        <f t="shared" si="216"/>
        <v>27.467719457401031</v>
      </c>
      <c r="AE401" s="702">
        <f t="shared" si="217"/>
        <v>-12.434023549230247</v>
      </c>
      <c r="AG401" s="701">
        <f t="shared" si="218"/>
        <v>-3.3729335356849255</v>
      </c>
      <c r="AH401" s="702">
        <f t="shared" si="219"/>
        <v>-64.002910988300599</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1.0006568626847427</v>
      </c>
      <c r="N402" s="694">
        <f t="shared" si="206"/>
        <v>-3.6235433735832809E-2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-2.4821665764880749</v>
      </c>
      <c r="X402" s="699">
        <f t="shared" si="212"/>
        <v>-127.27764781120982</v>
      </c>
      <c r="Y402" s="702">
        <f t="shared" si="213"/>
        <v>52.722352188790182</v>
      </c>
      <c r="AA402" s="174">
        <f t="shared" si="214"/>
        <v>36519.5</v>
      </c>
      <c r="AB402" s="174">
        <f t="shared" si="215"/>
        <v>1333673880.25</v>
      </c>
      <c r="AD402" s="701">
        <f t="shared" si="216"/>
        <v>27.466017238395398</v>
      </c>
      <c r="AE402" s="702">
        <f t="shared" si="217"/>
        <v>-12.480860956307399</v>
      </c>
      <c r="AG402" s="701">
        <f t="shared" si="218"/>
        <v>-3.4170688520140042</v>
      </c>
      <c r="AH402" s="702">
        <f t="shared" si="219"/>
        <v>-63.87917100311082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1.0006644905267588</v>
      </c>
      <c r="N403" s="694">
        <f t="shared" si="206"/>
        <v>-3.6445103344557118E-2</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-2.5401272121245877</v>
      </c>
      <c r="X403" s="699">
        <f t="shared" si="212"/>
        <v>-127.47774989422209</v>
      </c>
      <c r="Y403" s="702">
        <f t="shared" si="213"/>
        <v>52.522250105777914</v>
      </c>
      <c r="AA403" s="174">
        <f t="shared" si="214"/>
        <v>36731</v>
      </c>
      <c r="AB403" s="174">
        <f t="shared" si="215"/>
        <v>1349166361</v>
      </c>
      <c r="AD403" s="701">
        <f t="shared" si="216"/>
        <v>27.46430729195076</v>
      </c>
      <c r="AE403" s="702">
        <f t="shared" si="217"/>
        <v>-12.52781527754704</v>
      </c>
      <c r="AG403" s="701">
        <f t="shared" si="218"/>
        <v>-3.4608851324440466</v>
      </c>
      <c r="AH403" s="702">
        <f t="shared" si="219"/>
        <v>-63.755463108826781</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1.0006721623586599</v>
      </c>
      <c r="N404" s="694">
        <f t="shared" si="206"/>
        <v>-3.6654769747559504E-2</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-2.5978355552872587</v>
      </c>
      <c r="X404" s="699">
        <f t="shared" si="212"/>
        <v>-127.67772002577678</v>
      </c>
      <c r="Y404" s="702">
        <f t="shared" si="213"/>
        <v>52.322279974223221</v>
      </c>
      <c r="AA404" s="174">
        <f t="shared" si="214"/>
        <v>36942.5</v>
      </c>
      <c r="AB404" s="174">
        <f t="shared" si="215"/>
        <v>1364748306.25</v>
      </c>
      <c r="AD404" s="701">
        <f t="shared" si="216"/>
        <v>27.462589602142216</v>
      </c>
      <c r="AE404" s="702">
        <f t="shared" si="217"/>
        <v>-12.574884014987243</v>
      </c>
      <c r="AG404" s="701">
        <f t="shared" si="218"/>
        <v>-3.5043858241136072</v>
      </c>
      <c r="AH404" s="702">
        <f t="shared" si="219"/>
        <v>-63.631789557955372</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1.0006798781794342</v>
      </c>
      <c r="N405" s="694">
        <f t="shared" si="206"/>
        <v>-3.6864432926480027E-2</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-2.65529477657046</v>
      </c>
      <c r="X405" s="699">
        <f t="shared" si="212"/>
        <v>-127.8775571673976</v>
      </c>
      <c r="Y405" s="702">
        <f t="shared" si="213"/>
        <v>52.122442832602403</v>
      </c>
      <c r="AA405" s="174">
        <f t="shared" si="214"/>
        <v>37154</v>
      </c>
      <c r="AB405" s="174">
        <f t="shared" si="215"/>
        <v>1380419716</v>
      </c>
      <c r="AD405" s="701">
        <f t="shared" si="216"/>
        <v>27.46086415383499</v>
      </c>
      <c r="AE405" s="702">
        <f t="shared" si="217"/>
        <v>-12.622064725153844</v>
      </c>
      <c r="AG405" s="701">
        <f t="shared" si="218"/>
        <v>-3.5475743174298291</v>
      </c>
      <c r="AH405" s="702">
        <f t="shared" si="219"/>
        <v>-63.508152555637366</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1.000687812767765</v>
      </c>
      <c r="N406" s="694">
        <f t="shared" si="206"/>
        <v>-3.7078801500286661E-2</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-2.7137901196940057</v>
      </c>
      <c r="X406" s="699">
        <f t="shared" si="212"/>
        <v>-128.08174381010269</v>
      </c>
      <c r="Y406" s="702">
        <f t="shared" si="213"/>
        <v>51.918256189897306</v>
      </c>
      <c r="AA406" s="174">
        <f t="shared" si="214"/>
        <v>37370.25</v>
      </c>
      <c r="AB406" s="174">
        <f t="shared" si="215"/>
        <v>1396535585.0625</v>
      </c>
      <c r="AD406" s="701">
        <f t="shared" si="216"/>
        <v>27.459091917536806</v>
      </c>
      <c r="AE406" s="702">
        <f t="shared" si="217"/>
        <v>-12.670418332623997</v>
      </c>
      <c r="AG406" s="701">
        <f t="shared" si="218"/>
        <v>-3.5914134443184116</v>
      </c>
      <c r="AH406" s="702">
        <f t="shared" si="219"/>
        <v>-63.381778873482268</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1.0006957933408585</v>
      </c>
      <c r="N407" s="694">
        <f t="shared" si="206"/>
        <v>-3.7293166664754976E-2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-2.7720315499025574</v>
      </c>
      <c r="X407" s="699">
        <f t="shared" si="212"/>
        <v>-128.28578928204729</v>
      </c>
      <c r="Y407" s="702">
        <f t="shared" si="213"/>
        <v>51.71421071795271</v>
      </c>
      <c r="AA407" s="174">
        <f t="shared" si="214"/>
        <v>37586.5</v>
      </c>
      <c r="AB407" s="174">
        <f t="shared" si="215"/>
        <v>1412744982.25</v>
      </c>
      <c r="AD407" s="701">
        <f t="shared" si="216"/>
        <v>27.457311540756137</v>
      </c>
      <c r="AE407" s="702">
        <f t="shared" si="217"/>
        <v>-12.7188840003178</v>
      </c>
      <c r="AG407" s="701">
        <f t="shared" si="218"/>
        <v>-3.6349331846658965</v>
      </c>
      <c r="AH407" s="702">
        <f t="shared" si="219"/>
        <v>-63.255447915915148</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1.0007038198976144</v>
      </c>
      <c r="N408" s="694">
        <f t="shared" si="206"/>
        <v>-3.7507528400265583E-2</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-2.8300222774064321</v>
      </c>
      <c r="X408" s="699">
        <f t="shared" si="212"/>
        <v>-128.48969252869693</v>
      </c>
      <c r="Y408" s="702">
        <f t="shared" si="213"/>
        <v>51.510307471303065</v>
      </c>
      <c r="AA408" s="174">
        <f t="shared" si="214"/>
        <v>37802.75</v>
      </c>
      <c r="AB408" s="174">
        <f t="shared" si="215"/>
        <v>1429047907.5625</v>
      </c>
      <c r="AD408" s="701">
        <f t="shared" si="216"/>
        <v>27.455523009715833</v>
      </c>
      <c r="AE408" s="702">
        <f t="shared" si="217"/>
        <v>-12.767459283308375</v>
      </c>
      <c r="AG408" s="701">
        <f t="shared" si="218"/>
        <v>-3.6781369867331919</v>
      </c>
      <c r="AH408" s="702">
        <f t="shared" si="219"/>
        <v>-63.129161894070357</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1.0007118924369263</v>
      </c>
      <c r="N409" s="694">
        <f t="shared" si="206"/>
        <v>-3.7721886687200973E-2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-2.8877654548693816</v>
      </c>
      <c r="X409" s="699">
        <f t="shared" si="212"/>
        <v>-128.69345251350137</v>
      </c>
      <c r="Y409" s="702">
        <f t="shared" si="213"/>
        <v>51.30654748649863</v>
      </c>
      <c r="AA409" s="174">
        <f t="shared" si="214"/>
        <v>38019</v>
      </c>
      <c r="AB409" s="174">
        <f t="shared" si="215"/>
        <v>1445444361</v>
      </c>
      <c r="AD409" s="701">
        <f t="shared" si="216"/>
        <v>27.453726311396565</v>
      </c>
      <c r="AE409" s="702">
        <f t="shared" si="217"/>
        <v>-12.816141789795978</v>
      </c>
      <c r="AG409" s="701">
        <f t="shared" si="218"/>
        <v>-3.7210282421978897</v>
      </c>
      <c r="AH409" s="702">
        <f t="shared" si="219"/>
        <v>-63.002922972341835</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1.0007202086264144</v>
      </c>
      <c r="N410" s="694">
        <f t="shared" si="206"/>
        <v>-3.7941445452478739E-2</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-2.9466570877283504</v>
      </c>
      <c r="X410" s="699">
        <f t="shared" si="212"/>
        <v>-128.90200968663717</v>
      </c>
      <c r="Y410" s="702">
        <f t="shared" si="213"/>
        <v>51.097990313362828</v>
      </c>
      <c r="AA410" s="174">
        <f t="shared" si="214"/>
        <v>38240.5</v>
      </c>
      <c r="AB410" s="174">
        <f t="shared" si="215"/>
        <v>1462335840.25</v>
      </c>
      <c r="AD410" s="701">
        <f t="shared" si="216"/>
        <v>27.451877513869608</v>
      </c>
      <c r="AE410" s="702">
        <f t="shared" si="217"/>
        <v>-12.866114898106712</v>
      </c>
      <c r="AG410" s="701">
        <f t="shared" si="218"/>
        <v>-3.7646402542894504</v>
      </c>
      <c r="AH410" s="702">
        <f t="shared" si="219"/>
        <v>-62.873670333962934</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1.0007285730558695</v>
      </c>
      <c r="N411" s="694">
        <f t="shared" si="206"/>
        <v>-3.8161000558046707E-2</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-3.0052955209458716</v>
      </c>
      <c r="X411" s="699">
        <f t="shared" si="212"/>
        <v>-129.11041441240081</v>
      </c>
      <c r="Y411" s="702">
        <f t="shared" si="213"/>
        <v>50.889585587599186</v>
      </c>
      <c r="AA411" s="174">
        <f t="shared" si="214"/>
        <v>38462</v>
      </c>
      <c r="AB411" s="174">
        <f t="shared" si="215"/>
        <v>1479325444</v>
      </c>
      <c r="AD411" s="701">
        <f t="shared" si="216"/>
        <v>27.450020122372241</v>
      </c>
      <c r="AE411" s="702">
        <f t="shared" si="217"/>
        <v>-12.916195584196206</v>
      </c>
      <c r="AG411" s="701">
        <f t="shared" si="218"/>
        <v>-3.8079313865088733</v>
      </c>
      <c r="AH411" s="702">
        <f t="shared" si="219"/>
        <v>-62.744471561747766</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1.0007369857240813</v>
      </c>
      <c r="N412" s="694">
        <f t="shared" si="206"/>
        <v>-3.8380551982829858E-2</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-3.0636839631354258</v>
      </c>
      <c r="X412" s="699">
        <f t="shared" si="212"/>
        <v>-129.31866563336669</v>
      </c>
      <c r="Y412" s="702">
        <f t="shared" si="213"/>
        <v>50.681334366633308</v>
      </c>
      <c r="AA412" s="174">
        <f t="shared" si="214"/>
        <v>38683.5</v>
      </c>
      <c r="AB412" s="174">
        <f t="shared" si="215"/>
        <v>1496413172.25</v>
      </c>
      <c r="AD412" s="701">
        <f t="shared" si="216"/>
        <v>27.44815412523149</v>
      </c>
      <c r="AE412" s="702">
        <f t="shared" si="217"/>
        <v>-12.966381441560925</v>
      </c>
      <c r="AG412" s="701">
        <f t="shared" si="218"/>
        <v>-3.8509051072140812</v>
      </c>
      <c r="AH412" s="702">
        <f t="shared" si="219"/>
        <v>-62.615328836591544</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1.000745446629834</v>
      </c>
      <c r="N413" s="694">
        <f t="shared" si="206"/>
        <v>-3.8600099705755279E-2</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-3.121825565171866</v>
      </c>
      <c r="X413" s="699">
        <f t="shared" si="212"/>
        <v>-129.52676231044413</v>
      </c>
      <c r="Y413" s="702">
        <f t="shared" si="213"/>
        <v>50.473237689555873</v>
      </c>
      <c r="AA413" s="174">
        <f t="shared" si="214"/>
        <v>38905</v>
      </c>
      <c r="AB413" s="174">
        <f t="shared" si="215"/>
        <v>1513599025</v>
      </c>
      <c r="AD413" s="701">
        <f t="shared" si="216"/>
        <v>27.446279511507051</v>
      </c>
      <c r="AE413" s="702">
        <f t="shared" si="217"/>
        <v>-13.016670115871062</v>
      </c>
      <c r="AG413" s="701">
        <f t="shared" si="218"/>
        <v>-3.8935648279217427</v>
      </c>
      <c r="AH413" s="702">
        <f t="shared" si="219"/>
        <v>-62.486244292886894</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1.000754148408568</v>
      </c>
      <c r="N414" s="694">
        <f t="shared" si="206"/>
        <v>-3.8824599509121295E-2</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-3.1810275814350968</v>
      </c>
      <c r="X414" s="699">
        <f t="shared" si="212"/>
        <v>-129.73939554954549</v>
      </c>
      <c r="Y414" s="702">
        <f t="shared" si="213"/>
        <v>50.260604450454508</v>
      </c>
      <c r="AA414" s="174">
        <f t="shared" si="214"/>
        <v>39131.5</v>
      </c>
      <c r="AB414" s="174">
        <f t="shared" si="215"/>
        <v>1531274292.25</v>
      </c>
      <c r="AD414" s="701">
        <f t="shared" si="216"/>
        <v>27.444353660253434</v>
      </c>
      <c r="AE414" s="702">
        <f t="shared" si="217"/>
        <v>-13.068197899390878</v>
      </c>
      <c r="AG414" s="701">
        <f t="shared" si="218"/>
        <v>-3.9368663061929459</v>
      </c>
      <c r="AH414" s="702">
        <f t="shared" si="219"/>
        <v>-62.35430821946445</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1.0007629006245944</v>
      </c>
      <c r="N415" s="694">
        <f t="shared" si="206"/>
        <v>-3.9049095397055929E-2</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-3.239977972430037</v>
      </c>
      <c r="X415" s="699">
        <f t="shared" si="212"/>
        <v>-129.95186504849551</v>
      </c>
      <c r="Y415" s="702">
        <f t="shared" si="213"/>
        <v>50.048134951504494</v>
      </c>
      <c r="AA415" s="174">
        <f t="shared" si="214"/>
        <v>39358</v>
      </c>
      <c r="AB415" s="174">
        <f t="shared" si="215"/>
        <v>1549052164</v>
      </c>
      <c r="AD415" s="701">
        <f t="shared" si="216"/>
        <v>27.442418778123113</v>
      </c>
      <c r="AE415" s="702">
        <f t="shared" si="217"/>
        <v>-13.119828375621559</v>
      </c>
      <c r="AG415" s="701">
        <f t="shared" si="218"/>
        <v>-3.9798464870251897</v>
      </c>
      <c r="AH415" s="702">
        <f t="shared" si="219"/>
        <v>-62.222437353979963</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1.0007717032765897</v>
      </c>
      <c r="N416" s="694">
        <f t="shared" si="206"/>
        <v>-3.9273587347033755E-2</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-3.2986799284332449</v>
      </c>
      <c r="X416" s="699">
        <f t="shared" si="212"/>
        <v>-130.16416975353181</v>
      </c>
      <c r="Y416" s="702">
        <f t="shared" si="213"/>
        <v>49.835830246468191</v>
      </c>
      <c r="AA416" s="174">
        <f t="shared" si="214"/>
        <v>39584.5</v>
      </c>
      <c r="AB416" s="174">
        <f t="shared" si="215"/>
        <v>1566932640.25</v>
      </c>
      <c r="AD416" s="701">
        <f t="shared" si="216"/>
        <v>27.440474855646734</v>
      </c>
      <c r="AE416" s="702">
        <f t="shared" si="217"/>
        <v>-13.171559187062083</v>
      </c>
      <c r="AG416" s="701">
        <f t="shared" si="218"/>
        <v>-4.0225088420517929</v>
      </c>
      <c r="AH416" s="702">
        <f t="shared" si="219"/>
        <v>-62.090633835157632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1.0007805563632231</v>
      </c>
      <c r="N417" s="694">
        <f t="shared" si="206"/>
        <v>-3.9498075336531699E-2</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-3.3571365821793719</v>
      </c>
      <c r="X417" s="699">
        <f t="shared" si="212"/>
        <v>-130.37630862950189</v>
      </c>
      <c r="Y417" s="702">
        <f t="shared" si="213"/>
        <v>49.623691370498108</v>
      </c>
      <c r="AA417" s="174">
        <f t="shared" si="214"/>
        <v>39811</v>
      </c>
      <c r="AB417" s="174">
        <f t="shared" si="215"/>
        <v>1584915721</v>
      </c>
      <c r="AD417" s="701">
        <f t="shared" si="216"/>
        <v>27.438521884059238</v>
      </c>
      <c r="AE417" s="702">
        <f t="shared" si="217"/>
        <v>-13.223388027112907</v>
      </c>
      <c r="AG417" s="701">
        <f t="shared" si="218"/>
        <v>-4.064856786181366</v>
      </c>
      <c r="AH417" s="702">
        <f t="shared" si="219"/>
        <v>-61.95889975571005</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1.0007896668541638</v>
      </c>
      <c r="N418" s="694">
        <f t="shared" si="206"/>
        <v>-3.9727762567292234E-2</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-3.4166975031705489</v>
      </c>
      <c r="X418" s="699">
        <f t="shared" si="212"/>
        <v>-130.5931919320137</v>
      </c>
      <c r="Y418" s="702">
        <f t="shared" si="213"/>
        <v>49.406808067986304</v>
      </c>
      <c r="AA418" s="174">
        <f t="shared" si="214"/>
        <v>40042.75</v>
      </c>
      <c r="AB418" s="174">
        <f t="shared" si="215"/>
        <v>1603421827.5625</v>
      </c>
      <c r="AD418" s="701">
        <f t="shared" si="216"/>
        <v>27.436514270328203</v>
      </c>
      <c r="AE418" s="702">
        <f t="shared" si="217"/>
        <v>-13.276517307153574</v>
      </c>
      <c r="AG418" s="701">
        <f t="shared" si="218"/>
        <v>-4.1078643820144309</v>
      </c>
      <c r="AH418" s="702">
        <f t="shared" si="219"/>
        <v>-61.824186245329429</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1.0007988301420254</v>
      </c>
      <c r="N419" s="694">
        <f t="shared" si="206"/>
        <v>-3.9957445604149266E-2</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-3.4760080749492079</v>
      </c>
      <c r="X419" s="699">
        <f t="shared" si="212"/>
        <v>-130.80989949463918</v>
      </c>
      <c r="Y419" s="702">
        <f t="shared" si="213"/>
        <v>49.190100505360817</v>
      </c>
      <c r="AA419" s="174">
        <f t="shared" si="214"/>
        <v>40274.5</v>
      </c>
      <c r="AB419" s="174">
        <f t="shared" si="215"/>
        <v>1622035350.25</v>
      </c>
      <c r="AD419" s="701">
        <f t="shared" si="216"/>
        <v>27.434497166727411</v>
      </c>
      <c r="AE419" s="702">
        <f t="shared" si="217"/>
        <v>-13.329744484432874</v>
      </c>
      <c r="AG419" s="701">
        <f t="shared" si="218"/>
        <v>-4.1505498792677713</v>
      </c>
      <c r="AH419" s="702">
        <f t="shared" si="219"/>
        <v>-61.689549720450152</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1.0008080462253577</v>
      </c>
      <c r="N420" s="694">
        <f t="shared" si="206"/>
        <v>-4.0187124422984784E-2</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-3.5350714745910716</v>
      </c>
      <c r="X420" s="699">
        <f t="shared" si="212"/>
        <v>-131.02643026689935</v>
      </c>
      <c r="Y420" s="702">
        <f t="shared" si="213"/>
        <v>48.973569733100646</v>
      </c>
      <c r="AA420" s="174">
        <f t="shared" si="214"/>
        <v>40506.25</v>
      </c>
      <c r="AB420" s="174">
        <f t="shared" si="215"/>
        <v>1640756289.0625</v>
      </c>
      <c r="AD420" s="701">
        <f t="shared" si="216"/>
        <v>27.432470566015738</v>
      </c>
      <c r="AE420" s="702">
        <f t="shared" si="217"/>
        <v>-13.383067244539523</v>
      </c>
      <c r="AG420" s="701">
        <f t="shared" si="218"/>
        <v>-4.1929167596765788</v>
      </c>
      <c r="AH420" s="702">
        <f t="shared" si="219"/>
        <v>-61.554992280342894</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1.0008173151027022</v>
      </c>
      <c r="N421" s="694">
        <f t="shared" si="206"/>
        <v>-4.0416798999683458E-2</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-3.5938908216926428</v>
      </c>
      <c r="X421" s="699">
        <f t="shared" si="212"/>
        <v>-131.24278321728917</v>
      </c>
      <c r="Y421" s="702">
        <f t="shared" si="213"/>
        <v>48.757216782710827</v>
      </c>
      <c r="AA421" s="174">
        <f t="shared" si="214"/>
        <v>40738</v>
      </c>
      <c r="AB421" s="174">
        <f t="shared" si="215"/>
        <v>1659584644</v>
      </c>
      <c r="AD421" s="701">
        <f t="shared" si="216"/>
        <v>27.430434461631258</v>
      </c>
      <c r="AE421" s="702">
        <f t="shared" si="217"/>
        <v>-13.436483322847845</v>
      </c>
      <c r="AG421" s="701">
        <f t="shared" si="218"/>
        <v>-4.2349684482267023</v>
      </c>
      <c r="AH421" s="702">
        <f t="shared" si="219"/>
        <v>-61.42051597858903</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1.0008268586401501</v>
      </c>
      <c r="N422" s="694">
        <f t="shared" si="206"/>
        <v>-4.065191990193872E-2</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-3.6538564860916778</v>
      </c>
      <c r="X422" s="699">
        <f t="shared" si="212"/>
        <v>-131.464085498087</v>
      </c>
      <c r="Y422" s="702">
        <f t="shared" si="213"/>
        <v>48.535914501912998</v>
      </c>
      <c r="AA422" s="174">
        <f t="shared" si="214"/>
        <v>40975.25</v>
      </c>
      <c r="AB422" s="174">
        <f t="shared" si="215"/>
        <v>1678971112.5625</v>
      </c>
      <c r="AD422" s="701">
        <f t="shared" si="216"/>
        <v>27.428340184632084</v>
      </c>
      <c r="AE422" s="702">
        <f t="shared" si="217"/>
        <v>-13.491261449519374</v>
      </c>
      <c r="AG422" s="701">
        <f t="shared" si="218"/>
        <v>-4.2776951438695265</v>
      </c>
      <c r="AH422" s="702">
        <f t="shared" si="219"/>
        <v>-61.282934368886842</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1.00083645750409</v>
      </c>
      <c r="N423" s="694">
        <f t="shared" si="206"/>
        <v>-4.0887036307176779E-2</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-3.7135728140719864</v>
      </c>
      <c r="X423" s="699">
        <f t="shared" si="212"/>
        <v>-131.68519928830125</v>
      </c>
      <c r="Y423" s="702">
        <f t="shared" si="213"/>
        <v>48.314800711698751</v>
      </c>
      <c r="AA423" s="174">
        <f t="shared" si="214"/>
        <v>41212.5</v>
      </c>
      <c r="AB423" s="174">
        <f t="shared" si="215"/>
        <v>1698470156.25</v>
      </c>
      <c r="AD423" s="701">
        <f t="shared" si="216"/>
        <v>27.426235935688904</v>
      </c>
      <c r="AE423" s="702">
        <f t="shared" si="217"/>
        <v>-13.546132727083492</v>
      </c>
      <c r="AG423" s="701">
        <f t="shared" si="218"/>
        <v>-4.3200985969674441</v>
      </c>
      <c r="AH423" s="702">
        <f t="shared" si="219"/>
        <v>-61.145442007981956</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1.0008461116929301</v>
      </c>
      <c r="N424" s="694">
        <f t="shared" si="206"/>
        <v>-4.112214818953306E-2</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-3.7730429739289892</v>
      </c>
      <c r="X424" s="699">
        <f t="shared" si="212"/>
        <v>-131.90612354087889</v>
      </c>
      <c r="Y424" s="702">
        <f t="shared" si="213"/>
        <v>48.093876459121105</v>
      </c>
      <c r="AA424" s="174">
        <f t="shared" si="214"/>
        <v>41449.75</v>
      </c>
      <c r="AB424" s="174">
        <f t="shared" si="215"/>
        <v>1718081775.0625</v>
      </c>
      <c r="AD424" s="701">
        <f t="shared" si="216"/>
        <v>27.424121709837614</v>
      </c>
      <c r="AE424" s="702">
        <f t="shared" si="217"/>
        <v>-13.60109487902081</v>
      </c>
      <c r="AG424" s="701">
        <f t="shared" si="218"/>
        <v>-4.3621823055905606</v>
      </c>
      <c r="AH424" s="702">
        <f t="shared" si="219"/>
        <v>-61.008040957448756</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1.0008558212050693</v>
      </c>
      <c r="N425" s="694">
        <f t="shared" si="206"/>
        <v>-4.1357255523145973E-2</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-3.8322700764236335</v>
      </c>
      <c r="X425" s="699">
        <f t="shared" si="212"/>
        <v>-132.1268572281929</v>
      </c>
      <c r="Y425" s="702">
        <f t="shared" si="213"/>
        <v>47.873142771807096</v>
      </c>
      <c r="AA425" s="174">
        <f t="shared" si="214"/>
        <v>41687</v>
      </c>
      <c r="AB425" s="174">
        <f t="shared" si="215"/>
        <v>1737805969</v>
      </c>
      <c r="AD425" s="701">
        <f t="shared" si="216"/>
        <v>27.421997502771212</v>
      </c>
      <c r="AE425" s="702">
        <f t="shared" si="217"/>
        <v>-13.656145677616612</v>
      </c>
      <c r="AG425" s="701">
        <f t="shared" si="218"/>
        <v>-4.4039497109073364</v>
      </c>
      <c r="AH425" s="702">
        <f t="shared" si="219"/>
        <v>-60.870733233340594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1.0008658130662715</v>
      </c>
      <c r="N426" s="694">
        <f t="shared" si="206"/>
        <v>-4.1597808449717354E-2</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-3.8926218102710113</v>
      </c>
      <c r="X426" s="699">
        <f t="shared" si="212"/>
        <v>-132.35250973453032</v>
      </c>
      <c r="Y426" s="702">
        <f t="shared" si="213"/>
        <v>47.647490265469685</v>
      </c>
      <c r="AA426" s="174">
        <f t="shared" si="214"/>
        <v>41929.75</v>
      </c>
      <c r="AB426" s="174">
        <f t="shared" si="215"/>
        <v>1758103935.0625</v>
      </c>
      <c r="AD426" s="701">
        <f t="shared" si="216"/>
        <v>27.419813716902496</v>
      </c>
      <c r="AE426" s="702">
        <f t="shared" si="217"/>
        <v>-13.712562159379745</v>
      </c>
      <c r="AG426" s="701">
        <f t="shared" si="218"/>
        <v>-4.4463615242991628</v>
      </c>
      <c r="AH426" s="702">
        <f t="shared" si="219"/>
        <v>-60.730341053767496</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1.0008758628421268</v>
      </c>
      <c r="N427" s="694">
        <f t="shared" si="206"/>
        <v>-4.1838356559433111E-2</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-3.9527254968885392</v>
      </c>
      <c r="X427" s="699">
        <f t="shared" si="212"/>
        <v>-132.57796062197724</v>
      </c>
      <c r="Y427" s="702">
        <f t="shared" si="213"/>
        <v>47.42203937802276</v>
      </c>
      <c r="AA427" s="174">
        <f t="shared" si="214"/>
        <v>42172.5</v>
      </c>
      <c r="AB427" s="174">
        <f t="shared" si="215"/>
        <v>1778519756.25</v>
      </c>
      <c r="AD427" s="701">
        <f t="shared" si="216"/>
        <v>27.417619474576711</v>
      </c>
      <c r="AE427" s="702">
        <f t="shared" si="217"/>
        <v>-13.769066877680544</v>
      </c>
      <c r="AG427" s="701">
        <f t="shared" si="218"/>
        <v>-4.4884493108199539</v>
      </c>
      <c r="AH427" s="702">
        <f t="shared" si="219"/>
        <v>-60.590050706669075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1.0008859705308906</v>
      </c>
      <c r="N428" s="694">
        <f t="shared" si="206"/>
        <v>-4.2078899824600884E-2</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-4.0125842898899231</v>
      </c>
      <c r="X428" s="699">
        <f t="shared" si="212"/>
        <v>-132.80320885078407</v>
      </c>
      <c r="Y428" s="702">
        <f t="shared" si="213"/>
        <v>47.196791149215926</v>
      </c>
      <c r="AA428" s="174">
        <f t="shared" si="214"/>
        <v>42415.25</v>
      </c>
      <c r="AB428" s="174">
        <f t="shared" si="215"/>
        <v>1799053432.5625</v>
      </c>
      <c r="AD428" s="701">
        <f t="shared" si="216"/>
        <v>27.415414773186143</v>
      </c>
      <c r="AE428" s="702">
        <f t="shared" si="217"/>
        <v>-13.825657596160246</v>
      </c>
      <c r="AG428" s="701">
        <f t="shared" si="218"/>
        <v>-4.5302165798048284</v>
      </c>
      <c r="AH428" s="702">
        <f t="shared" si="219"/>
        <v>-60.449864210572258</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1.0008961361308082</v>
      </c>
      <c r="N429" s="694">
        <f t="shared" si="206"/>
        <v>-4.2319438217531695E-2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-4.0722012854297249</v>
      </c>
      <c r="X429" s="699">
        <f t="shared" si="212"/>
        <v>-133.02825340108606</v>
      </c>
      <c r="Y429" s="702">
        <f t="shared" si="213"/>
        <v>46.971746598913938</v>
      </c>
      <c r="AA429" s="174">
        <f t="shared" si="214"/>
        <v>42658</v>
      </c>
      <c r="AB429" s="174">
        <f t="shared" si="215"/>
        <v>1819704964</v>
      </c>
      <c r="AD429" s="701">
        <f t="shared" si="216"/>
        <v>27.413199610758102</v>
      </c>
      <c r="AE429" s="702">
        <f t="shared" si="217"/>
        <v>-13.882332126206341</v>
      </c>
      <c r="AG429" s="701">
        <f t="shared" si="218"/>
        <v>-4.5716667836519926</v>
      </c>
      <c r="AH429" s="702">
        <f t="shared" si="219"/>
        <v>-60.309783538692315</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1.0009066025056483</v>
      </c>
      <c r="N430" s="694">
        <f t="shared" si="206"/>
        <v>-4.2565669148681554E-2</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-4.1329831409656173</v>
      </c>
      <c r="X430" s="699">
        <f t="shared" si="212"/>
        <v>-133.25841654719213</v>
      </c>
      <c r="Y430" s="702">
        <f t="shared" si="213"/>
        <v>46.741583452807873</v>
      </c>
      <c r="AA430" s="174">
        <f t="shared" si="214"/>
        <v>42906.5</v>
      </c>
      <c r="AB430" s="174">
        <f t="shared" si="215"/>
        <v>1840967742.25</v>
      </c>
      <c r="AD430" s="701">
        <f t="shared" si="216"/>
        <v>27.410921140883278</v>
      </c>
      <c r="AE430" s="702">
        <f t="shared" si="217"/>
        <v>-13.940433678135387</v>
      </c>
      <c r="AG430" s="701">
        <f t="shared" si="218"/>
        <v>-4.6137739414798311</v>
      </c>
      <c r="AH430" s="702">
        <f t="shared" si="219"/>
        <v>-60.166496414480513</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1.0009171295638557</v>
      </c>
      <c r="N431" s="694">
        <f t="shared" si="206"/>
        <v>-4.2811894915335248E-2</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-4.1935179956689446</v>
      </c>
      <c r="X431" s="699">
        <f t="shared" si="212"/>
        <v>-133.48836415108622</v>
      </c>
      <c r="Y431" s="702">
        <f t="shared" si="213"/>
        <v>46.511635848913784</v>
      </c>
      <c r="AA431" s="174">
        <f t="shared" si="214"/>
        <v>43155</v>
      </c>
      <c r="AB431" s="174">
        <f t="shared" si="215"/>
        <v>1862354025</v>
      </c>
      <c r="AD431" s="701">
        <f t="shared" si="216"/>
        <v>27.408631706293825</v>
      </c>
      <c r="AE431" s="702">
        <f t="shared" si="217"/>
        <v>-13.998618565344948</v>
      </c>
      <c r="AG431" s="701">
        <f t="shared" si="218"/>
        <v>-4.6555559798327248</v>
      </c>
      <c r="AH431" s="702">
        <f t="shared" si="219"/>
        <v>-60.02332423083611</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1.0009277173035156</v>
      </c>
      <c r="N432" s="694">
        <f t="shared" si="206"/>
        <v>-4.305811548780028E-2</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-4.2538089923544442</v>
      </c>
      <c r="X432" s="699">
        <f t="shared" si="212"/>
        <v>-133.71809518132341</v>
      </c>
      <c r="Y432" s="702">
        <f t="shared" si="213"/>
        <v>46.281904818676594</v>
      </c>
      <c r="AA432" s="174">
        <f t="shared" si="214"/>
        <v>43403.5</v>
      </c>
      <c r="AB432" s="174">
        <f t="shared" si="215"/>
        <v>1883863812.25</v>
      </c>
      <c r="AD432" s="701">
        <f t="shared" si="216"/>
        <v>27.406331306816305</v>
      </c>
      <c r="AE432" s="702">
        <f t="shared" si="217"/>
        <v>-14.056884586904276</v>
      </c>
      <c r="AG432" s="701">
        <f t="shared" si="218"/>
        <v>-4.6970164251229782</v>
      </c>
      <c r="AH432" s="702">
        <f t="shared" si="219"/>
        <v>-59.880268963847669</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1.0009383657227022</v>
      </c>
      <c r="N433" s="694">
        <f t="shared" si="206"/>
        <v>-4.330433083638794E-2</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-4.3138592163478311</v>
      </c>
      <c r="X433" s="699">
        <f t="shared" si="212"/>
        <v>-133.94760862689122</v>
      </c>
      <c r="Y433" s="702">
        <f t="shared" si="213"/>
        <v>46.052391373108776</v>
      </c>
      <c r="AA433" s="174">
        <f t="shared" si="214"/>
        <v>43652</v>
      </c>
      <c r="AB433" s="174">
        <f t="shared" si="215"/>
        <v>1905497104</v>
      </c>
      <c r="AD433" s="701">
        <f t="shared" si="216"/>
        <v>27.404019942892816</v>
      </c>
      <c r="AE433" s="702">
        <f t="shared" si="217"/>
        <v>-14.115229588692419</v>
      </c>
      <c r="AG433" s="701">
        <f t="shared" si="218"/>
        <v>-4.7381587466715498</v>
      </c>
      <c r="AH433" s="702">
        <f t="shared" si="219"/>
        <v>-59.73733254435556</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1.0009493125280713</v>
      </c>
      <c r="N434" s="694">
        <f t="shared" si="206"/>
        <v>-4.3555990189760738E-2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-4.3749928478638704</v>
      </c>
      <c r="X434" s="699">
        <f t="shared" si="212"/>
        <v>-134.1819759538179</v>
      </c>
      <c r="Y434" s="702">
        <f t="shared" si="213"/>
        <v>45.818024046182103</v>
      </c>
      <c r="AA434" s="174">
        <f t="shared" si="214"/>
        <v>43906</v>
      </c>
      <c r="AB434" s="174">
        <f t="shared" si="215"/>
        <v>1927736836</v>
      </c>
      <c r="AD434" s="701">
        <f t="shared" si="216"/>
        <v>27.401646091963926</v>
      </c>
      <c r="AE434" s="702">
        <f t="shared" si="217"/>
        <v>-14.174945355245034</v>
      </c>
      <c r="AG434" s="701">
        <f t="shared" si="218"/>
        <v>-4.7798864531301062</v>
      </c>
      <c r="AH434" s="702">
        <f t="shared" si="219"/>
        <v>-59.591357328260521</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1.000960322724604</v>
      </c>
      <c r="N435" s="694">
        <f t="shared" si="206"/>
        <v>-4.3807644022749871E-2</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-4.435881270840488</v>
      </c>
      <c r="X435" s="699">
        <f t="shared" si="212"/>
        <v>-134.4161138859715</v>
      </c>
      <c r="Y435" s="702">
        <f t="shared" si="213"/>
        <v>45.583886114028502</v>
      </c>
      <c r="AA435" s="174">
        <f t="shared" si="214"/>
        <v>44160</v>
      </c>
      <c r="AB435" s="174">
        <f t="shared" si="215"/>
        <v>1950105600</v>
      </c>
      <c r="AD435" s="701">
        <f t="shared" si="216"/>
        <v>27.39926078869199</v>
      </c>
      <c r="AE435" s="702">
        <f t="shared" si="217"/>
        <v>-14.234739230018164</v>
      </c>
      <c r="AG435" s="701">
        <f t="shared" si="218"/>
        <v>-4.8212889504515699</v>
      </c>
      <c r="AH435" s="702">
        <f t="shared" si="219"/>
        <v>-59.44551021774673</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1.0009713963102083</v>
      </c>
      <c r="N436" s="694">
        <f t="shared" si="206"/>
        <v>-4.4059292303663733E-2</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-4.4965276022903042</v>
      </c>
      <c r="X436" s="699">
        <f t="shared" si="212"/>
        <v>-134.65002140777415</v>
      </c>
      <c r="Y436" s="702">
        <f t="shared" si="213"/>
        <v>45.349978592225852</v>
      </c>
      <c r="AA436" s="174">
        <f t="shared" si="214"/>
        <v>44414</v>
      </c>
      <c r="AB436" s="174">
        <f t="shared" si="215"/>
        <v>1972603396</v>
      </c>
      <c r="AD436" s="701">
        <f t="shared" si="216"/>
        <v>27.396864035423427</v>
      </c>
      <c r="AE436" s="702">
        <f t="shared" si="217"/>
        <v>-14.294609055958702</v>
      </c>
      <c r="AG436" s="701">
        <f t="shared" si="218"/>
        <v>-4.8623697667269301</v>
      </c>
      <c r="AH436" s="702">
        <f t="shared" si="219"/>
        <v>-59.299793134880048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1.0009825332827802</v>
      </c>
      <c r="N437" s="694">
        <f t="shared" si="206"/>
        <v>-4.4310935000814927E-2</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-4.5569349020617516</v>
      </c>
      <c r="X437" s="699">
        <f t="shared" si="212"/>
        <v>-134.88369752455077</v>
      </c>
      <c r="Y437" s="702">
        <f t="shared" si="213"/>
        <v>45.116302475449231</v>
      </c>
      <c r="AA437" s="174">
        <f t="shared" si="214"/>
        <v>44668</v>
      </c>
      <c r="AB437" s="174">
        <f t="shared" si="215"/>
        <v>1995230224</v>
      </c>
      <c r="AD437" s="701">
        <f t="shared" si="216"/>
        <v>27.39445583509842</v>
      </c>
      <c r="AE437" s="702">
        <f t="shared" si="217"/>
        <v>-14.354552721637347</v>
      </c>
      <c r="AG437" s="701">
        <f t="shared" si="218"/>
        <v>-4.9031323731377627</v>
      </c>
      <c r="AH437" s="702">
        <f t="shared" si="219"/>
        <v>-59.15420795675859</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1.0009940100385548</v>
      </c>
      <c r="N438" s="694">
        <f t="shared" si="206"/>
        <v>-4.4568763868788545E-2</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-4.6185838163433033</v>
      </c>
      <c r="X438" s="699">
        <f t="shared" si="212"/>
        <v>-135.12288251115817</v>
      </c>
      <c r="Y438" s="702">
        <f t="shared" si="213"/>
        <v>44.877117488841833</v>
      </c>
      <c r="AA438" s="174">
        <f t="shared" si="214"/>
        <v>44928.25</v>
      </c>
      <c r="AB438" s="174">
        <f t="shared" si="215"/>
        <v>2018547648.0625</v>
      </c>
      <c r="AD438" s="701">
        <f t="shared" si="216"/>
        <v>27.391976508529691</v>
      </c>
      <c r="AE438" s="702">
        <f t="shared" si="217"/>
        <v>-14.41604580526578</v>
      </c>
      <c r="AG438" s="701">
        <f t="shared" si="218"/>
        <v>-4.9445715166392539</v>
      </c>
      <c r="AH438" s="702">
        <f t="shared" si="219"/>
        <v>-59.005179196084477</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1.0010055533346036</v>
      </c>
      <c r="N439" s="694">
        <f t="shared" si="206"/>
        <v>-4.4826586807490326E-2</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-4.6799881161066796</v>
      </c>
      <c r="X439" s="699">
        <f t="shared" si="212"/>
        <v>-135.36182251630592</v>
      </c>
      <c r="Y439" s="702">
        <f t="shared" si="213"/>
        <v>44.638177483694079</v>
      </c>
      <c r="AA439" s="174">
        <f t="shared" si="214"/>
        <v>45188.5</v>
      </c>
      <c r="AB439" s="174">
        <f t="shared" si="215"/>
        <v>2042000532.25</v>
      </c>
      <c r="AD439" s="701">
        <f t="shared" si="216"/>
        <v>27.389485172718096</v>
      </c>
      <c r="AE439" s="702">
        <f t="shared" si="217"/>
        <v>-14.477612060823809</v>
      </c>
      <c r="AG439" s="701">
        <f t="shared" si="218"/>
        <v>-4.985683797845585</v>
      </c>
      <c r="AH439" s="702">
        <f t="shared" si="219"/>
        <v>-58.856292760784207</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1.0010171631686247</v>
      </c>
      <c r="N440" s="694">
        <f t="shared" si="206"/>
        <v>-4.5084403782849634E-2</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-4.7411509144496709</v>
      </c>
      <c r="X440" s="699">
        <f t="shared" si="212"/>
        <v>-135.60051653622136</v>
      </c>
      <c r="Y440" s="702">
        <f t="shared" si="213"/>
        <v>44.399483463778637</v>
      </c>
      <c r="AA440" s="174">
        <f t="shared" si="214"/>
        <v>45448.75</v>
      </c>
      <c r="AB440" s="174">
        <f t="shared" si="215"/>
        <v>2065588876.5625</v>
      </c>
      <c r="AD440" s="701">
        <f t="shared" si="216"/>
        <v>27.386981832650786</v>
      </c>
      <c r="AE440" s="702">
        <f t="shared" si="217"/>
        <v>-14.539249358012109</v>
      </c>
      <c r="AG440" s="701">
        <f t="shared" si="218"/>
        <v>-5.0264727728609806</v>
      </c>
      <c r="AH440" s="702">
        <f t="shared" si="219"/>
        <v>-58.707550529714645</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1.0010288395383031</v>
      </c>
      <c r="N441" s="694">
        <f t="shared" si="206"/>
        <v>-4.5342214760800581E-2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-4.8020752670859093</v>
      </c>
      <c r="X441" s="699">
        <f t="shared" si="212"/>
        <v>-135.83896358875919</v>
      </c>
      <c r="Y441" s="702">
        <f t="shared" si="213"/>
        <v>44.161036411240815</v>
      </c>
      <c r="AA441" s="174">
        <f t="shared" si="214"/>
        <v>45709</v>
      </c>
      <c r="AB441" s="174">
        <f t="shared" si="215"/>
        <v>2089312681</v>
      </c>
      <c r="AD441" s="701">
        <f t="shared" si="216"/>
        <v>27.384466493893946</v>
      </c>
      <c r="AE441" s="702">
        <f t="shared" si="217"/>
        <v>-14.600955611440146</v>
      </c>
      <c r="AG441" s="701">
        <f t="shared" si="218"/>
        <v>-5.0669419405024465</v>
      </c>
      <c r="AH441" s="702">
        <f t="shared" si="219"/>
        <v>-58.558954336552127</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1.0010408539556808</v>
      </c>
      <c r="N442" s="694">
        <f t="shared" si="206"/>
        <v>-4.5605963265771293E-2</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-4.8641605884197689</v>
      </c>
      <c r="X442" s="699">
        <f t="shared" si="212"/>
        <v>-136.08265140416313</v>
      </c>
      <c r="Y442" s="702">
        <f t="shared" si="213"/>
        <v>43.91734859583687</v>
      </c>
      <c r="AA442" s="174">
        <f t="shared" si="214"/>
        <v>45975.25</v>
      </c>
      <c r="AB442" s="174">
        <f t="shared" si="215"/>
        <v>2113723612.5625</v>
      </c>
      <c r="AD442" s="701">
        <f t="shared" si="216"/>
        <v>27.381880754193105</v>
      </c>
      <c r="AE442" s="702">
        <f t="shared" si="217"/>
        <v>-14.664153717785476</v>
      </c>
      <c r="AG442" s="701">
        <f t="shared" si="218"/>
        <v>-5.1080167527357716</v>
      </c>
      <c r="AH442" s="702">
        <f t="shared" si="219"/>
        <v>-58.407085287426725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1.0010529380070634</v>
      </c>
      <c r="N443" s="694">
        <f t="shared" si="206"/>
        <v>-4.5869705421492123E-2</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-4.926002634658456</v>
      </c>
      <c r="X443" s="699">
        <f t="shared" si="212"/>
        <v>-136.32607872164959</v>
      </c>
      <c r="Y443" s="702">
        <f t="shared" si="213"/>
        <v>43.673921278350406</v>
      </c>
      <c r="AA443" s="174">
        <f t="shared" si="214"/>
        <v>46241.5</v>
      </c>
      <c r="AB443" s="174">
        <f t="shared" si="215"/>
        <v>2138276322.25</v>
      </c>
      <c r="AD443" s="701">
        <f t="shared" si="216"/>
        <v>27.379282469739174</v>
      </c>
      <c r="AE443" s="702">
        <f t="shared" si="217"/>
        <v>-14.727419719522963</v>
      </c>
      <c r="AG443" s="701">
        <f t="shared" si="218"/>
        <v>-5.1487640717685856</v>
      </c>
      <c r="AH443" s="702">
        <f t="shared" si="219"/>
        <v>-58.255372829796698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1.0010650916899291</v>
      </c>
      <c r="N444" s="694">
        <f t="shared" si="206"/>
        <v>-4.6133441191501881E-2</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-4.9876044998266043</v>
      </c>
      <c r="X444" s="699">
        <f t="shared" si="212"/>
        <v>-136.56924455769007</v>
      </c>
      <c r="Y444" s="702">
        <f t="shared" si="213"/>
        <v>43.43075544230993</v>
      </c>
      <c r="AA444" s="174">
        <f t="shared" si="214"/>
        <v>46507.75</v>
      </c>
      <c r="AB444" s="174">
        <f t="shared" si="215"/>
        <v>2162970810.0625</v>
      </c>
      <c r="AD444" s="701">
        <f t="shared" si="216"/>
        <v>27.376671648263098</v>
      </c>
      <c r="AE444" s="702">
        <f t="shared" si="217"/>
        <v>-14.79075152160466</v>
      </c>
      <c r="AG444" s="701">
        <f t="shared" si="218"/>
        <v>-5.1891874661174615</v>
      </c>
      <c r="AH444" s="702">
        <f t="shared" si="219"/>
        <v>-58.103818786870605</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1.0010773150017418</v>
      </c>
      <c r="N445" s="694">
        <f t="shared" si="206"/>
        <v>-4.639717053934473E-2</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-5.0489692207051906</v>
      </c>
      <c r="X445" s="699">
        <f t="shared" si="212"/>
        <v>-136.81214795102684</v>
      </c>
      <c r="Y445" s="702">
        <f t="shared" si="213"/>
        <v>43.187852048973156</v>
      </c>
      <c r="AA445" s="174">
        <f t="shared" si="214"/>
        <v>46774</v>
      </c>
      <c r="AB445" s="174">
        <f t="shared" si="215"/>
        <v>2187807076</v>
      </c>
      <c r="AD445" s="701">
        <f t="shared" si="216"/>
        <v>27.374048298057716</v>
      </c>
      <c r="AE445" s="702">
        <f t="shared" si="217"/>
        <v>-14.854147072927974</v>
      </c>
      <c r="AG445" s="701">
        <f t="shared" si="218"/>
        <v>-5.2292904469723371</v>
      </c>
      <c r="AH445" s="702">
        <f t="shared" si="219"/>
        <v>-57.952424936685496</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1.0010898857660926</v>
      </c>
      <c r="N446" s="694">
        <f t="shared" si="206"/>
        <v>-4.666683640489875E-2</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-5.1114746930930846</v>
      </c>
      <c r="X446" s="699">
        <f t="shared" si="212"/>
        <v>-137.06025286452223</v>
      </c>
      <c r="Y446" s="702">
        <f t="shared" si="213"/>
        <v>42.939747135477774</v>
      </c>
      <c r="AA446" s="174">
        <f t="shared" si="214"/>
        <v>47046.25</v>
      </c>
      <c r="AB446" s="174">
        <f t="shared" si="215"/>
        <v>2213349639.0625</v>
      </c>
      <c r="AD446" s="701">
        <f t="shared" si="216"/>
        <v>27.371352883895192</v>
      </c>
      <c r="AE446" s="702">
        <f t="shared" si="217"/>
        <v>-14.919035084598075</v>
      </c>
      <c r="AG446" s="701">
        <f t="shared" si="218"/>
        <v>-5.2699694305676905</v>
      </c>
      <c r="AH446" s="702">
        <f t="shared" si="219"/>
        <v>-57.797786848622792</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1.0011025293275475</v>
      </c>
      <c r="N447" s="694">
        <f t="shared" si="206"/>
        <v>-4.6936495478497937E-2</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-5.1737384569731537</v>
      </c>
      <c r="X447" s="699">
        <f t="shared" si="212"/>
        <v>-137.30808141067084</v>
      </c>
      <c r="Y447" s="702">
        <f t="shared" si="213"/>
        <v>42.691918589329163</v>
      </c>
      <c r="AA447" s="174">
        <f t="shared" si="214"/>
        <v>47318.5</v>
      </c>
      <c r="AB447" s="174">
        <f t="shared" si="215"/>
        <v>2239040442.25</v>
      </c>
      <c r="AD447" s="701">
        <f t="shared" si="216"/>
        <v>27.368644389230042</v>
      </c>
      <c r="AE447" s="702">
        <f t="shared" si="217"/>
        <v>-14.983985549017731</v>
      </c>
      <c r="AG447" s="701">
        <f t="shared" si="218"/>
        <v>-5.3103206439682502</v>
      </c>
      <c r="AH447" s="702">
        <f t="shared" si="219"/>
        <v>-57.643319874413784</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1.0011152456833479</v>
      </c>
      <c r="N448" s="694">
        <f t="shared" si="206"/>
        <v>-4.7206147721183318E-2</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-5.2357635819108879</v>
      </c>
      <c r="X448" s="699">
        <f t="shared" si="212"/>
        <v>-137.55563263182549</v>
      </c>
      <c r="Y448" s="702">
        <f t="shared" si="213"/>
        <v>42.444367368174511</v>
      </c>
      <c r="AA448" s="174">
        <f t="shared" si="214"/>
        <v>47590.75</v>
      </c>
      <c r="AB448" s="174">
        <f t="shared" si="215"/>
        <v>2264879485.5625</v>
      </c>
      <c r="AD448" s="701">
        <f t="shared" si="216"/>
        <v>27.365922824644997</v>
      </c>
      <c r="AE448" s="702">
        <f t="shared" si="217"/>
        <v>-15.048996408019164</v>
      </c>
      <c r="AG448" s="701">
        <f t="shared" si="218"/>
        <v>-5.3503476633884244</v>
      </c>
      <c r="AH448" s="702">
        <f t="shared" si="219"/>
        <v>-57.489025774982558</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1.0011280348307201</v>
      </c>
      <c r="N449" s="694">
        <f t="shared" si="206"/>
        <v>-4.7475793094001843E-2</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-5.2975530804928583</v>
      </c>
      <c r="X449" s="699">
        <f t="shared" si="212"/>
        <v>-137.80290559325402</v>
      </c>
      <c r="Y449" s="702">
        <f t="shared" si="213"/>
        <v>42.197094406745975</v>
      </c>
      <c r="AA449" s="174">
        <f t="shared" si="214"/>
        <v>47863</v>
      </c>
      <c r="AB449" s="174">
        <f t="shared" si="215"/>
        <v>2290866769</v>
      </c>
      <c r="AD449" s="701">
        <f t="shared" si="216"/>
        <v>27.363188201267672</v>
      </c>
      <c r="AE449" s="702">
        <f t="shared" si="217"/>
        <v>-15.114065646363359</v>
      </c>
      <c r="AG449" s="701">
        <f t="shared" si="218"/>
        <v>-5.3900540077795132</v>
      </c>
      <c r="AH449" s="702">
        <f t="shared" si="219"/>
        <v>-57.334906266128044</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1.0011412047367192</v>
      </c>
      <c r="N450" s="694">
        <f t="shared" si="206"/>
        <v>-4.7751869122520253E-2</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-5.3605767662297854</v>
      </c>
      <c r="X450" s="699">
        <f t="shared" si="212"/>
        <v>-138.05579296829811</v>
      </c>
      <c r="Y450" s="702">
        <f t="shared" si="213"/>
        <v>41.944207031701893</v>
      </c>
      <c r="AA450" s="174">
        <f t="shared" si="214"/>
        <v>48141.75</v>
      </c>
      <c r="AB450" s="174">
        <f t="shared" si="215"/>
        <v>2317628093.0625</v>
      </c>
      <c r="AD450" s="701">
        <f t="shared" si="216"/>
        <v>27.360374770435605</v>
      </c>
      <c r="AE450" s="702">
        <f t="shared" si="217"/>
        <v>-15.180746846191202</v>
      </c>
      <c r="AG450" s="701">
        <f t="shared" si="218"/>
        <v>-5.4303797112222423</v>
      </c>
      <c r="AH450" s="702">
        <f t="shared" si="219"/>
        <v>-57.177289774725203</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1.0011544509456614</v>
      </c>
      <c r="N451" s="694">
        <f t="shared" si="206"/>
        <v>-4.8027937866591923E-2</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-5.4233596544256804</v>
      </c>
      <c r="X451" s="699">
        <f t="shared" si="212"/>
        <v>-138.30838672699531</v>
      </c>
      <c r="Y451" s="702">
        <f t="shared" si="213"/>
        <v>41.691613273004691</v>
      </c>
      <c r="AA451" s="174">
        <f t="shared" si="214"/>
        <v>48420.5</v>
      </c>
      <c r="AB451" s="174">
        <f t="shared" si="215"/>
        <v>2344544820.25</v>
      </c>
      <c r="AD451" s="701">
        <f t="shared" si="216"/>
        <v>27.35754767509842</v>
      </c>
      <c r="AE451" s="702">
        <f t="shared" si="217"/>
        <v>-15.247485103414274</v>
      </c>
      <c r="AG451" s="701">
        <f t="shared" si="218"/>
        <v>-5.4703765321043658</v>
      </c>
      <c r="AH451" s="702">
        <f t="shared" si="219"/>
        <v>-57.01985980982829</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1.0011677734545175</v>
      </c>
      <c r="N452" s="694">
        <f t="shared" si="206"/>
        <v>-4.8303999284426233E-2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-5.4859048014824685</v>
      </c>
      <c r="X452" s="699">
        <f t="shared" si="212"/>
        <v>-138.56068593852359</v>
      </c>
      <c r="Y452" s="702">
        <f t="shared" si="213"/>
        <v>41.439314061476409</v>
      </c>
      <c r="AA452" s="174">
        <f t="shared" si="214"/>
        <v>48699.25</v>
      </c>
      <c r="AB452" s="174">
        <f t="shared" si="215"/>
        <v>2371616950.5625</v>
      </c>
      <c r="AD452" s="701">
        <f t="shared" si="216"/>
        <v>27.354706928873213</v>
      </c>
      <c r="AE452" s="702">
        <f t="shared" si="217"/>
        <v>-15.314278387236008</v>
      </c>
      <c r="AG452" s="701">
        <f t="shared" si="218"/>
        <v>-5.5100480691075395</v>
      </c>
      <c r="AH452" s="702">
        <f t="shared" si="219"/>
        <v>-56.862618072458851</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1.0011811722602422</v>
      </c>
      <c r="N453" s="694">
        <f t="shared" si="206"/>
        <v>-4.8580053334239266E-2</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-5.5482152068009318</v>
      </c>
      <c r="X453" s="699">
        <f t="shared" si="212"/>
        <v>-138.81268969578889</v>
      </c>
      <c r="Y453" s="702">
        <f t="shared" si="213"/>
        <v>41.18731030421111</v>
      </c>
      <c r="AA453" s="174">
        <f t="shared" si="214"/>
        <v>48978</v>
      </c>
      <c r="AB453" s="174">
        <f t="shared" si="215"/>
        <v>2398844484</v>
      </c>
      <c r="AD453" s="701">
        <f t="shared" si="216"/>
        <v>27.351852545908951</v>
      </c>
      <c r="AE453" s="702">
        <f t="shared" si="217"/>
        <v>-15.381124709028517</v>
      </c>
      <c r="AG453" s="701">
        <f t="shared" si="218"/>
        <v>-5.5493978634008059</v>
      </c>
      <c r="AH453" s="702">
        <f t="shared" si="219"/>
        <v>-56.705566218270334</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1.0011949624875811</v>
      </c>
      <c r="N454" s="694">
        <f t="shared" si="206"/>
        <v>-4.8862536847520212E-2</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-5.6117386447666195</v>
      </c>
      <c r="X454" s="699">
        <f t="shared" si="212"/>
        <v>-139.07026298315276</v>
      </c>
      <c r="Y454" s="702">
        <f t="shared" si="213"/>
        <v>40.929737016847241</v>
      </c>
      <c r="AA454" s="174">
        <f t="shared" si="214"/>
        <v>49263.25</v>
      </c>
      <c r="AB454" s="174">
        <f t="shared" si="215"/>
        <v>2426867800.5625</v>
      </c>
      <c r="AD454" s="701">
        <f t="shared" si="216"/>
        <v>27.348917501218722</v>
      </c>
      <c r="AE454" s="702">
        <f t="shared" si="217"/>
        <v>-15.449582654960324</v>
      </c>
      <c r="AG454" s="701">
        <f t="shared" si="218"/>
        <v>-5.5893357828880852</v>
      </c>
      <c r="AH454" s="702">
        <f t="shared" si="219"/>
        <v>-56.545050425609716</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1.0012088326050053</v>
      </c>
      <c r="N455" s="694">
        <f t="shared" si="206"/>
        <v>-4.9145012556643497E-2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-5.6750224436800254</v>
      </c>
      <c r="X455" s="699">
        <f t="shared" si="212"/>
        <v>-139.32752502924399</v>
      </c>
      <c r="Y455" s="702">
        <f t="shared" si="213"/>
        <v>40.672474970756014</v>
      </c>
      <c r="AA455" s="174">
        <f t="shared" si="214"/>
        <v>49548.5</v>
      </c>
      <c r="AB455" s="174">
        <f t="shared" si="215"/>
        <v>2455053852.25</v>
      </c>
      <c r="AD455" s="701">
        <f t="shared" si="216"/>
        <v>27.345968208019464</v>
      </c>
      <c r="AE455" s="702">
        <f t="shared" si="217"/>
        <v>-15.518092058030906</v>
      </c>
      <c r="AG455" s="701">
        <f t="shared" si="218"/>
        <v>-5.6289441036431809</v>
      </c>
      <c r="AH455" s="702">
        <f t="shared" si="219"/>
        <v>-56.384736841615442</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1.0012227826091942</v>
      </c>
      <c r="N456" s="694">
        <f t="shared" si="206"/>
        <v>-4.9427480416855511E-2</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-5.7380696408337766</v>
      </c>
      <c r="X456" s="699">
        <f t="shared" si="212"/>
        <v>-139.58447493694723</v>
      </c>
      <c r="Y456" s="702">
        <f t="shared" si="213"/>
        <v>40.415525063052769</v>
      </c>
      <c r="AA456" s="174">
        <f t="shared" si="214"/>
        <v>49833.75</v>
      </c>
      <c r="AB456" s="174">
        <f t="shared" si="215"/>
        <v>2483402639.0625</v>
      </c>
      <c r="AD456" s="701">
        <f t="shared" si="216"/>
        <v>27.34300468310424</v>
      </c>
      <c r="AE456" s="702">
        <f t="shared" si="217"/>
        <v>-15.586650916915618</v>
      </c>
      <c r="AG456" s="701">
        <f t="shared" si="218"/>
        <v>-5.6682264415448014</v>
      </c>
      <c r="AH456" s="702">
        <f t="shared" si="219"/>
        <v>-56.224627099299596</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1.001236812496809</v>
      </c>
      <c r="N457" s="694">
        <f t="shared" si="206"/>
        <v>-4.9709940383410117E-2</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-5.8008832166365707</v>
      </c>
      <c r="X457" s="699">
        <f t="shared" si="212"/>
        <v>-139.84111183368151</v>
      </c>
      <c r="Y457" s="702">
        <f t="shared" si="213"/>
        <v>40.158888166318491</v>
      </c>
      <c r="AA457" s="174">
        <f t="shared" si="214"/>
        <v>50119</v>
      </c>
      <c r="AB457" s="174">
        <f t="shared" si="215"/>
        <v>2511914161</v>
      </c>
      <c r="AD457" s="701">
        <f t="shared" si="216"/>
        <v>27.340026943784757</v>
      </c>
      <c r="AE457" s="702">
        <f t="shared" si="217"/>
        <v>-15.655257271634081</v>
      </c>
      <c r="AG457" s="701">
        <f t="shared" si="218"/>
        <v>-5.7071863548221069</v>
      </c>
      <c r="AH457" s="702">
        <f t="shared" si="219"/>
        <v>-56.064722786116057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1.0012512447150026</v>
      </c>
      <c r="N458" s="694">
        <f t="shared" si="206"/>
        <v>-4.9998828561244754E-2</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-5.8648895081363541</v>
      </c>
      <c r="X458" s="699">
        <f t="shared" si="212"/>
        <v>-140.10327204753909</v>
      </c>
      <c r="Y458" s="702">
        <f t="shared" si="213"/>
        <v>39.896727952460907</v>
      </c>
      <c r="AA458" s="174">
        <f t="shared" si="214"/>
        <v>50410.75</v>
      </c>
      <c r="AB458" s="174">
        <f t="shared" si="215"/>
        <v>2541243715.5625</v>
      </c>
      <c r="AD458" s="701">
        <f t="shared" si="216"/>
        <v>27.336966665254451</v>
      </c>
      <c r="AE458" s="702">
        <f t="shared" si="217"/>
        <v>-15.725474092200237</v>
      </c>
      <c r="AG458" s="701">
        <f t="shared" si="218"/>
        <v>-5.7467041694323209</v>
      </c>
      <c r="AH458" s="702">
        <f t="shared" si="219"/>
        <v>-55.90138884074851</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1.0012657604915871</v>
      </c>
      <c r="N459" s="694">
        <f t="shared" si="206"/>
        <v>-5.0287708386917533E-2</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-5.9286575400191808</v>
      </c>
      <c r="X459" s="699">
        <f t="shared" si="212"/>
        <v>-140.36510305335915</v>
      </c>
      <c r="Y459" s="702">
        <f t="shared" si="213"/>
        <v>39.634896946640851</v>
      </c>
      <c r="AA459" s="174">
        <f t="shared" si="214"/>
        <v>50702.5</v>
      </c>
      <c r="AB459" s="174">
        <f t="shared" si="215"/>
        <v>2570743506.25</v>
      </c>
      <c r="AD459" s="701">
        <f t="shared" si="216"/>
        <v>27.333891555360267</v>
      </c>
      <c r="AE459" s="702">
        <f t="shared" si="217"/>
        <v>-15.795736578024135</v>
      </c>
      <c r="AG459" s="701">
        <f t="shared" si="218"/>
        <v>-5.7858920479369713</v>
      </c>
      <c r="AH459" s="702">
        <f t="shared" si="219"/>
        <v>-55.738273010822041</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1.0012803598229281</v>
      </c>
      <c r="N460" s="694">
        <f t="shared" si="206"/>
        <v>-5.0576579812577814E-2</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-5.9921903249591644</v>
      </c>
      <c r="X460" s="699">
        <f t="shared" si="212"/>
        <v>-140.6266039948971</v>
      </c>
      <c r="Y460" s="702">
        <f t="shared" si="213"/>
        <v>39.373396005102904</v>
      </c>
      <c r="AA460" s="174">
        <f t="shared" si="214"/>
        <v>50994.25</v>
      </c>
      <c r="AB460" s="174">
        <f t="shared" si="215"/>
        <v>2600413533.0625</v>
      </c>
      <c r="AD460" s="701">
        <f t="shared" si="216"/>
        <v>27.330801634213039</v>
      </c>
      <c r="AE460" s="702">
        <f t="shared" si="217"/>
        <v>-15.86604275900671</v>
      </c>
      <c r="AG460" s="701">
        <f t="shared" si="218"/>
        <v>-5.8247536184367217</v>
      </c>
      <c r="AH460" s="702">
        <f t="shared" si="219"/>
        <v>-55.57537685321573</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1.0012950427053708</v>
      </c>
      <c r="N461" s="694">
        <f t="shared" ref="N461:N524" si="238">-ATAN(G461/z_RHP)</f>
        <v>-5.086544279038336E-2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-6.0554908189950858</v>
      </c>
      <c r="X461" s="699">
        <f t="shared" ref="X461:X524" si="244">((L461+R461+N461+V461)-(J461+P461+T461))*radconv</f>
        <v>-140.88777404123857</v>
      </c>
      <c r="Y461" s="702">
        <f t="shared" ref="Y461:Y524" si="245">IF(X461&gt;0,X461,X461+180)</f>
        <v>39.112225958761428</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-5.8632924513497304</v>
      </c>
      <c r="AH461" s="702">
        <f t="shared" ref="AH461:AH524" si="251">(L461+N461-(J461+V461))*radconv</f>
        <v>-55.412701879111459</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1.0013101644546303</v>
      </c>
      <c r="N462" s="694">
        <f t="shared" si="238"/>
        <v>-5.1161227695159558E-2</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-6.1200724027578426</v>
      </c>
      <c r="X462" s="699">
        <f t="shared" si="244"/>
        <v>-141.15486663734902</v>
      </c>
      <c r="Y462" s="702">
        <f t="shared" si="245"/>
        <v>38.845133362650984</v>
      </c>
      <c r="AA462" s="174">
        <f t="shared" si="246"/>
        <v>51584.75</v>
      </c>
      <c r="AB462" s="174">
        <f t="shared" si="247"/>
        <v>2660986432.5625</v>
      </c>
      <c r="AD462" s="701">
        <f t="shared" si="248"/>
        <v>27.324502413690837</v>
      </c>
      <c r="AE462" s="702">
        <f t="shared" si="249"/>
        <v>-16.008467826901985</v>
      </c>
      <c r="AG462" s="701">
        <f t="shared" si="250"/>
        <v>-5.9024251766076556</v>
      </c>
      <c r="AH462" s="702">
        <f t="shared" si="251"/>
        <v>-55.246354559831907</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1.001325373804574</v>
      </c>
      <c r="N463" s="694">
        <f t="shared" si="238"/>
        <v>-5.1457003640329041E-2</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-6.184416512347485</v>
      </c>
      <c r="X463" s="699">
        <f t="shared" si="244"/>
        <v>-141.42161058573947</v>
      </c>
      <c r="Y463" s="702">
        <f t="shared" si="245"/>
        <v>38.578389414260528</v>
      </c>
      <c r="AA463" s="174">
        <f t="shared" si="246"/>
        <v>51883.5</v>
      </c>
      <c r="AB463" s="174">
        <f t="shared" si="247"/>
        <v>2691897572.25</v>
      </c>
      <c r="AD463" s="701">
        <f t="shared" si="248"/>
        <v>27.321292441368822</v>
      </c>
      <c r="AE463" s="702">
        <f t="shared" si="249"/>
        <v>-16.080584772097225</v>
      </c>
      <c r="AG463" s="701">
        <f t="shared" si="250"/>
        <v>-5.941226889048564</v>
      </c>
      <c r="AH463" s="702">
        <f t="shared" si="251"/>
        <v>-55.08024222966062</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1.0013406707512098</v>
      </c>
      <c r="N464" s="694">
        <f t="shared" si="238"/>
        <v>-5.1752770574550279E-2</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-6.248526145635088</v>
      </c>
      <c r="X464" s="699">
        <f t="shared" si="244"/>
        <v>-141.68800507445633</v>
      </c>
      <c r="Y464" s="702">
        <f t="shared" si="245"/>
        <v>38.311994925543672</v>
      </c>
      <c r="AA464" s="174">
        <f t="shared" si="246"/>
        <v>52182.25</v>
      </c>
      <c r="AB464" s="174">
        <f t="shared" si="247"/>
        <v>2722987215.0625</v>
      </c>
      <c r="AD464" s="701">
        <f t="shared" si="248"/>
        <v>27.318067029153642</v>
      </c>
      <c r="AE464" s="702">
        <f t="shared" si="249"/>
        <v>-16.152739594009141</v>
      </c>
      <c r="AG464" s="701">
        <f t="shared" si="250"/>
        <v>-5.9797012424773275</v>
      </c>
      <c r="AH464" s="702">
        <f t="shared" si="251"/>
        <v>-54.914366368514791</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1.0013560552905238</v>
      </c>
      <c r="N465" s="694">
        <f t="shared" si="238"/>
        <v>-5.204852844649116E-2</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-6.3124042438546555</v>
      </c>
      <c r="X465" s="699">
        <f t="shared" si="244"/>
        <v>-141.95404931783139</v>
      </c>
      <c r="Y465" s="702">
        <f t="shared" si="245"/>
        <v>38.045950682168609</v>
      </c>
      <c r="AA465" s="174">
        <f t="shared" si="246"/>
        <v>52481</v>
      </c>
      <c r="AB465" s="174">
        <f t="shared" si="247"/>
        <v>2754255361</v>
      </c>
      <c r="AD465" s="701">
        <f t="shared" si="248"/>
        <v>27.314826201231234</v>
      </c>
      <c r="AE465" s="702">
        <f t="shared" si="249"/>
        <v>-16.224930385357023</v>
      </c>
      <c r="AG465" s="701">
        <f t="shared" si="250"/>
        <v>-6.0178518326952846</v>
      </c>
      <c r="AH465" s="702">
        <f t="shared" si="251"/>
        <v>-54.748728410220586</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1.0013718780097589</v>
      </c>
      <c r="N466" s="694">
        <f t="shared" si="238"/>
        <v>-5.2350959288665101E-2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-6.3774891783661154</v>
      </c>
      <c r="X466" s="699">
        <f t="shared" si="244"/>
        <v>-142.22574160624114</v>
      </c>
      <c r="Y466" s="702">
        <f t="shared" si="245"/>
        <v>37.774258393758856</v>
      </c>
      <c r="AA466" s="174">
        <f t="shared" si="246"/>
        <v>52786.5</v>
      </c>
      <c r="AB466" s="174">
        <f t="shared" si="247"/>
        <v>2786414582.25</v>
      </c>
      <c r="AD466" s="701">
        <f t="shared" si="248"/>
        <v>27.311496233186908</v>
      </c>
      <c r="AE466" s="702">
        <f t="shared" si="249"/>
        <v>-16.298787516690421</v>
      </c>
      <c r="AG466" s="701">
        <f t="shared" si="250"/>
        <v>-6.0565332713529241</v>
      </c>
      <c r="AH466" s="702">
        <f t="shared" si="251"/>
        <v>-54.579595477409605</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1.0013877923159871</v>
      </c>
      <c r="N467" s="694">
        <f t="shared" si="238"/>
        <v>-5.2653380545885337E-2</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-6.4423380421164094</v>
      </c>
      <c r="X467" s="699">
        <f t="shared" si="244"/>
        <v>-142.49706606433818</v>
      </c>
      <c r="Y467" s="702">
        <f t="shared" si="245"/>
        <v>37.502933935661815</v>
      </c>
      <c r="AA467" s="174">
        <f t="shared" si="246"/>
        <v>53092</v>
      </c>
      <c r="AB467" s="174">
        <f t="shared" si="247"/>
        <v>2818760464</v>
      </c>
      <c r="AD467" s="701">
        <f t="shared" si="248"/>
        <v>27.308150197635385</v>
      </c>
      <c r="AE467" s="702">
        <f t="shared" si="249"/>
        <v>-16.37267835006412</v>
      </c>
      <c r="AG467" s="701">
        <f t="shared" si="250"/>
        <v>-6.0948835762268878</v>
      </c>
      <c r="AH467" s="702">
        <f t="shared" si="251"/>
        <v>-54.410714208547645</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1.0014037982048416</v>
      </c>
      <c r="N468" s="694">
        <f t="shared" si="238"/>
        <v>-5.2955792163292104E-2</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-6.5069538050189504</v>
      </c>
      <c r="X468" s="699">
        <f t="shared" si="244"/>
        <v>-142.76802193484008</v>
      </c>
      <c r="Y468" s="702">
        <f t="shared" si="245"/>
        <v>37.231978065159922</v>
      </c>
      <c r="AA468" s="174">
        <f t="shared" si="246"/>
        <v>53397.5</v>
      </c>
      <c r="AB468" s="174">
        <f t="shared" si="247"/>
        <v>2851293006.25</v>
      </c>
      <c r="AD468" s="701">
        <f t="shared" si="248"/>
        <v>27.304788121956456</v>
      </c>
      <c r="AE468" s="702">
        <f t="shared" si="249"/>
        <v>-16.446600968184352</v>
      </c>
      <c r="AG468" s="701">
        <f t="shared" si="250"/>
        <v>-6.1329064124128152</v>
      </c>
      <c r="AH468" s="702">
        <f t="shared" si="251"/>
        <v>-54.242085993597442</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1.0014198956719316</v>
      </c>
      <c r="N469" s="694">
        <f t="shared" si="238"/>
        <v>-5.3258194086036187E-2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-6.5713393806750933</v>
      </c>
      <c r="X469" s="699">
        <f t="shared" si="244"/>
        <v>-143.03860848759672</v>
      </c>
      <c r="Y469" s="702">
        <f t="shared" si="245"/>
        <v>36.961391512403281</v>
      </c>
      <c r="AA469" s="174">
        <f t="shared" si="246"/>
        <v>53703</v>
      </c>
      <c r="AB469" s="174">
        <f t="shared" si="247"/>
        <v>2884012209</v>
      </c>
      <c r="AD469" s="701">
        <f t="shared" si="248"/>
        <v>27.301410034012903</v>
      </c>
      <c r="AE469" s="702">
        <f t="shared" si="249"/>
        <v>-16.520553492729153</v>
      </c>
      <c r="AG469" s="701">
        <f t="shared" si="250"/>
        <v>-6.1706053869812383</v>
      </c>
      <c r="AH469" s="702">
        <f t="shared" si="251"/>
        <v>-54.073712176253892</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1.0014364700168286</v>
      </c>
      <c r="N470" s="694">
        <f t="shared" si="238"/>
        <v>-5.3567762386735898E-2</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-6.6370174663944219</v>
      </c>
      <c r="X470" s="699">
        <f t="shared" si="244"/>
        <v>-143.31523318609354</v>
      </c>
      <c r="Y470" s="702">
        <f t="shared" si="245"/>
        <v>36.684766813906464</v>
      </c>
      <c r="AA470" s="174">
        <f t="shared" si="246"/>
        <v>54015.75</v>
      </c>
      <c r="AB470" s="174">
        <f t="shared" si="247"/>
        <v>2917701248.0625</v>
      </c>
      <c r="AD470" s="701">
        <f t="shared" si="248"/>
        <v>27.297935221495123</v>
      </c>
      <c r="AE470" s="702">
        <f t="shared" si="249"/>
        <v>-16.596290086231051</v>
      </c>
      <c r="AG470" s="701">
        <f t="shared" si="250"/>
        <v>-6.2088672430694816</v>
      </c>
      <c r="AH470" s="702">
        <f t="shared" si="251"/>
        <v>-53.901607461400872</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1.001453140328737</v>
      </c>
      <c r="N471" s="694">
        <f t="shared" si="238"/>
        <v>-5.3877320410876638E-2</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-6.7024603141961254</v>
      </c>
      <c r="X471" s="699">
        <f t="shared" si="244"/>
        <v>-143.59146936671877</v>
      </c>
      <c r="Y471" s="702">
        <f t="shared" si="245"/>
        <v>36.408530633281231</v>
      </c>
      <c r="AA471" s="174">
        <f t="shared" si="246"/>
        <v>54328.5</v>
      </c>
      <c r="AB471" s="174">
        <f t="shared" si="247"/>
        <v>2951585912.25</v>
      </c>
      <c r="AD471" s="701">
        <f t="shared" si="248"/>
        <v>27.294443688289924</v>
      </c>
      <c r="AE471" s="702">
        <f t="shared" si="249"/>
        <v>-16.672054159282268</v>
      </c>
      <c r="AG471" s="701">
        <f t="shared" si="250"/>
        <v>-6.2467971531017614</v>
      </c>
      <c r="AH471" s="702">
        <f t="shared" si="251"/>
        <v>-53.729772067428456</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1.0014699066028643</v>
      </c>
      <c r="N472" s="694">
        <f t="shared" si="238"/>
        <v>-5.4186868099645583E-2</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-6.7676708752067496</v>
      </c>
      <c r="X472" s="699">
        <f t="shared" si="244"/>
        <v>-143.86731633195052</v>
      </c>
      <c r="Y472" s="702">
        <f t="shared" si="245"/>
        <v>36.132683668049481</v>
      </c>
      <c r="AA472" s="174">
        <f t="shared" si="246"/>
        <v>54641.25</v>
      </c>
      <c r="AB472" s="174">
        <f t="shared" si="247"/>
        <v>2985666201.5625</v>
      </c>
      <c r="AD472" s="701">
        <f t="shared" si="248"/>
        <v>27.290935465777725</v>
      </c>
      <c r="AE472" s="702">
        <f t="shared" si="249"/>
        <v>-16.747843816762856</v>
      </c>
      <c r="AG472" s="701">
        <f t="shared" si="250"/>
        <v>-6.2843988063100937</v>
      </c>
      <c r="AH472" s="702">
        <f t="shared" si="251"/>
        <v>-53.558207291566646</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1.0014867688343909</v>
      </c>
      <c r="N473" s="694">
        <f t="shared" si="238"/>
        <v>-5.449640539424172E-2</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-6.8326520443334395</v>
      </c>
      <c r="X473" s="699">
        <f t="shared" si="244"/>
        <v>-144.14277341239705</v>
      </c>
      <c r="Y473" s="702">
        <f t="shared" si="245"/>
        <v>35.857226587602952</v>
      </c>
      <c r="AA473" s="174">
        <f t="shared" si="246"/>
        <v>54954</v>
      </c>
      <c r="AB473" s="174">
        <f t="shared" si="247"/>
        <v>3019942116</v>
      </c>
      <c r="AD473" s="701">
        <f t="shared" si="248"/>
        <v>27.287410585812637</v>
      </c>
      <c r="AE473" s="702">
        <f t="shared" si="249"/>
        <v>-16.823657201891535</v>
      </c>
      <c r="AG473" s="701">
        <f t="shared" si="250"/>
        <v>-6.3216758336022449</v>
      </c>
      <c r="AH473" s="702">
        <f t="shared" si="251"/>
        <v>-53.386914384366968</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1.001504121271751</v>
      </c>
      <c r="N474" s="694">
        <f t="shared" si="238"/>
        <v>-5.4813107393939742E-2</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-6.8989051034400966</v>
      </c>
      <c r="X474" s="699">
        <f t="shared" si="244"/>
        <v>-144.42421177290814</v>
      </c>
      <c r="Y474" s="702">
        <f t="shared" si="245"/>
        <v>35.575788227091863</v>
      </c>
      <c r="AA474" s="174">
        <f t="shared" si="246"/>
        <v>55274</v>
      </c>
      <c r="AB474" s="174">
        <f t="shared" si="247"/>
        <v>3055215076</v>
      </c>
      <c r="AD474" s="701">
        <f t="shared" si="248"/>
        <v>27.283786786565422</v>
      </c>
      <c r="AE474" s="702">
        <f t="shared" si="249"/>
        <v>-16.90125071310289</v>
      </c>
      <c r="AG474" s="701">
        <f t="shared" si="250"/>
        <v>-6.3594847228594471</v>
      </c>
      <c r="AH474" s="702">
        <f t="shared" si="251"/>
        <v>-53.211933309985731</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1.0015215741566446</v>
      </c>
      <c r="N475" s="694">
        <f t="shared" si="238"/>
        <v>-5.5129798387468926E-2</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-6.9649239691715952</v>
      </c>
      <c r="X475" s="699">
        <f t="shared" si="244"/>
        <v>-144.70524063355421</v>
      </c>
      <c r="Y475" s="702">
        <f t="shared" si="245"/>
        <v>35.294759366445788</v>
      </c>
      <c r="AA475" s="174">
        <f t="shared" si="246"/>
        <v>55594</v>
      </c>
      <c r="AB475" s="174">
        <f t="shared" si="247"/>
        <v>3090692836</v>
      </c>
      <c r="AD475" s="701">
        <f t="shared" si="248"/>
        <v>27.280145617557572</v>
      </c>
      <c r="AE475" s="702">
        <f t="shared" si="249"/>
        <v>-16.978865250486319</v>
      </c>
      <c r="AG475" s="701">
        <f t="shared" si="250"/>
        <v>-6.3969612701324632</v>
      </c>
      <c r="AH475" s="702">
        <f t="shared" si="251"/>
        <v>-53.037239358274299</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1.0015391274838201</v>
      </c>
      <c r="N476" s="694">
        <f t="shared" si="238"/>
        <v>-5.5446478311882451E-2</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-7.0307115682428742</v>
      </c>
      <c r="X476" s="699">
        <f t="shared" si="244"/>
        <v>-144.98585936613219</v>
      </c>
      <c r="Y476" s="702">
        <f t="shared" si="245"/>
        <v>35.014140633867811</v>
      </c>
      <c r="AA476" s="174">
        <f t="shared" si="246"/>
        <v>55914</v>
      </c>
      <c r="AB476" s="174">
        <f t="shared" si="247"/>
        <v>3126375396</v>
      </c>
      <c r="AD476" s="701">
        <f t="shared" si="248"/>
        <v>27.276487114365793</v>
      </c>
      <c r="AE476" s="702">
        <f t="shared" si="249"/>
        <v>-17.056498943098827</v>
      </c>
      <c r="AG476" s="701">
        <f t="shared" si="250"/>
        <v>-6.4341091833336694</v>
      </c>
      <c r="AH476" s="702">
        <f t="shared" si="251"/>
        <v>-52.862833723332116</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1.0015567812479971</v>
      </c>
      <c r="N477" s="694">
        <f t="shared" si="238"/>
        <v>-5.5763147104246742E-2</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-7.0962707713841899</v>
      </c>
      <c r="X477" s="699">
        <f t="shared" si="244"/>
        <v>-145.26606737153006</v>
      </c>
      <c r="Y477" s="702">
        <f t="shared" si="245"/>
        <v>34.733932628469944</v>
      </c>
      <c r="AA477" s="174">
        <f t="shared" si="246"/>
        <v>56234</v>
      </c>
      <c r="AB477" s="174">
        <f t="shared" si="247"/>
        <v>3162262756</v>
      </c>
      <c r="AD477" s="701">
        <f t="shared" si="248"/>
        <v>27.272811313030608</v>
      </c>
      <c r="AE477" s="702">
        <f t="shared" si="249"/>
        <v>-17.134149957652266</v>
      </c>
      <c r="AG477" s="701">
        <f t="shared" si="250"/>
        <v>-6.4709321118580929</v>
      </c>
      <c r="AH477" s="702">
        <f t="shared" si="251"/>
        <v>-52.688717552250054</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1.001574952762305</v>
      </c>
      <c r="N478" s="694">
        <f t="shared" si="238"/>
        <v>-5.608722622930578E-2</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-7.1631329684430236</v>
      </c>
      <c r="X478" s="699">
        <f t="shared" si="244"/>
        <v>-145.55241687734394</v>
      </c>
      <c r="Y478" s="702">
        <f t="shared" si="245"/>
        <v>34.447583122656056</v>
      </c>
      <c r="AA478" s="174">
        <f t="shared" si="246"/>
        <v>56561.5</v>
      </c>
      <c r="AB478" s="174">
        <f t="shared" si="247"/>
        <v>3199203282.25</v>
      </c>
      <c r="AD478" s="701">
        <f t="shared" si="248"/>
        <v>27.269031487151661</v>
      </c>
      <c r="AE478" s="702">
        <f t="shared" si="249"/>
        <v>-17.21363697891578</v>
      </c>
      <c r="AG478" s="701">
        <f t="shared" si="250"/>
        <v>-6.5082853267272238</v>
      </c>
      <c r="AH478" s="702">
        <f t="shared" si="251"/>
        <v>-52.510821401939303</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1.0015932294654819</v>
      </c>
      <c r="N479" s="694">
        <f t="shared" si="238"/>
        <v>-5.6411293561047446E-2</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-7.2297618483368549</v>
      </c>
      <c r="X479" s="699">
        <f t="shared" si="244"/>
        <v>-145.83833499928954</v>
      </c>
      <c r="Y479" s="702">
        <f t="shared" si="245"/>
        <v>34.161665000710457</v>
      </c>
      <c r="AA479" s="174">
        <f t="shared" si="246"/>
        <v>56889</v>
      </c>
      <c r="AB479" s="174">
        <f t="shared" si="247"/>
        <v>3236358321</v>
      </c>
      <c r="AD479" s="701">
        <f t="shared" si="248"/>
        <v>27.265233620594188</v>
      </c>
      <c r="AE479" s="702">
        <f t="shared" si="249"/>
        <v>-17.293138374610855</v>
      </c>
      <c r="AG479" s="701">
        <f t="shared" si="250"/>
        <v>-6.5453056969749159</v>
      </c>
      <c r="AH479" s="702">
        <f t="shared" si="251"/>
        <v>-52.333230727640796</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1.0016116113517697</v>
      </c>
      <c r="N480" s="694">
        <f t="shared" si="238"/>
        <v>-5.673534903205231E-2</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-7.2961603148023313</v>
      </c>
      <c r="X480" s="699">
        <f t="shared" si="244"/>
        <v>-146.12382118705773</v>
      </c>
      <c r="Y480" s="702">
        <f t="shared" si="245"/>
        <v>33.876178812942271</v>
      </c>
      <c r="AA480" s="174">
        <f t="shared" si="246"/>
        <v>57216.5</v>
      </c>
      <c r="AB480" s="174">
        <f t="shared" si="247"/>
        <v>3273727872.25</v>
      </c>
      <c r="AD480" s="701">
        <f t="shared" si="248"/>
        <v>27.261417753419529</v>
      </c>
      <c r="AE480" s="702">
        <f t="shared" si="249"/>
        <v>-17.372652295516772</v>
      </c>
      <c r="AG480" s="701">
        <f t="shared" si="250"/>
        <v>-6.5819969524596491</v>
      </c>
      <c r="AH480" s="702">
        <f t="shared" si="251"/>
        <v>-52.155946612377171</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1.0016300984153768</v>
      </c>
      <c r="N481" s="694">
        <f t="shared" si="238"/>
        <v>-5.7059392574915879E-2</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-7.3623312157923131</v>
      </c>
      <c r="X481" s="699">
        <f t="shared" si="244"/>
        <v>-146.40887492043854</v>
      </c>
      <c r="Y481" s="702">
        <f t="shared" si="245"/>
        <v>33.591125079561465</v>
      </c>
      <c r="AA481" s="174">
        <f t="shared" si="246"/>
        <v>57544</v>
      </c>
      <c r="AB481" s="174">
        <f t="shared" si="247"/>
        <v>3311311936</v>
      </c>
      <c r="AD481" s="701">
        <f t="shared" si="248"/>
        <v>27.257583926143866</v>
      </c>
      <c r="AE481" s="702">
        <f t="shared" si="249"/>
        <v>-17.452176929455408</v>
      </c>
      <c r="AG481" s="701">
        <f t="shared" si="250"/>
        <v>-6.6183627642492393</v>
      </c>
      <c r="AH481" s="702">
        <f t="shared" si="251"/>
        <v>-51.978970091772965</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1.0016491176586426</v>
      </c>
      <c r="N482" s="694">
        <f t="shared" si="238"/>
        <v>-5.7390844551003829E-2</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-7.429784950575625</v>
      </c>
      <c r="X482" s="699">
        <f t="shared" si="244"/>
        <v>-146.70000866759207</v>
      </c>
      <c r="Y482" s="702">
        <f t="shared" si="245"/>
        <v>33.299991332407927</v>
      </c>
      <c r="AA482" s="174">
        <f t="shared" si="246"/>
        <v>57879</v>
      </c>
      <c r="AB482" s="174">
        <f t="shared" si="247"/>
        <v>3349978641</v>
      </c>
      <c r="AD482" s="701">
        <f t="shared" si="248"/>
        <v>27.253643762238639</v>
      </c>
      <c r="AE482" s="702">
        <f t="shared" si="249"/>
        <v>-17.533531970643995</v>
      </c>
      <c r="AG482" s="701">
        <f t="shared" si="250"/>
        <v>-6.6552284393203696</v>
      </c>
      <c r="AH482" s="702">
        <f t="shared" si="251"/>
        <v>-51.798259946290479</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1.0016682469393077</v>
      </c>
      <c r="N483" s="694">
        <f t="shared" si="238"/>
        <v>-5.7722283903746535E-2</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-7.4970064326859376</v>
      </c>
      <c r="X483" s="699">
        <f t="shared" si="244"/>
        <v>-146.99068891993397</v>
      </c>
      <c r="Y483" s="702">
        <f t="shared" si="245"/>
        <v>33.009311080066027</v>
      </c>
      <c r="AA483" s="174">
        <f t="shared" si="246"/>
        <v>58214</v>
      </c>
      <c r="AB483" s="174">
        <f t="shared" si="247"/>
        <v>3388869796</v>
      </c>
      <c r="AD483" s="701">
        <f t="shared" si="248"/>
        <v>27.249684893373729</v>
      </c>
      <c r="AE483" s="702">
        <f t="shared" si="249"/>
        <v>-17.614894499909294</v>
      </c>
      <c r="AG483" s="701">
        <f t="shared" si="250"/>
        <v>-6.6917611815506151</v>
      </c>
      <c r="AH483" s="702">
        <f t="shared" si="251"/>
        <v>-51.61787368949706</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1.0016874862510676</v>
      </c>
      <c r="N484" s="694">
        <f t="shared" si="238"/>
        <v>-5.8053710561050721E-2</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-7.5639985376191845</v>
      </c>
      <c r="X484" s="699">
        <f t="shared" si="244"/>
        <v>-147.28091521558846</v>
      </c>
      <c r="Y484" s="702">
        <f t="shared" si="245"/>
        <v>32.719084784411535</v>
      </c>
      <c r="AA484" s="174">
        <f t="shared" si="246"/>
        <v>58549</v>
      </c>
      <c r="AB484" s="174">
        <f t="shared" si="247"/>
        <v>3427985401</v>
      </c>
      <c r="AD484" s="701">
        <f t="shared" si="248"/>
        <v>27.245707364309744</v>
      </c>
      <c r="AE484" s="702">
        <f t="shared" si="249"/>
        <v>-17.69626269165655</v>
      </c>
      <c r="AG484" s="701">
        <f t="shared" si="250"/>
        <v>-6.7279647372947959</v>
      </c>
      <c r="AH484" s="702">
        <f t="shared" si="251"/>
        <v>-51.437812282233509</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1.0017068355875831</v>
      </c>
      <c r="N485" s="694">
        <f t="shared" si="238"/>
        <v>-5.8385124450839772E-2</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-7.6307640854276029</v>
      </c>
      <c r="X485" s="699">
        <f t="shared" si="244"/>
        <v>-147.57068712373268</v>
      </c>
      <c r="Y485" s="702">
        <f t="shared" si="245"/>
        <v>32.429312876267318</v>
      </c>
      <c r="AA485" s="174">
        <f t="shared" si="246"/>
        <v>58884</v>
      </c>
      <c r="AB485" s="174">
        <f t="shared" si="247"/>
        <v>3467325456</v>
      </c>
      <c r="AD485" s="701">
        <f t="shared" si="248"/>
        <v>27.241711220252377</v>
      </c>
      <c r="AE485" s="702">
        <f t="shared" si="249"/>
        <v>-17.777634756679781</v>
      </c>
      <c r="AG485" s="701">
        <f t="shared" si="250"/>
        <v>-6.7638427939441428</v>
      </c>
      <c r="AH485" s="702">
        <f t="shared" si="251"/>
        <v>-51.25807663764926</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1.0017267609884606</v>
      </c>
      <c r="N486" s="694">
        <f t="shared" si="238"/>
        <v>-5.8724439398420682E-2</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-7.6988921854537287</v>
      </c>
      <c r="X486" s="699">
        <f t="shared" si="244"/>
        <v>-147.86690774660445</v>
      </c>
      <c r="Y486" s="702">
        <f t="shared" si="245"/>
        <v>32.133092253395546</v>
      </c>
      <c r="AA486" s="174">
        <f t="shared" si="246"/>
        <v>59227</v>
      </c>
      <c r="AB486" s="174">
        <f t="shared" si="247"/>
        <v>3507837529</v>
      </c>
      <c r="AD486" s="701">
        <f t="shared" si="248"/>
        <v>27.237600406447502</v>
      </c>
      <c r="AE486" s="702">
        <f t="shared" si="249"/>
        <v>-17.86095221696727</v>
      </c>
      <c r="AG486" s="701">
        <f t="shared" si="250"/>
        <v>-6.8002441787638448</v>
      </c>
      <c r="AH486" s="702">
        <f t="shared" si="251"/>
        <v>-51.074387227842571</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1.0017468017181859</v>
      </c>
      <c r="N487" s="694">
        <f t="shared" si="238"/>
        <v>-5.9063740808542813E-2</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-7.7667885893942854</v>
      </c>
      <c r="X487" s="699">
        <f t="shared" si="244"/>
        <v>-148.16265120443438</v>
      </c>
      <c r="Y487" s="702">
        <f t="shared" si="245"/>
        <v>31.837348795565617</v>
      </c>
      <c r="AA487" s="174">
        <f t="shared" si="246"/>
        <v>59570</v>
      </c>
      <c r="AB487" s="174">
        <f t="shared" si="247"/>
        <v>3548584900</v>
      </c>
      <c r="AD487" s="701">
        <f t="shared" si="248"/>
        <v>27.233470175248996</v>
      </c>
      <c r="AE487" s="702">
        <f t="shared" si="249"/>
        <v>-17.944270054330424</v>
      </c>
      <c r="AG487" s="701">
        <f t="shared" si="250"/>
        <v>-6.8363119722121555</v>
      </c>
      <c r="AH487" s="702">
        <f t="shared" si="251"/>
        <v>-50.891041113805599</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1.0017669577698374</v>
      </c>
      <c r="N488" s="694">
        <f t="shared" si="238"/>
        <v>-5.9403028603896547E-2</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-7.8344561520807607</v>
      </c>
      <c r="X488" s="699">
        <f t="shared" si="244"/>
        <v>-148.45791713297797</v>
      </c>
      <c r="Y488" s="702">
        <f t="shared" si="245"/>
        <v>31.542082867022032</v>
      </c>
      <c r="AA488" s="174">
        <f t="shared" si="246"/>
        <v>59913</v>
      </c>
      <c r="AB488" s="174">
        <f t="shared" si="247"/>
        <v>3589567569</v>
      </c>
      <c r="AD488" s="701">
        <f t="shared" si="248"/>
        <v>27.229320576550315</v>
      </c>
      <c r="AE488" s="702">
        <f t="shared" si="249"/>
        <v>-18.027586460657712</v>
      </c>
      <c r="AG488" s="701">
        <f t="shared" si="250"/>
        <v>-6.8720499482781374</v>
      </c>
      <c r="AH488" s="702">
        <f t="shared" si="251"/>
        <v>-50.708039126707469</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1.001787229136454</v>
      </c>
      <c r="N489" s="694">
        <f t="shared" si="238"/>
        <v>-5.9742302707190977E-2</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-7.9018976730540045</v>
      </c>
      <c r="X489" s="699">
        <f t="shared" si="244"/>
        <v>-148.75270520011779</v>
      </c>
      <c r="Y489" s="702">
        <f t="shared" si="245"/>
        <v>31.247294799882212</v>
      </c>
      <c r="AA489" s="174">
        <f t="shared" si="246"/>
        <v>60256</v>
      </c>
      <c r="AB489" s="174">
        <f t="shared" si="247"/>
        <v>3630785536</v>
      </c>
      <c r="AD489" s="701">
        <f t="shared" si="248"/>
        <v>27.225151660681959</v>
      </c>
      <c r="AE489" s="702">
        <f t="shared" si="249"/>
        <v>-18.110899663747073</v>
      </c>
      <c r="AG489" s="701">
        <f t="shared" si="250"/>
        <v>-6.9074618215646053</v>
      </c>
      <c r="AH489" s="702">
        <f t="shared" si="251"/>
        <v>-50.525382049556853</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1.0018080926779944</v>
      </c>
      <c r="N490" s="694">
        <f t="shared" si="238"/>
        <v>-6.0089475653680294E-2</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-7.9706810269039243</v>
      </c>
      <c r="X490" s="699">
        <f t="shared" si="244"/>
        <v>-149.05387376782627</v>
      </c>
      <c r="Y490" s="702">
        <f t="shared" si="245"/>
        <v>30.946126232173725</v>
      </c>
      <c r="AA490" s="174">
        <f t="shared" si="246"/>
        <v>60607</v>
      </c>
      <c r="AB490" s="174">
        <f t="shared" si="247"/>
        <v>3673208449</v>
      </c>
      <c r="AD490" s="701">
        <f t="shared" si="248"/>
        <v>27.220865565337071</v>
      </c>
      <c r="AE490" s="702">
        <f t="shared" si="249"/>
        <v>-18.196150903482867</v>
      </c>
      <c r="AG490" s="701">
        <f t="shared" si="250"/>
        <v>-6.9433658419260134</v>
      </c>
      <c r="AH490" s="702">
        <f t="shared" si="251"/>
        <v>-50.33882258705728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1.0018290769614795</v>
      </c>
      <c r="N491" s="694">
        <f t="shared" si="238"/>
        <v>-6.0436634098261416E-2</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-8.0392334319006302</v>
      </c>
      <c r="X491" s="699">
        <f t="shared" si="244"/>
        <v>-149.35454132051876</v>
      </c>
      <c r="Y491" s="702">
        <f t="shared" si="245"/>
        <v>30.645458679481237</v>
      </c>
      <c r="AA491" s="174">
        <f t="shared" si="246"/>
        <v>60958</v>
      </c>
      <c r="AB491" s="174">
        <f t="shared" si="247"/>
        <v>3715877764</v>
      </c>
      <c r="AD491" s="701">
        <f t="shared" si="248"/>
        <v>27.216559349212183</v>
      </c>
      <c r="AE491" s="702">
        <f t="shared" si="249"/>
        <v>-18.281395144981399</v>
      </c>
      <c r="AG491" s="701">
        <f t="shared" si="250"/>
        <v>-6.9789360558418636</v>
      </c>
      <c r="AH491" s="702">
        <f t="shared" si="251"/>
        <v>-50.152625820138169</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1.0018501819793224</v>
      </c>
      <c r="N492" s="694">
        <f t="shared" si="238"/>
        <v>-6.0783777958169867E-2</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-8.1075577168051343</v>
      </c>
      <c r="X492" s="699">
        <f t="shared" si="244"/>
        <v>-149.65470760361907</v>
      </c>
      <c r="Y492" s="702">
        <f t="shared" si="245"/>
        <v>30.345292396380927</v>
      </c>
      <c r="AA492" s="174">
        <f t="shared" si="246"/>
        <v>61309</v>
      </c>
      <c r="AB492" s="174">
        <f t="shared" si="247"/>
        <v>3758793481</v>
      </c>
      <c r="AD492" s="701">
        <f t="shared" si="248"/>
        <v>27.212233067585746</v>
      </c>
      <c r="AE492" s="702">
        <f t="shared" si="249"/>
        <v>-18.366630599834615</v>
      </c>
      <c r="AG492" s="701">
        <f t="shared" si="250"/>
        <v>-7.0141762590066605</v>
      </c>
      <c r="AH492" s="702">
        <f t="shared" si="251"/>
        <v>-49.966792437763971</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1.001871407723893</v>
      </c>
      <c r="N493" s="694">
        <f t="shared" si="238"/>
        <v>-6.1130907150662182E-2</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-8.1756566553893641</v>
      </c>
      <c r="X493" s="699">
        <f t="shared" si="244"/>
        <v>-149.95437239567386</v>
      </c>
      <c r="Y493" s="702">
        <f t="shared" si="245"/>
        <v>30.045627604326143</v>
      </c>
      <c r="AA493" s="174">
        <f t="shared" si="246"/>
        <v>61660</v>
      </c>
      <c r="AB493" s="174">
        <f t="shared" si="247"/>
        <v>3801955600</v>
      </c>
      <c r="AD493" s="701">
        <f t="shared" si="248"/>
        <v>27.207886776164131</v>
      </c>
      <c r="AE493" s="702">
        <f t="shared" si="249"/>
        <v>-18.451855515020902</v>
      </c>
      <c r="AG493" s="701">
        <f t="shared" si="250"/>
        <v>-7.0490901874107124</v>
      </c>
      <c r="AH493" s="702">
        <f t="shared" si="251"/>
        <v>-49.781323080394856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1.0018932421236142</v>
      </c>
      <c r="N494" s="694">
        <f t="shared" si="238"/>
        <v>-6.1485932860723694E-2</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-8.2450774324119216</v>
      </c>
      <c r="X494" s="699">
        <f t="shared" si="244"/>
        <v>-150.26034819156294</v>
      </c>
      <c r="Y494" s="702">
        <f t="shared" si="245"/>
        <v>29.73965180843706</v>
      </c>
      <c r="AA494" s="174">
        <f t="shared" si="246"/>
        <v>62019</v>
      </c>
      <c r="AB494" s="174">
        <f t="shared" si="247"/>
        <v>3846356361</v>
      </c>
      <c r="AD494" s="701">
        <f t="shared" si="248"/>
        <v>27.203420783380395</v>
      </c>
      <c r="AE494" s="702">
        <f t="shared" si="249"/>
        <v>-18.539010184613829</v>
      </c>
      <c r="AG494" s="701">
        <f t="shared" si="250"/>
        <v>-7.0844661934737641</v>
      </c>
      <c r="AH494" s="702">
        <f t="shared" si="251"/>
        <v>-49.592003683849562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1.0019152027997074</v>
      </c>
      <c r="N495" s="694">
        <f t="shared" si="238"/>
        <v>-6.1840943052128047E-2</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-8.3142681728754884</v>
      </c>
      <c r="X495" s="699">
        <f t="shared" si="244"/>
        <v>-150.56579901116652</v>
      </c>
      <c r="Y495" s="702">
        <f t="shared" si="245"/>
        <v>29.434200988833481</v>
      </c>
      <c r="AA495" s="174">
        <f t="shared" si="246"/>
        <v>62378</v>
      </c>
      <c r="AB495" s="174">
        <f t="shared" si="247"/>
        <v>3891014884</v>
      </c>
      <c r="AD495" s="701">
        <f t="shared" si="248"/>
        <v>27.198933977476042</v>
      </c>
      <c r="AE495" s="702">
        <f t="shared" si="249"/>
        <v>-18.626150228509573</v>
      </c>
      <c r="AG495" s="701">
        <f t="shared" si="250"/>
        <v>-7.1195086021629166</v>
      </c>
      <c r="AH495" s="702">
        <f t="shared" si="251"/>
        <v>-49.403066299440297</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1.0019372897438692</v>
      </c>
      <c r="N496" s="694">
        <f t="shared" si="238"/>
        <v>-6.2195937636413151E-2</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-8.3832316745837847</v>
      </c>
      <c r="X496" s="699">
        <f t="shared" si="244"/>
        <v>-150.87072472174629</v>
      </c>
      <c r="Y496" s="702">
        <f t="shared" si="245"/>
        <v>29.129275278253715</v>
      </c>
      <c r="AA496" s="174">
        <f t="shared" si="246"/>
        <v>62737</v>
      </c>
      <c r="AB496" s="174">
        <f t="shared" si="247"/>
        <v>3935931169</v>
      </c>
      <c r="AD496" s="701">
        <f t="shared" si="248"/>
        <v>27.194426419366099</v>
      </c>
      <c r="AE496" s="702">
        <f t="shared" si="249"/>
        <v>-18.713273880016004</v>
      </c>
      <c r="AG496" s="701">
        <f t="shared" si="250"/>
        <v>-7.1542212251648394</v>
      </c>
      <c r="AH496" s="702">
        <f t="shared" si="251"/>
        <v>-49.214511461552732</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1.0019595029477493</v>
      </c>
      <c r="N497" s="694">
        <f t="shared" si="238"/>
        <v>-6.2550916525140457E-2</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-8.4519706807926713</v>
      </c>
      <c r="X497" s="699">
        <f t="shared" si="244"/>
        <v>-151.17512522459216</v>
      </c>
      <c r="Y497" s="702">
        <f t="shared" si="245"/>
        <v>28.824874775407835</v>
      </c>
      <c r="AA497" s="174">
        <f t="shared" si="246"/>
        <v>63096</v>
      </c>
      <c r="AB497" s="174">
        <f t="shared" si="247"/>
        <v>3981105216</v>
      </c>
      <c r="AD497" s="701">
        <f t="shared" si="248"/>
        <v>27.189898170383159</v>
      </c>
      <c r="AE497" s="702">
        <f t="shared" si="249"/>
        <v>-18.800379407270501</v>
      </c>
      <c r="AG497" s="701">
        <f t="shared" si="250"/>
        <v>-7.1886078142411645</v>
      </c>
      <c r="AH497" s="702">
        <f t="shared" si="251"/>
        <v>-49.026339655856283</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1.0019823572587614</v>
      </c>
      <c r="N498" s="694">
        <f t="shared" si="238"/>
        <v>-6.2914036673787962E-2</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-8.5220598550013644</v>
      </c>
      <c r="X498" s="699">
        <f t="shared" si="244"/>
        <v>-151.48597748509147</v>
      </c>
      <c r="Y498" s="702">
        <f t="shared" si="245"/>
        <v>28.514022514908532</v>
      </c>
      <c r="AA498" s="174">
        <f t="shared" si="246"/>
        <v>63463.25</v>
      </c>
      <c r="AB498" s="174">
        <f t="shared" si="247"/>
        <v>4027584100.5625</v>
      </c>
      <c r="AD498" s="701">
        <f t="shared" si="248"/>
        <v>27.185244514776208</v>
      </c>
      <c r="AE498" s="702">
        <f t="shared" si="249"/>
        <v>-18.889466139247858</v>
      </c>
      <c r="AG498" s="701">
        <f t="shared" si="250"/>
        <v>-7.2234511160422628</v>
      </c>
      <c r="AH498" s="702">
        <f t="shared" si="251"/>
        <v>-48.834240360848845</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1.0020053436813647</v>
      </c>
      <c r="N499" s="694">
        <f t="shared" si="238"/>
        <v>-6.3277140210054275E-2</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-8.5919197355489505</v>
      </c>
      <c r="X499" s="699">
        <f t="shared" si="244"/>
        <v>-151.79628001915856</v>
      </c>
      <c r="Y499" s="702">
        <f t="shared" si="245"/>
        <v>28.203719980841441</v>
      </c>
      <c r="AA499" s="174">
        <f t="shared" si="246"/>
        <v>63830.5</v>
      </c>
      <c r="AB499" s="174">
        <f t="shared" si="247"/>
        <v>4074332730.25</v>
      </c>
      <c r="AD499" s="701">
        <f t="shared" si="248"/>
        <v>27.180569337525927</v>
      </c>
      <c r="AE499" s="702">
        <f t="shared" si="249"/>
        <v>-18.978530345730132</v>
      </c>
      <c r="AG499" s="701">
        <f t="shared" si="250"/>
        <v>-7.2579609829184477</v>
      </c>
      <c r="AH499" s="702">
        <f t="shared" si="251"/>
        <v>-48.642542781380016</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1.0020284622064681</v>
      </c>
      <c r="N500" s="694">
        <f t="shared" si="238"/>
        <v>-6.3640227039339775E-2</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-8.6615530905098659</v>
      </c>
      <c r="X500" s="699">
        <f t="shared" si="244"/>
        <v>-152.10603282815723</v>
      </c>
      <c r="Y500" s="702">
        <f t="shared" si="245"/>
        <v>27.893967171842775</v>
      </c>
      <c r="AA500" s="174">
        <f t="shared" si="246"/>
        <v>64197.75</v>
      </c>
      <c r="AB500" s="174">
        <f t="shared" si="247"/>
        <v>4121351105.0625</v>
      </c>
      <c r="AD500" s="701">
        <f t="shared" si="248"/>
        <v>27.175872705571258</v>
      </c>
      <c r="AE500" s="702">
        <f t="shared" si="249"/>
        <v>-19.067570280045512</v>
      </c>
      <c r="AG500" s="701">
        <f t="shared" si="250"/>
        <v>-7.2921412448012699</v>
      </c>
      <c r="AH500" s="702">
        <f t="shared" si="251"/>
        <v>-48.451247285810197</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1.0020517128249276</v>
      </c>
      <c r="N501" s="694">
        <f t="shared" si="238"/>
        <v>-6.4003297067071196E-2</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-8.730962633836997</v>
      </c>
      <c r="X501" s="699">
        <f t="shared" si="244"/>
        <v>-152.41523594837702</v>
      </c>
      <c r="Y501" s="702">
        <f t="shared" si="245"/>
        <v>27.584764051622983</v>
      </c>
      <c r="AA501" s="174">
        <f t="shared" si="246"/>
        <v>64565</v>
      </c>
      <c r="AB501" s="174">
        <f t="shared" si="247"/>
        <v>4168639225</v>
      </c>
      <c r="AD501" s="701">
        <f t="shared" si="248"/>
        <v>27.171154686258081</v>
      </c>
      <c r="AE501" s="702">
        <f t="shared" si="249"/>
        <v>-19.156584229862251</v>
      </c>
      <c r="AG501" s="701">
        <f t="shared" si="250"/>
        <v>-7.325995671403768</v>
      </c>
      <c r="AH501" s="702">
        <f t="shared" si="251"/>
        <v>-48.26035419357833</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1.0020756542484648</v>
      </c>
      <c r="N502" s="694">
        <f t="shared" si="238"/>
        <v>-6.4374999998387167E-2</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-8.8017968150411576</v>
      </c>
      <c r="X502" s="699">
        <f t="shared" si="244"/>
        <v>-152.73123664328571</v>
      </c>
      <c r="Y502" s="702">
        <f t="shared" si="245"/>
        <v>27.268763356714288</v>
      </c>
      <c r="AA502" s="174">
        <f t="shared" si="246"/>
        <v>64941</v>
      </c>
      <c r="AB502" s="174">
        <f t="shared" si="247"/>
        <v>4217333481</v>
      </c>
      <c r="AD502" s="701">
        <f t="shared" si="248"/>
        <v>27.166302169639998</v>
      </c>
      <c r="AE502" s="702">
        <f t="shared" si="249"/>
        <v>-19.247690328688346</v>
      </c>
      <c r="AG502" s="701">
        <f t="shared" si="250"/>
        <v>-7.3603230064457135</v>
      </c>
      <c r="AH502" s="702">
        <f t="shared" si="251"/>
        <v>-48.065330115910719</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1.0020997341152231</v>
      </c>
      <c r="N503" s="694">
        <f t="shared" si="238"/>
        <v>-6.4746685117448938E-2</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-8.8724019818621702</v>
      </c>
      <c r="X503" s="699">
        <f t="shared" si="244"/>
        <v>-153.04666133060405</v>
      </c>
      <c r="Y503" s="702">
        <f t="shared" si="245"/>
        <v>26.953338669395947</v>
      </c>
      <c r="AA503" s="174">
        <f t="shared" si="246"/>
        <v>65317</v>
      </c>
      <c r="AB503" s="174">
        <f t="shared" si="247"/>
        <v>4266310489</v>
      </c>
      <c r="AD503" s="701">
        <f t="shared" si="248"/>
        <v>27.161427378508343</v>
      </c>
      <c r="AE503" s="702">
        <f t="shared" si="249"/>
        <v>-19.338765664016154</v>
      </c>
      <c r="AG503" s="701">
        <f t="shared" si="250"/>
        <v>-7.3943166038874768</v>
      </c>
      <c r="AH503" s="702">
        <f t="shared" si="251"/>
        <v>-47.870728370186328</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1.002123952415223</v>
      </c>
      <c r="N504" s="694">
        <f t="shared" si="238"/>
        <v>-6.5118352322847808E-2</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-8.9427808790945331</v>
      </c>
      <c r="X504" s="699">
        <f t="shared" si="244"/>
        <v>-153.36151015934817</v>
      </c>
      <c r="Y504" s="702">
        <f t="shared" si="245"/>
        <v>26.638489840651829</v>
      </c>
      <c r="AA504" s="174">
        <f t="shared" si="246"/>
        <v>65693</v>
      </c>
      <c r="AB504" s="174">
        <f t="shared" si="247"/>
        <v>4315570249</v>
      </c>
      <c r="AD504" s="701">
        <f t="shared" si="248"/>
        <v>27.156530386387775</v>
      </c>
      <c r="AE504" s="702">
        <f t="shared" si="249"/>
        <v>-19.429808504385107</v>
      </c>
      <c r="AG504" s="701">
        <f t="shared" si="250"/>
        <v>-7.4279803213939104</v>
      </c>
      <c r="AH504" s="702">
        <f t="shared" si="251"/>
        <v>-47.676549146670283</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1.002148309138428</v>
      </c>
      <c r="N505" s="694">
        <f t="shared" si="238"/>
        <v>-6.5490001513204582E-2</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-9.0129361976891609</v>
      </c>
      <c r="X505" s="699">
        <f t="shared" si="244"/>
        <v>-153.6757833144288</v>
      </c>
      <c r="Y505" s="702">
        <f t="shared" si="245"/>
        <v>26.324216685571201</v>
      </c>
      <c r="AA505" s="174">
        <f t="shared" si="246"/>
        <v>66069</v>
      </c>
      <c r="AB505" s="174">
        <f t="shared" si="247"/>
        <v>4365112761</v>
      </c>
      <c r="AD505" s="701">
        <f t="shared" si="248"/>
        <v>27.151611267199737</v>
      </c>
      <c r="AE505" s="702">
        <f t="shared" si="249"/>
        <v>-19.520817152337923</v>
      </c>
      <c r="AG505" s="701">
        <f t="shared" si="250"/>
        <v>-7.4613179558909417</v>
      </c>
      <c r="AH505" s="702">
        <f t="shared" si="251"/>
        <v>-47.482792586399441</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1.0021733759557605</v>
      </c>
      <c r="N506" s="694">
        <f t="shared" si="238"/>
        <v>-6.5870280700168746E-2</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-9.084495428606969</v>
      </c>
      <c r="X506" s="699">
        <f t="shared" si="244"/>
        <v>-153.99677431241923</v>
      </c>
      <c r="Y506" s="702">
        <f t="shared" si="245"/>
        <v>26.003225687580766</v>
      </c>
      <c r="AA506" s="174">
        <f t="shared" si="246"/>
        <v>66453.75</v>
      </c>
      <c r="AB506" s="174">
        <f t="shared" si="247"/>
        <v>4416100889.0625</v>
      </c>
      <c r="AD506" s="701">
        <f t="shared" si="248"/>
        <v>27.146554845901086</v>
      </c>
      <c r="AE506" s="702">
        <f t="shared" si="249"/>
        <v>-19.613906556449702</v>
      </c>
      <c r="AG506" s="701">
        <f t="shared" si="250"/>
        <v>-7.4950977444424707</v>
      </c>
      <c r="AH506" s="702">
        <f t="shared" si="251"/>
        <v>-47.284964691798251</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1.0021985876923876</v>
      </c>
      <c r="N507" s="694">
        <f t="shared" si="238"/>
        <v>-6.6250540809188921E-2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-9.1558260877617421</v>
      </c>
      <c r="X507" s="699">
        <f t="shared" si="244"/>
        <v>-154.31716303590588</v>
      </c>
      <c r="Y507" s="702">
        <f t="shared" si="245"/>
        <v>25.682836964094122</v>
      </c>
      <c r="AA507" s="174">
        <f t="shared" si="246"/>
        <v>66838.5</v>
      </c>
      <c r="AB507" s="174">
        <f t="shared" si="247"/>
        <v>4467385082.25</v>
      </c>
      <c r="AD507" s="701">
        <f t="shared" si="248"/>
        <v>27.141475413528507</v>
      </c>
      <c r="AE507" s="702">
        <f t="shared" si="249"/>
        <v>-19.706956667441393</v>
      </c>
      <c r="AG507" s="701">
        <f t="shared" si="250"/>
        <v>-7.5285439512829644</v>
      </c>
      <c r="AH507" s="702">
        <f t="shared" si="251"/>
        <v>-47.087579506720154</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1.0022239443373731</v>
      </c>
      <c r="N508" s="694">
        <f t="shared" si="238"/>
        <v>-6.6630781731739502E-2</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-9.2269308918055728</v>
      </c>
      <c r="X508" s="699">
        <f t="shared" si="244"/>
        <v>-154.63694979579526</v>
      </c>
      <c r="Y508" s="702">
        <f t="shared" si="245"/>
        <v>25.36305020420474</v>
      </c>
      <c r="AA508" s="174">
        <f t="shared" si="246"/>
        <v>67223.25</v>
      </c>
      <c r="AB508" s="174">
        <f t="shared" si="247"/>
        <v>4518965340.5625</v>
      </c>
      <c r="AD508" s="701">
        <f t="shared" si="248"/>
        <v>27.136373050498964</v>
      </c>
      <c r="AE508" s="702">
        <f t="shared" si="249"/>
        <v>-19.799965771586411</v>
      </c>
      <c r="AG508" s="701">
        <f t="shared" si="250"/>
        <v>-7.5616604553622677</v>
      </c>
      <c r="AH508" s="702">
        <f t="shared" si="251"/>
        <v>-46.890637029174059</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1.0022494458797182</v>
      </c>
      <c r="N509" s="694">
        <f t="shared" si="238"/>
        <v>-6.7011003359328053E-2</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-9.2978125039742636</v>
      </c>
      <c r="X509" s="699">
        <f t="shared" si="244"/>
        <v>-154.95613493972022</v>
      </c>
      <c r="Y509" s="702">
        <f t="shared" si="245"/>
        <v>25.043865060279785</v>
      </c>
      <c r="AA509" s="174">
        <f t="shared" si="246"/>
        <v>67608</v>
      </c>
      <c r="AB509" s="174">
        <f t="shared" si="247"/>
        <v>4570841664</v>
      </c>
      <c r="AD509" s="701">
        <f t="shared" si="248"/>
        <v>27.131247837613945</v>
      </c>
      <c r="AE509" s="702">
        <f t="shared" si="249"/>
        <v>-19.892932188790407</v>
      </c>
      <c r="AG509" s="701">
        <f t="shared" si="250"/>
        <v>-7.5944510744739819</v>
      </c>
      <c r="AH509" s="702">
        <f t="shared" si="251"/>
        <v>-46.694137207816979</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1.0022756939589486</v>
      </c>
      <c r="N510" s="694">
        <f t="shared" si="238"/>
        <v>-6.7400098969649699E-2</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-9.3701238055599649</v>
      </c>
      <c r="X510" s="699">
        <f t="shared" si="244"/>
        <v>-155.28216391351265</v>
      </c>
      <c r="Y510" s="702">
        <f t="shared" si="245"/>
        <v>24.717836086487353</v>
      </c>
      <c r="AA510" s="174">
        <f t="shared" si="246"/>
        <v>68001.75</v>
      </c>
      <c r="AB510" s="174">
        <f t="shared" si="247"/>
        <v>4624238003.0625</v>
      </c>
      <c r="AD510" s="701">
        <f t="shared" si="248"/>
        <v>27.125979163554032</v>
      </c>
      <c r="AE510" s="702">
        <f t="shared" si="249"/>
        <v>-19.988027343958834</v>
      </c>
      <c r="AG510" s="701">
        <f t="shared" si="250"/>
        <v>-7.6276752377067467</v>
      </c>
      <c r="AH510" s="702">
        <f t="shared" si="251"/>
        <v>-46.493499104293534</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1.0023020937701417</v>
      </c>
      <c r="N511" s="694">
        <f t="shared" si="238"/>
        <v>-6.7789174141957481E-2</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-9.4422068295499706</v>
      </c>
      <c r="X511" s="699">
        <f t="shared" si="244"/>
        <v>-155.60756364812181</v>
      </c>
      <c r="Y511" s="702">
        <f t="shared" si="245"/>
        <v>24.392436351878189</v>
      </c>
      <c r="AA511" s="174">
        <f t="shared" si="246"/>
        <v>68395.5</v>
      </c>
      <c r="AB511" s="174">
        <f t="shared" si="247"/>
        <v>4677944420.25</v>
      </c>
      <c r="AD511" s="701">
        <f t="shared" si="248"/>
        <v>27.120686730550403</v>
      </c>
      <c r="AE511" s="702">
        <f t="shared" si="249"/>
        <v>-20.08307433565308</v>
      </c>
      <c r="AG511" s="701">
        <f t="shared" si="250"/>
        <v>-7.6605659914028443</v>
      </c>
      <c r="AH511" s="702">
        <f t="shared" si="251"/>
        <v>-46.293324345843715</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1.0023286453013085</v>
      </c>
      <c r="N512" s="694">
        <f t="shared" si="238"/>
        <v>-6.8178228760074969E-2</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-9.5140642652174066</v>
      </c>
      <c r="X512" s="699">
        <f t="shared" si="244"/>
        <v>-155.93233463145933</v>
      </c>
      <c r="Y512" s="702">
        <f t="shared" si="245"/>
        <v>24.067665368540673</v>
      </c>
      <c r="AA512" s="174">
        <f t="shared" si="246"/>
        <v>68789.25</v>
      </c>
      <c r="AB512" s="174">
        <f t="shared" si="247"/>
        <v>4731960915.5625</v>
      </c>
      <c r="AD512" s="701">
        <f t="shared" si="248"/>
        <v>27.115370626382486</v>
      </c>
      <c r="AE512" s="702">
        <f t="shared" si="249"/>
        <v>-20.178071467069476</v>
      </c>
      <c r="AG512" s="701">
        <f t="shared" si="250"/>
        <v>-7.6931272368962089</v>
      </c>
      <c r="AH512" s="702">
        <f t="shared" si="251"/>
        <v>-46.093612724019167</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1.0023553485403918</v>
      </c>
      <c r="N513" s="694">
        <f t="shared" si="238"/>
        <v>-6.8567262707862953E-2</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-9.5856987488533676</v>
      </c>
      <c r="X513" s="699">
        <f t="shared" si="244"/>
        <v>-156.2564773889402</v>
      </c>
      <c r="Y513" s="702">
        <f t="shared" si="245"/>
        <v>23.743522611059802</v>
      </c>
      <c r="AA513" s="174">
        <f t="shared" si="246"/>
        <v>69183</v>
      </c>
      <c r="AB513" s="174">
        <f t="shared" si="247"/>
        <v>4786287489</v>
      </c>
      <c r="AD513" s="701">
        <f t="shared" si="248"/>
        <v>27.110030939200648</v>
      </c>
      <c r="AE513" s="702">
        <f t="shared" si="249"/>
        <v>-20.273017074723459</v>
      </c>
      <c r="AG513" s="701">
        <f t="shared" si="250"/>
        <v>-7.7253628138886672</v>
      </c>
      <c r="AH513" s="702">
        <f t="shared" si="251"/>
        <v>-45.89436398096349</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1.0023828361766862</v>
      </c>
      <c r="N514" s="694">
        <f t="shared" si="238"/>
        <v>-6.8965414340270315E-2</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-9.6587879014356819</v>
      </c>
      <c r="X514" s="699">
        <f t="shared" si="244"/>
        <v>-156.58758497895826</v>
      </c>
      <c r="Y514" s="702">
        <f t="shared" si="245"/>
        <v>23.412415021041738</v>
      </c>
      <c r="AA514" s="174">
        <f t="shared" si="246"/>
        <v>69586</v>
      </c>
      <c r="AB514" s="174">
        <f t="shared" si="247"/>
        <v>4842211396</v>
      </c>
      <c r="AD514" s="701">
        <f t="shared" si="248"/>
        <v>27.104541483579077</v>
      </c>
      <c r="AE514" s="702">
        <f t="shared" si="249"/>
        <v>-20.370138095093484</v>
      </c>
      <c r="AG514" s="701">
        <f t="shared" si="250"/>
        <v>-7.7580223806558397</v>
      </c>
      <c r="AH514" s="702">
        <f t="shared" si="251"/>
        <v>-45.690913471465514</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1.0024104827067122</v>
      </c>
      <c r="N515" s="694">
        <f t="shared" si="238"/>
        <v>-6.9363544073705291E-2</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-9.7316489274774867</v>
      </c>
      <c r="X515" s="699">
        <f t="shared" si="244"/>
        <v>-156.91803571090355</v>
      </c>
      <c r="Y515" s="702">
        <f t="shared" si="245"/>
        <v>23.081964289096447</v>
      </c>
      <c r="AA515" s="174">
        <f t="shared" si="246"/>
        <v>69989</v>
      </c>
      <c r="AB515" s="174">
        <f t="shared" si="247"/>
        <v>4898460121</v>
      </c>
      <c r="AD515" s="701">
        <f t="shared" si="248"/>
        <v>27.099027511890622</v>
      </c>
      <c r="AE515" s="702">
        <f t="shared" si="249"/>
        <v>-20.467201719774113</v>
      </c>
      <c r="AG515" s="701">
        <f t="shared" si="250"/>
        <v>-7.7903487446305508</v>
      </c>
      <c r="AH515" s="702">
        <f t="shared" si="251"/>
        <v>-45.487947143877655</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1.0024382881173231</v>
      </c>
      <c r="N516" s="694">
        <f t="shared" si="238"/>
        <v>-6.9761651783772055E-2</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-9.8042844895464842</v>
      </c>
      <c r="X516" s="699">
        <f t="shared" si="244"/>
        <v>-157.24783026572538</v>
      </c>
      <c r="Y516" s="702">
        <f t="shared" si="245"/>
        <v>22.752169734274617</v>
      </c>
      <c r="AA516" s="174">
        <f t="shared" si="246"/>
        <v>70392</v>
      </c>
      <c r="AB516" s="174">
        <f t="shared" si="247"/>
        <v>4955033664</v>
      </c>
      <c r="AD516" s="701">
        <f t="shared" si="248"/>
        <v>27.093489119774596</v>
      </c>
      <c r="AE516" s="702">
        <f t="shared" si="249"/>
        <v>-20.564206268368931</v>
      </c>
      <c r="AG516" s="701">
        <f t="shared" si="250"/>
        <v>-7.8223458302485191</v>
      </c>
      <c r="AH516" s="702">
        <f t="shared" si="251"/>
        <v>-45.285464568260998</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1.0024662523952981</v>
      </c>
      <c r="N517" s="694">
        <f t="shared" si="238"/>
        <v>-7.015973734611651E-2</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-9.8766971976755045</v>
      </c>
      <c r="X517" s="699">
        <f t="shared" si="244"/>
        <v>-157.57696936257861</v>
      </c>
      <c r="Y517" s="702">
        <f t="shared" si="245"/>
        <v>22.423030637421391</v>
      </c>
      <c r="AA517" s="174">
        <f t="shared" si="246"/>
        <v>70795</v>
      </c>
      <c r="AB517" s="174">
        <f t="shared" si="247"/>
        <v>5011932025</v>
      </c>
      <c r="AD517" s="701">
        <f t="shared" si="248"/>
        <v>27.087926403225886</v>
      </c>
      <c r="AE517" s="702">
        <f t="shared" si="249"/>
        <v>-20.661150093543153</v>
      </c>
      <c r="AG517" s="701">
        <f t="shared" si="250"/>
        <v>-7.8540174997836774</v>
      </c>
      <c r="AH517" s="702">
        <f t="shared" si="251"/>
        <v>-45.083465265303722</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1.0024950228982916</v>
      </c>
      <c r="N518" s="694">
        <f t="shared" si="238"/>
        <v>-7.0566937062397625E-2</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-9.9505440662917835</v>
      </c>
      <c r="X518" s="699">
        <f t="shared" si="244"/>
        <v>-157.91298573246524</v>
      </c>
      <c r="Y518" s="702">
        <f t="shared" si="245"/>
        <v>22.087014267534755</v>
      </c>
      <c r="AA518" s="174">
        <f t="shared" si="246"/>
        <v>71207.25</v>
      </c>
      <c r="AB518" s="174">
        <f t="shared" si="247"/>
        <v>5070472452.5625</v>
      </c>
      <c r="AD518" s="701">
        <f t="shared" si="248"/>
        <v>27.082210938590912</v>
      </c>
      <c r="AE518" s="702">
        <f t="shared" si="249"/>
        <v>-20.760254542349852</v>
      </c>
      <c r="AG518" s="701">
        <f t="shared" si="250"/>
        <v>-7.8860833818857508</v>
      </c>
      <c r="AH518" s="702">
        <f t="shared" si="251"/>
        <v>-44.877328990321388</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1.0025239596170412</v>
      </c>
      <c r="N519" s="694">
        <f t="shared" si="238"/>
        <v>-7.0974113339472733E-2</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-10.024163095748461</v>
      </c>
      <c r="X519" s="699">
        <f t="shared" si="244"/>
        <v>-158.24831785149036</v>
      </c>
      <c r="Y519" s="702">
        <f t="shared" si="245"/>
        <v>21.751682148509644</v>
      </c>
      <c r="AA519" s="174">
        <f t="shared" si="246"/>
        <v>71619.5</v>
      </c>
      <c r="AB519" s="174">
        <f t="shared" si="247"/>
        <v>5129352780.25</v>
      </c>
      <c r="AD519" s="701">
        <f t="shared" si="248"/>
        <v>27.07647022437499</v>
      </c>
      <c r="AE519" s="702">
        <f t="shared" si="249"/>
        <v>-20.859292063428157</v>
      </c>
      <c r="AG519" s="701">
        <f t="shared" si="250"/>
        <v>-7.9178167203558196</v>
      </c>
      <c r="AH519" s="702">
        <f t="shared" si="251"/>
        <v>-44.671697259703173</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1.0025530625371539</v>
      </c>
      <c r="N520" s="694">
        <f t="shared" si="238"/>
        <v>-7.138126604436372E-2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-10.097556917781301</v>
      </c>
      <c r="X520" s="699">
        <f t="shared" si="244"/>
        <v>-158.58296660890838</v>
      </c>
      <c r="Y520" s="702">
        <f t="shared" si="245"/>
        <v>21.417033391091621</v>
      </c>
      <c r="AA520" s="174">
        <f t="shared" si="246"/>
        <v>72031.75</v>
      </c>
      <c r="AB520" s="174">
        <f t="shared" si="247"/>
        <v>5188573008.0625</v>
      </c>
      <c r="AD520" s="701">
        <f t="shared" si="248"/>
        <v>27.070704364412158</v>
      </c>
      <c r="AE520" s="702">
        <f t="shared" si="249"/>
        <v>-20.958260995566025</v>
      </c>
      <c r="AG520" s="701">
        <f t="shared" si="250"/>
        <v>-7.9492214559529639</v>
      </c>
      <c r="AH520" s="702">
        <f t="shared" si="251"/>
        <v>-44.466569407469983</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1.0025823316441569</v>
      </c>
      <c r="N521" s="694">
        <f t="shared" si="238"/>
        <v>-7.1788395044139128E-2</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-10.170728112181568</v>
      </c>
      <c r="X521" s="699">
        <f t="shared" si="244"/>
        <v>-158.91693293269603</v>
      </c>
      <c r="Y521" s="702">
        <f t="shared" si="245"/>
        <v>21.083067067303972</v>
      </c>
      <c r="AA521" s="174">
        <f t="shared" si="246"/>
        <v>72444</v>
      </c>
      <c r="AB521" s="174">
        <f t="shared" si="247"/>
        <v>5248133136</v>
      </c>
      <c r="AD521" s="701">
        <f t="shared" si="248"/>
        <v>27.064913462873633</v>
      </c>
      <c r="AE521" s="702">
        <f t="shared" si="249"/>
        <v>-21.057159710330918</v>
      </c>
      <c r="AG521" s="701">
        <f t="shared" si="250"/>
        <v>-7.9803014668452255</v>
      </c>
      <c r="AH521" s="702">
        <f t="shared" si="251"/>
        <v>-44.261944718534139</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1.0026124471966638</v>
      </c>
      <c r="N522" s="694">
        <f t="shared" si="238"/>
        <v>-7.2204881364827E-2</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-10.245357738165257</v>
      </c>
      <c r="X522" s="699">
        <f t="shared" si="244"/>
        <v>-159.2578900697533</v>
      </c>
      <c r="Y522" s="702">
        <f t="shared" si="245"/>
        <v>20.742109930246698</v>
      </c>
      <c r="AA522" s="174">
        <f t="shared" si="246"/>
        <v>72865.75</v>
      </c>
      <c r="AB522" s="174">
        <f t="shared" si="247"/>
        <v>5309417523.0625</v>
      </c>
      <c r="AD522" s="701">
        <f t="shared" si="248"/>
        <v>27.058963309387206</v>
      </c>
      <c r="AE522" s="702">
        <f t="shared" si="249"/>
        <v>-21.158263145971507</v>
      </c>
      <c r="AG522" s="701">
        <f t="shared" si="250"/>
        <v>-8.0117656381812843</v>
      </c>
      <c r="AH522" s="702">
        <f t="shared" si="251"/>
        <v>-44.053124496677064</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1.0026427366527184</v>
      </c>
      <c r="N523" s="694">
        <f t="shared" si="238"/>
        <v>-7.2621342593964008E-2</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-10.319759659194826</v>
      </c>
      <c r="X523" s="699">
        <f t="shared" si="244"/>
        <v>-159.59813504410531</v>
      </c>
      <c r="Y523" s="702">
        <f t="shared" si="245"/>
        <v>20.401864955894695</v>
      </c>
      <c r="AA523" s="174">
        <f t="shared" si="246"/>
        <v>73287.5</v>
      </c>
      <c r="AB523" s="174">
        <f t="shared" si="247"/>
        <v>5371057656.25</v>
      </c>
      <c r="AD523" s="701">
        <f t="shared" si="248"/>
        <v>27.052987168492532</v>
      </c>
      <c r="AE523" s="702">
        <f t="shared" si="249"/>
        <v>-21.259289744409898</v>
      </c>
      <c r="AG523" s="701">
        <f t="shared" si="250"/>
        <v>-8.0428979626988006</v>
      </c>
      <c r="AH523" s="702">
        <f t="shared" si="251"/>
        <v>-43.844829228982192</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1.0026731999965603</v>
      </c>
      <c r="N524" s="694">
        <f t="shared" si="238"/>
        <v>-7.3037778589368663E-2</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-10.393936477203457</v>
      </c>
      <c r="X524" s="699">
        <f t="shared" si="244"/>
        <v>-159.93766897026384</v>
      </c>
      <c r="Y524" s="702">
        <f t="shared" si="245"/>
        <v>20.062331029736157</v>
      </c>
      <c r="AA524" s="174">
        <f t="shared" si="246"/>
        <v>73709.25</v>
      </c>
      <c r="AB524" s="174">
        <f t="shared" si="247"/>
        <v>5433053535.5625</v>
      </c>
      <c r="AD524" s="701">
        <f t="shared" si="248"/>
        <v>27.046985152745087</v>
      </c>
      <c r="AE524" s="702">
        <f t="shared" si="249"/>
        <v>-21.360237863429305</v>
      </c>
      <c r="AG524" s="701">
        <f t="shared" si="250"/>
        <v>-8.0737023978433182</v>
      </c>
      <c r="AH524" s="702">
        <f t="shared" si="251"/>
        <v>-43.637057997867991</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1.0027038372123411</v>
      </c>
      <c r="N525" s="694">
        <f t="shared" ref="N525:N588" si="270">-ATAN(G525/z_RHP)</f>
        <v>-7.3454189208911669E-2</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-10.467890742782293</v>
      </c>
      <c r="X525" s="699">
        <f t="shared" ref="X525:X588" si="276">((L525+R525+N525+V525)-(J525+P525+T525))*radconv</f>
        <v>-160.27649300187142</v>
      </c>
      <c r="Y525" s="702">
        <f t="shared" ref="Y525:Y588" si="277">IF(X525&gt;0,X525,X525+180)</f>
        <v>19.723506998128585</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-8.1041828379872065</v>
      </c>
      <c r="AH525" s="702">
        <f t="shared" ref="AH525:AH588" si="283">(L525+N525-(J525+V525))*radconv</f>
        <v>-43.429809837034824</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1.0027353809469655</v>
      </c>
      <c r="N526" s="694">
        <f t="shared" si="270"/>
        <v>-7.3880446794003379E-2</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-10.543370597968941</v>
      </c>
      <c r="X526" s="699">
        <f t="shared" si="276"/>
        <v>-160.62261670072277</v>
      </c>
      <c r="Y526" s="702">
        <f t="shared" si="277"/>
        <v>19.377383299277227</v>
      </c>
      <c r="AA526" s="174">
        <f t="shared" si="278"/>
        <v>74562.75</v>
      </c>
      <c r="AB526" s="174">
        <f t="shared" si="279"/>
        <v>5559603687.5625</v>
      </c>
      <c r="AD526" s="701">
        <f t="shared" si="280"/>
        <v>27.03476010696809</v>
      </c>
      <c r="AE526" s="702">
        <f t="shared" si="281"/>
        <v>-21.564280970624036</v>
      </c>
      <c r="AG526" s="701">
        <f t="shared" si="282"/>
        <v>-8.1350543832610516</v>
      </c>
      <c r="AH526" s="702">
        <f t="shared" si="283"/>
        <v>-43.218188433349987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1.0027671068626438</v>
      </c>
      <c r="N527" s="694">
        <f t="shared" si="270"/>
        <v>-7.4306677484345759E-2</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-10.618622471929541</v>
      </c>
      <c r="X527" s="699">
        <f t="shared" si="276"/>
        <v>-160.96799901054487</v>
      </c>
      <c r="Y527" s="702">
        <f t="shared" si="277"/>
        <v>19.032000989455128</v>
      </c>
      <c r="AA527" s="174">
        <f t="shared" si="278"/>
        <v>74994.5</v>
      </c>
      <c r="AB527" s="174">
        <f t="shared" si="279"/>
        <v>5624175030.25</v>
      </c>
      <c r="AD527" s="701">
        <f t="shared" si="280"/>
        <v>27.02853608112536</v>
      </c>
      <c r="AE527" s="702">
        <f t="shared" si="281"/>
        <v>-21.667368803233764</v>
      </c>
      <c r="AG527" s="701">
        <f t="shared" si="282"/>
        <v>-8.1655944493605013</v>
      </c>
      <c r="AH527" s="702">
        <f t="shared" si="283"/>
        <v>-43.007112998217416</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1.0027990149420845</v>
      </c>
      <c r="N528" s="694">
        <f t="shared" si="270"/>
        <v>-7.4732881127629949E-2</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-10.693648942231215</v>
      </c>
      <c r="X528" s="699">
        <f t="shared" si="276"/>
        <v>-161.31264129123102</v>
      </c>
      <c r="Y528" s="702">
        <f t="shared" si="277"/>
        <v>18.687358708768983</v>
      </c>
      <c r="AA528" s="174">
        <f t="shared" si="278"/>
        <v>75426.25</v>
      </c>
      <c r="AB528" s="174">
        <f t="shared" si="279"/>
        <v>5689119189.0625</v>
      </c>
      <c r="AD528" s="701">
        <f t="shared" si="280"/>
        <v>27.022285419528398</v>
      </c>
      <c r="AE528" s="702">
        <f t="shared" si="281"/>
        <v>-21.77036776532049</v>
      </c>
      <c r="AG528" s="701">
        <f t="shared" si="282"/>
        <v>-8.1958070172454391</v>
      </c>
      <c r="AH528" s="702">
        <f t="shared" si="283"/>
        <v>-42.796582344161607</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1.0028311051678993</v>
      </c>
      <c r="N529" s="694">
        <f t="shared" si="270"/>
        <v>-7.5159057571605709E-2</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-10.768452535602378</v>
      </c>
      <c r="X529" s="699">
        <f t="shared" si="276"/>
        <v>-161.65654494217679</v>
      </c>
      <c r="Y529" s="702">
        <f t="shared" si="277"/>
        <v>18.343455057823206</v>
      </c>
      <c r="AA529" s="174">
        <f t="shared" si="278"/>
        <v>75858</v>
      </c>
      <c r="AB529" s="174">
        <f t="shared" si="279"/>
        <v>5754436164</v>
      </c>
      <c r="AD529" s="701">
        <f t="shared" si="280"/>
        <v>27.016008244509976</v>
      </c>
      <c r="AE529" s="702">
        <f t="shared" si="281"/>
        <v>-21.873276263470554</v>
      </c>
      <c r="AG529" s="701">
        <f t="shared" si="282"/>
        <v>-8.2256960041259894</v>
      </c>
      <c r="AH529" s="702">
        <f t="shared" si="283"/>
        <v>-42.586595235416226</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1.002864127158325</v>
      </c>
      <c r="N530" s="694">
        <f t="shared" si="270"/>
        <v>-7.5595076613068121E-2</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-10.844760599723893</v>
      </c>
      <c r="X530" s="699">
        <f t="shared" si="276"/>
        <v>-162.00765094589846</v>
      </c>
      <c r="Y530" s="702">
        <f t="shared" si="277"/>
        <v>17.992349054101538</v>
      </c>
      <c r="AA530" s="174">
        <f t="shared" si="278"/>
        <v>76299.75</v>
      </c>
      <c r="AB530" s="174">
        <f t="shared" si="279"/>
        <v>5821651850.0625</v>
      </c>
      <c r="AD530" s="701">
        <f t="shared" si="280"/>
        <v>27.009558366592596</v>
      </c>
      <c r="AE530" s="702">
        <f t="shared" si="281"/>
        <v>-21.978473022321449</v>
      </c>
      <c r="AG530" s="701">
        <f t="shared" si="282"/>
        <v>-8.2559463767223598</v>
      </c>
      <c r="AH530" s="702">
        <f t="shared" si="283"/>
        <v>-42.37230573625196</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1.0028973397932852</v>
      </c>
      <c r="N531" s="694">
        <f t="shared" si="270"/>
        <v>-7.6031066858402982E-2</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-10.920840537123212</v>
      </c>
      <c r="X531" s="699">
        <f t="shared" si="276"/>
        <v>-162.35798679489116</v>
      </c>
      <c r="Y531" s="702">
        <f t="shared" si="277"/>
        <v>17.642013205108839</v>
      </c>
      <c r="AA531" s="174">
        <f t="shared" si="278"/>
        <v>76741.5</v>
      </c>
      <c r="AB531" s="174">
        <f t="shared" si="279"/>
        <v>5889257822.25</v>
      </c>
      <c r="AD531" s="701">
        <f t="shared" si="280"/>
        <v>27.003080992825794</v>
      </c>
      <c r="AE531" s="702">
        <f t="shared" si="281"/>
        <v>-22.083571804138359</v>
      </c>
      <c r="AG531" s="701">
        <f t="shared" si="282"/>
        <v>-8.2858661031860397</v>
      </c>
      <c r="AH531" s="702">
        <f t="shared" si="283"/>
        <v>-42.158582485918288</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1.0029307430538403</v>
      </c>
      <c r="N532" s="694">
        <f t="shared" si="270"/>
        <v>-7.6467028144726779E-2</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-10.996694897322621</v>
      </c>
      <c r="X532" s="699">
        <f t="shared" si="276"/>
        <v>-162.70755411097372</v>
      </c>
      <c r="Y532" s="702">
        <f t="shared" si="277"/>
        <v>17.292445889026283</v>
      </c>
      <c r="AA532" s="174">
        <f t="shared" si="278"/>
        <v>77183.25</v>
      </c>
      <c r="AB532" s="174">
        <f t="shared" si="279"/>
        <v>5957254080.5625</v>
      </c>
      <c r="AD532" s="701">
        <f t="shared" si="280"/>
        <v>26.996576255108302</v>
      </c>
      <c r="AE532" s="702">
        <f t="shared" si="281"/>
        <v>-22.188571002819543</v>
      </c>
      <c r="AG532" s="701">
        <f t="shared" si="282"/>
        <v>-8.3154591804424065</v>
      </c>
      <c r="AH532" s="702">
        <f t="shared" si="283"/>
        <v>-41.945424011866876</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1.002964336920944</v>
      </c>
      <c r="N533" s="694">
        <f t="shared" si="270"/>
        <v>-7.6902960309221696E-2</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-11.072326179653167</v>
      </c>
      <c r="X533" s="699">
        <f t="shared" si="276"/>
        <v>-163.05635455559863</v>
      </c>
      <c r="Y533" s="702">
        <f t="shared" si="277"/>
        <v>16.943645444401369</v>
      </c>
      <c r="AA533" s="174">
        <f t="shared" si="278"/>
        <v>77625</v>
      </c>
      <c r="AB533" s="174">
        <f t="shared" si="279"/>
        <v>6025640625</v>
      </c>
      <c r="AD533" s="701">
        <f t="shared" si="280"/>
        <v>26.990044285603712</v>
      </c>
      <c r="AE533" s="702">
        <f t="shared" si="281"/>
        <v>-22.293469044612852</v>
      </c>
      <c r="AG533" s="701">
        <f t="shared" si="282"/>
        <v>-8.3447295410978626</v>
      </c>
      <c r="AH533" s="702">
        <f t="shared" si="283"/>
        <v>-41.732828793971528</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1.0029989075441255</v>
      </c>
      <c r="N534" s="694">
        <f t="shared" si="270"/>
        <v>-7.734897716848585E-2</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-11.149484001044872</v>
      </c>
      <c r="X534" s="699">
        <f t="shared" si="276"/>
        <v>-163.41245628096704</v>
      </c>
      <c r="Y534" s="702">
        <f t="shared" si="277"/>
        <v>16.587543719032965</v>
      </c>
      <c r="AA534" s="174">
        <f t="shared" si="278"/>
        <v>78077</v>
      </c>
      <c r="AB534" s="174">
        <f t="shared" si="279"/>
        <v>6096017929</v>
      </c>
      <c r="AD534" s="701">
        <f t="shared" si="280"/>
        <v>26.983332704912939</v>
      </c>
      <c r="AE534" s="702">
        <f t="shared" si="281"/>
        <v>-22.400694740159814</v>
      </c>
      <c r="AG534" s="701">
        <f t="shared" si="282"/>
        <v>-8.374349067260372</v>
      </c>
      <c r="AH534" s="702">
        <f t="shared" si="283"/>
        <v>-41.515882070852655</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1.0030336776811444</v>
      </c>
      <c r="N535" s="694">
        <f t="shared" si="270"/>
        <v>-7.7794963194139102E-2</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-11.226413410903579</v>
      </c>
      <c r="X535" s="699">
        <f t="shared" si="276"/>
        <v>-163.76775877681987</v>
      </c>
      <c r="Y535" s="702">
        <f t="shared" si="277"/>
        <v>16.232241223180125</v>
      </c>
      <c r="AA535" s="174">
        <f t="shared" si="278"/>
        <v>78529</v>
      </c>
      <c r="AB535" s="174">
        <f t="shared" si="279"/>
        <v>6166803841</v>
      </c>
      <c r="AD535" s="701">
        <f t="shared" si="280"/>
        <v>26.97659289478451</v>
      </c>
      <c r="AE535" s="702">
        <f t="shared" si="281"/>
        <v>-22.507811297048463</v>
      </c>
      <c r="AG535" s="701">
        <f t="shared" si="282"/>
        <v>-8.4036388563490334</v>
      </c>
      <c r="AH535" s="702">
        <f t="shared" si="283"/>
        <v>-41.299521678830068</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1.0030686473112533</v>
      </c>
      <c r="N536" s="694">
        <f t="shared" si="270"/>
        <v>-7.8240918211980759E-2</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-11.303116931771935</v>
      </c>
      <c r="X536" s="699">
        <f t="shared" si="276"/>
        <v>-164.12226394604852</v>
      </c>
      <c r="Y536" s="702">
        <f t="shared" si="277"/>
        <v>15.87773605395148</v>
      </c>
      <c r="AA536" s="174">
        <f t="shared" si="278"/>
        <v>78981</v>
      </c>
      <c r="AB536" s="174">
        <f t="shared" si="279"/>
        <v>6237998361</v>
      </c>
      <c r="AD536" s="701">
        <f t="shared" si="280"/>
        <v>26.969824997571166</v>
      </c>
      <c r="AE536" s="702">
        <f t="shared" si="281"/>
        <v>-22.614817129764809</v>
      </c>
      <c r="AG536" s="701">
        <f t="shared" si="282"/>
        <v>-8.4326029204528865</v>
      </c>
      <c r="AH536" s="702">
        <f t="shared" si="283"/>
        <v>-41.083745843072776</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1.0031038164135879</v>
      </c>
      <c r="N537" s="694">
        <f t="shared" si="270"/>
        <v>-7.8686842047883676E-2</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-11.379597036673442</v>
      </c>
      <c r="X537" s="699">
        <f t="shared" si="276"/>
        <v>-164.47597373114246</v>
      </c>
      <c r="Y537" s="702">
        <f t="shared" si="277"/>
        <v>15.52402626885754</v>
      </c>
      <c r="AA537" s="174">
        <f t="shared" si="278"/>
        <v>79433</v>
      </c>
      <c r="AB537" s="174">
        <f t="shared" si="279"/>
        <v>6309601489</v>
      </c>
      <c r="AD537" s="701">
        <f t="shared" si="280"/>
        <v>26.963029155858283</v>
      </c>
      <c r="AE537" s="702">
        <f t="shared" si="281"/>
        <v>-22.721710685084041</v>
      </c>
      <c r="AG537" s="701">
        <f t="shared" si="282"/>
        <v>-8.4612452067332562</v>
      </c>
      <c r="AH537" s="702">
        <f t="shared" si="283"/>
        <v>-40.868552742077306</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1.0031400089520803</v>
      </c>
      <c r="N538" s="694">
        <f t="shared" si="270"/>
        <v>-7.9143092275506227E-2</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-11.457625049061075</v>
      </c>
      <c r="X538" s="699">
        <f t="shared" si="276"/>
        <v>-164.83707897867041</v>
      </c>
      <c r="Y538" s="702">
        <f t="shared" si="277"/>
        <v>15.162921021329595</v>
      </c>
      <c r="AA538" s="174">
        <f t="shared" si="278"/>
        <v>79895.5</v>
      </c>
      <c r="AB538" s="174">
        <f t="shared" si="279"/>
        <v>6383290920.25</v>
      </c>
      <c r="AD538" s="701">
        <f t="shared" si="280"/>
        <v>26.956046669336288</v>
      </c>
      <c r="AE538" s="702">
        <f t="shared" si="281"/>
        <v>-22.830969580025005</v>
      </c>
      <c r="AG538" s="701">
        <f t="shared" si="282"/>
        <v>-8.4902238294908852</v>
      </c>
      <c r="AH538" s="702">
        <f t="shared" si="283"/>
        <v>-40.648961936111021</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1.0031764102933876</v>
      </c>
      <c r="N539" s="694">
        <f t="shared" si="270"/>
        <v>-7.9599309487024969E-2</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-11.535424230371403</v>
      </c>
      <c r="X539" s="699">
        <f t="shared" si="276"/>
        <v>-165.19735569694089</v>
      </c>
      <c r="Y539" s="702">
        <f t="shared" si="277"/>
        <v>14.802644303059111</v>
      </c>
      <c r="AA539" s="174">
        <f t="shared" si="278"/>
        <v>80358</v>
      </c>
      <c r="AB539" s="174">
        <f t="shared" si="279"/>
        <v>6457408164</v>
      </c>
      <c r="AD539" s="701">
        <f t="shared" si="280"/>
        <v>26.949035227656548</v>
      </c>
      <c r="AE539" s="702">
        <f t="shared" si="281"/>
        <v>-22.94010773069839</v>
      </c>
      <c r="AG539" s="701">
        <f t="shared" si="282"/>
        <v>-8.518873709739875</v>
      </c>
      <c r="AH539" s="702">
        <f t="shared" si="283"/>
        <v>-40.429977250759393</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1.0032130204147811</v>
      </c>
      <c r="N540" s="694">
        <f t="shared" si="270"/>
        <v>-8.0055493496135513E-2</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-11.612997077298159</v>
      </c>
      <c r="X540" s="699">
        <f t="shared" si="276"/>
        <v>-165.55680608968433</v>
      </c>
      <c r="Y540" s="702">
        <f t="shared" si="277"/>
        <v>14.443193910315671</v>
      </c>
      <c r="AA540" s="174">
        <f t="shared" si="278"/>
        <v>80820.5</v>
      </c>
      <c r="AB540" s="174">
        <f t="shared" si="279"/>
        <v>6531953220.25</v>
      </c>
      <c r="AD540" s="701">
        <f t="shared" si="280"/>
        <v>26.941994984240409</v>
      </c>
      <c r="AE540" s="702">
        <f t="shared" si="281"/>
        <v>-23.049123573346261</v>
      </c>
      <c r="AG540" s="701">
        <f t="shared" si="282"/>
        <v>-8.5471988735420723</v>
      </c>
      <c r="AH540" s="702">
        <f t="shared" si="283"/>
        <v>-40.211596591315555</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1.0032498392934042</v>
      </c>
      <c r="N541" s="694">
        <f t="shared" si="270"/>
        <v>-8.0511644116615794E-2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-11.690346037715658</v>
      </c>
      <c r="X541" s="699">
        <f t="shared" si="276"/>
        <v>-165.91543240001081</v>
      </c>
      <c r="Y541" s="702">
        <f t="shared" si="277"/>
        <v>14.084567599989185</v>
      </c>
      <c r="AA541" s="174">
        <f t="shared" si="278"/>
        <v>81283</v>
      </c>
      <c r="AB541" s="174">
        <f t="shared" si="279"/>
        <v>6606926089</v>
      </c>
      <c r="AD541" s="701">
        <f t="shared" si="280"/>
        <v>26.934926092704558</v>
      </c>
      <c r="AE541" s="702">
        <f t="shared" si="281"/>
        <v>-23.158015576492154</v>
      </c>
      <c r="AG541" s="701">
        <f t="shared" si="282"/>
        <v>-8.5752032813878571</v>
      </c>
      <c r="AH541" s="702">
        <f t="shared" si="283"/>
        <v>-39.99381781751574</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1.0032877300301166</v>
      </c>
      <c r="N542" s="694">
        <f t="shared" si="270"/>
        <v>-8.0978362401012513E-2</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-11.769263589715308</v>
      </c>
      <c r="X542" s="699">
        <f t="shared" si="276"/>
        <v>-166.28154369255978</v>
      </c>
      <c r="Y542" s="702">
        <f t="shared" si="277"/>
        <v>13.718456307440221</v>
      </c>
      <c r="AA542" s="174">
        <f t="shared" si="278"/>
        <v>81756.25</v>
      </c>
      <c r="AB542" s="174">
        <f t="shared" si="279"/>
        <v>6684084414.0625</v>
      </c>
      <c r="AD542" s="701">
        <f t="shared" si="280"/>
        <v>26.927663402968022</v>
      </c>
      <c r="AE542" s="702">
        <f t="shared" si="281"/>
        <v>-23.269308827891763</v>
      </c>
      <c r="AG542" s="701">
        <f t="shared" si="282"/>
        <v>-8.603530640785058</v>
      </c>
      <c r="AH542" s="702">
        <f t="shared" si="283"/>
        <v>-39.771597912577157</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1.0033258392924043</v>
      </c>
      <c r="N543" s="694">
        <f t="shared" si="270"/>
        <v>-8.1445045332395966E-2</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-11.847951761049288</v>
      </c>
      <c r="X543" s="699">
        <f t="shared" si="276"/>
        <v>-166.64679702265096</v>
      </c>
      <c r="Y543" s="702">
        <f t="shared" si="277"/>
        <v>13.353202977349042</v>
      </c>
      <c r="AA543" s="174">
        <f t="shared" si="278"/>
        <v>82229.5</v>
      </c>
      <c r="AB543" s="174">
        <f t="shared" si="279"/>
        <v>6761690670.25</v>
      </c>
      <c r="AD543" s="701">
        <f t="shared" si="280"/>
        <v>26.920371043869086</v>
      </c>
      <c r="AE543" s="702">
        <f t="shared" si="281"/>
        <v>-23.380469272165239</v>
      </c>
      <c r="AG543" s="701">
        <f t="shared" si="282"/>
        <v>-8.6315303454015311</v>
      </c>
      <c r="AH543" s="702">
        <f t="shared" si="283"/>
        <v>-39.55000352374541</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1.0033641670553681</v>
      </c>
      <c r="N544" s="694">
        <f t="shared" si="270"/>
        <v>-8.1911692711525527E-2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-11.92641302378593</v>
      </c>
      <c r="X544" s="699">
        <f t="shared" si="276"/>
        <v>-167.01119491518355</v>
      </c>
      <c r="Y544" s="702">
        <f t="shared" si="277"/>
        <v>12.988805084816448</v>
      </c>
      <c r="AA544" s="174">
        <f t="shared" si="278"/>
        <v>82702.75</v>
      </c>
      <c r="AB544" s="174">
        <f t="shared" si="279"/>
        <v>6839744857.5625</v>
      </c>
      <c r="AD544" s="701">
        <f t="shared" si="280"/>
        <v>26.91304918052915</v>
      </c>
      <c r="AE544" s="702">
        <f t="shared" si="281"/>
        <v>-23.491495368848419</v>
      </c>
      <c r="AG544" s="701">
        <f t="shared" si="282"/>
        <v>-8.6592064336924999</v>
      </c>
      <c r="AH544" s="702">
        <f t="shared" si="283"/>
        <v>-39.329032218545152</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1.0034027132939689</v>
      </c>
      <c r="N545" s="694">
        <f t="shared" si="270"/>
        <v>-8.2378304339252917E-2</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-12.00464980190397</v>
      </c>
      <c r="X545" s="699">
        <f t="shared" si="276"/>
        <v>-167.37473993401483</v>
      </c>
      <c r="Y545" s="702">
        <f t="shared" si="277"/>
        <v>12.625260065985174</v>
      </c>
      <c r="AA545" s="174">
        <f t="shared" si="278"/>
        <v>83176</v>
      </c>
      <c r="AB545" s="174">
        <f t="shared" si="279"/>
        <v>6918246976</v>
      </c>
      <c r="AD545" s="701">
        <f t="shared" si="280"/>
        <v>26.905697978221941</v>
      </c>
      <c r="AE545" s="702">
        <f t="shared" si="281"/>
        <v>-23.602385609802393</v>
      </c>
      <c r="AG545" s="701">
        <f t="shared" si="282"/>
        <v>-8.6865628778677042</v>
      </c>
      <c r="AH545" s="702">
        <f t="shared" si="283"/>
        <v>-39.108681520291483</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1.0034424021471029</v>
      </c>
      <c r="N546" s="694">
        <f t="shared" si="270"/>
        <v>-8.2855970916824298E-2</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-12.084516337522029</v>
      </c>
      <c r="X546" s="699">
        <f t="shared" si="276"/>
        <v>-167.74604625969647</v>
      </c>
      <c r="Y546" s="702">
        <f t="shared" si="277"/>
        <v>12.25395374030353</v>
      </c>
      <c r="AA546" s="174">
        <f t="shared" si="278"/>
        <v>83660.5</v>
      </c>
      <c r="AB546" s="174">
        <f t="shared" si="279"/>
        <v>6999079260.25</v>
      </c>
      <c r="AD546" s="701">
        <f t="shared" si="280"/>
        <v>26.898141803969299</v>
      </c>
      <c r="AE546" s="702">
        <f t="shared" si="281"/>
        <v>-23.715769630428877</v>
      </c>
      <c r="AG546" s="701">
        <f t="shared" si="282"/>
        <v>-8.7142425809142274</v>
      </c>
      <c r="AH546" s="702">
        <f t="shared" si="283"/>
        <v>-38.883732972018301</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1.0034823199328924</v>
      </c>
      <c r="N547" s="694">
        <f t="shared" si="270"/>
        <v>-8.3333599600919225E-2</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-12.164152581466796</v>
      </c>
      <c r="X547" s="699">
        <f t="shared" si="276"/>
        <v>-168.11646424006213</v>
      </c>
      <c r="Y547" s="702">
        <f t="shared" si="277"/>
        <v>11.883535759937871</v>
      </c>
      <c r="AA547" s="174">
        <f t="shared" si="278"/>
        <v>84145</v>
      </c>
      <c r="AB547" s="174">
        <f t="shared" si="279"/>
        <v>7080381025</v>
      </c>
      <c r="AD547" s="701">
        <f t="shared" si="280"/>
        <v>26.890555230283123</v>
      </c>
      <c r="AE547" s="702">
        <f t="shared" si="281"/>
        <v>-23.829008161268778</v>
      </c>
      <c r="AG547" s="701">
        <f t="shared" si="282"/>
        <v>-8.741595480760429</v>
      </c>
      <c r="AH547" s="702">
        <f t="shared" si="283"/>
        <v>-38.659429497792168</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1.0035224666240179</v>
      </c>
      <c r="N548" s="694">
        <f t="shared" si="270"/>
        <v>-8.3811190178150669E-2</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-12.243560986281167</v>
      </c>
      <c r="X548" s="699">
        <f t="shared" si="276"/>
        <v>-168.48599674648096</v>
      </c>
      <c r="Y548" s="702">
        <f t="shared" si="277"/>
        <v>11.514003253519036</v>
      </c>
      <c r="AA548" s="174">
        <f t="shared" si="278"/>
        <v>84629.5</v>
      </c>
      <c r="AB548" s="174">
        <f t="shared" si="279"/>
        <v>7162152270.25</v>
      </c>
      <c r="AD548" s="701">
        <f t="shared" si="280"/>
        <v>26.88293843490554</v>
      </c>
      <c r="AE548" s="702">
        <f t="shared" si="281"/>
        <v>-23.94209968474993</v>
      </c>
      <c r="AG548" s="701">
        <f t="shared" si="282"/>
        <v>-8.768625632509492</v>
      </c>
      <c r="AH548" s="702">
        <f t="shared" si="283"/>
        <v>-38.435768304914539</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1.0035628421930078</v>
      </c>
      <c r="N549" s="694">
        <f t="shared" si="270"/>
        <v>-8.4288742435235112E-2</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-12.322743957083453</v>
      </c>
      <c r="X549" s="699">
        <f t="shared" si="276"/>
        <v>-168.85464668871808</v>
      </c>
      <c r="Y549" s="702">
        <f t="shared" si="277"/>
        <v>11.145353311281923</v>
      </c>
      <c r="AA549" s="174">
        <f t="shared" si="278"/>
        <v>85114</v>
      </c>
      <c r="AB549" s="174">
        <f t="shared" si="279"/>
        <v>7244392996</v>
      </c>
      <c r="AD549" s="701">
        <f t="shared" si="280"/>
        <v>26.875291595681674</v>
      </c>
      <c r="AE549" s="702">
        <f t="shared" si="281"/>
        <v>-24.055042715785369</v>
      </c>
      <c r="AG549" s="701">
        <f t="shared" si="282"/>
        <v>-8.7953370241827251</v>
      </c>
      <c r="AH549" s="702">
        <f t="shared" si="283"/>
        <v>-38.212746557986129</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1.0036043711442499</v>
      </c>
      <c r="N550" s="694">
        <f t="shared" si="270"/>
        <v>-8.4777097094820231E-2</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-12.403493972341233</v>
      </c>
      <c r="X550" s="699">
        <f t="shared" si="276"/>
        <v>-169.23075661578443</v>
      </c>
      <c r="Y550" s="702">
        <f t="shared" si="277"/>
        <v>10.769243384215571</v>
      </c>
      <c r="AA550" s="174">
        <f t="shared" si="278"/>
        <v>85609.5</v>
      </c>
      <c r="AB550" s="174">
        <f t="shared" si="279"/>
        <v>7328986490.25</v>
      </c>
      <c r="AD550" s="701">
        <f t="shared" si="280"/>
        <v>26.867440254685672</v>
      </c>
      <c r="AE550" s="702">
        <f t="shared" si="281"/>
        <v>-24.170394882781693</v>
      </c>
      <c r="AG550" s="701">
        <f t="shared" si="282"/>
        <v>-8.8223292557960082</v>
      </c>
      <c r="AH550" s="702">
        <f t="shared" si="283"/>
        <v>-37.985319755206255</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1.003646139425532</v>
      </c>
      <c r="N551" s="694">
        <f t="shared" si="270"/>
        <v>-8.5265411223591478E-2</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-12.484013142782908</v>
      </c>
      <c r="X551" s="699">
        <f t="shared" si="276"/>
        <v>-169.60594972284593</v>
      </c>
      <c r="Y551" s="702">
        <f t="shared" si="277"/>
        <v>10.394050277154065</v>
      </c>
      <c r="AA551" s="174">
        <f t="shared" si="278"/>
        <v>86105</v>
      </c>
      <c r="AB551" s="174">
        <f t="shared" si="279"/>
        <v>7414071025</v>
      </c>
      <c r="AD551" s="701">
        <f t="shared" si="280"/>
        <v>26.859557866647904</v>
      </c>
      <c r="AE551" s="702">
        <f t="shared" si="281"/>
        <v>-24.285588697248553</v>
      </c>
      <c r="AG551" s="701">
        <f t="shared" si="282"/>
        <v>-8.8489963169010704</v>
      </c>
      <c r="AH551" s="702">
        <f t="shared" si="283"/>
        <v>-37.758555634432376</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1.003688147006975</v>
      </c>
      <c r="N552" s="694">
        <f t="shared" si="270"/>
        <v>-8.5753684593745841E-2</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-12.564303895301485</v>
      </c>
      <c r="X552" s="699">
        <f t="shared" si="276"/>
        <v>-169.98022924013836</v>
      </c>
      <c r="Y552" s="702">
        <f t="shared" si="277"/>
        <v>10.019770759861643</v>
      </c>
      <c r="AA552" s="174">
        <f t="shared" si="278"/>
        <v>86600.5</v>
      </c>
      <c r="AB552" s="174">
        <f t="shared" si="279"/>
        <v>7499646600.25</v>
      </c>
      <c r="AD552" s="701">
        <f t="shared" si="280"/>
        <v>26.851644622037661</v>
      </c>
      <c r="AE552" s="702">
        <f t="shared" si="281"/>
        <v>-24.400622671535956</v>
      </c>
      <c r="AG552" s="701">
        <f t="shared" si="282"/>
        <v>-8.8753422643134776</v>
      </c>
      <c r="AH552" s="702">
        <f t="shared" si="283"/>
        <v>-37.532451033147353</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1.003730393858534</v>
      </c>
      <c r="N553" s="694">
        <f t="shared" si="270"/>
        <v>-8.6241916977596034E-2</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-12.644368610259566</v>
      </c>
      <c r="X553" s="699">
        <f t="shared" si="276"/>
        <v>-170.3535984353399</v>
      </c>
      <c r="Y553" s="702">
        <f t="shared" si="277"/>
        <v>9.6464015646600956</v>
      </c>
      <c r="AA553" s="174">
        <f t="shared" si="278"/>
        <v>87096</v>
      </c>
      <c r="AB553" s="174">
        <f t="shared" si="279"/>
        <v>7585713216</v>
      </c>
      <c r="AD553" s="701">
        <f t="shared" si="280"/>
        <v>26.843700711370076</v>
      </c>
      <c r="AE553" s="702">
        <f t="shared" si="281"/>
        <v>-24.515495350553444</v>
      </c>
      <c r="AG553" s="701">
        <f t="shared" si="282"/>
        <v>-8.9013710871860656</v>
      </c>
      <c r="AH553" s="702">
        <f t="shared" si="283"/>
        <v>-37.307002748082155</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1.0037738903441771</v>
      </c>
      <c r="N554" s="694">
        <f t="shared" si="270"/>
        <v>-8.6741684328097937E-2</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-12.726100229839126</v>
      </c>
      <c r="X554" s="699">
        <f t="shared" si="276"/>
        <v>-170.73488198280904</v>
      </c>
      <c r="Y554" s="702">
        <f t="shared" si="277"/>
        <v>9.2651180171909573</v>
      </c>
      <c r="AA554" s="174">
        <f t="shared" si="278"/>
        <v>87603.25</v>
      </c>
      <c r="AB554" s="174">
        <f t="shared" si="279"/>
        <v>7674329410.5625</v>
      </c>
      <c r="AD554" s="701">
        <f t="shared" si="280"/>
        <v>26.835536856867396</v>
      </c>
      <c r="AE554" s="702">
        <f t="shared" si="281"/>
        <v>-24.632923490121538</v>
      </c>
      <c r="AG554" s="701">
        <f t="shared" si="282"/>
        <v>-8.9276927438207334</v>
      </c>
      <c r="AH554" s="702">
        <f t="shared" si="283"/>
        <v>-37.076884773331692</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1.0038176375180563</v>
      </c>
      <c r="N555" s="694">
        <f t="shared" si="270"/>
        <v>-8.7241408242885468E-2</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-12.807599868815503</v>
      </c>
      <c r="X555" s="699">
        <f t="shared" si="276"/>
        <v>-171.11521856827801</v>
      </c>
      <c r="Y555" s="702">
        <f t="shared" si="277"/>
        <v>8.88478143172199</v>
      </c>
      <c r="AA555" s="174">
        <f t="shared" si="278"/>
        <v>88110.5</v>
      </c>
      <c r="AB555" s="174">
        <f t="shared" si="279"/>
        <v>7763460210.25</v>
      </c>
      <c r="AD555" s="701">
        <f t="shared" si="280"/>
        <v>26.827341268797067</v>
      </c>
      <c r="AE555" s="702">
        <f t="shared" si="281"/>
        <v>-24.750179609555975</v>
      </c>
      <c r="AG555" s="701">
        <f t="shared" si="282"/>
        <v>-8.953690306245603</v>
      </c>
      <c r="AH555" s="702">
        <f t="shared" si="283"/>
        <v>-36.847447692520255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1.003861635347397</v>
      </c>
      <c r="N556" s="694">
        <f t="shared" si="270"/>
        <v>-8.7741088478067539E-2</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-12.888869937469833</v>
      </c>
      <c r="X556" s="699">
        <f t="shared" si="276"/>
        <v>-171.49461181226133</v>
      </c>
      <c r="Y556" s="702">
        <f t="shared" si="277"/>
        <v>8.5053881877386743</v>
      </c>
      <c r="AA556" s="174">
        <f t="shared" si="278"/>
        <v>88617.75</v>
      </c>
      <c r="AB556" s="174">
        <f t="shared" si="279"/>
        <v>7853105615.0625</v>
      </c>
      <c r="AD556" s="701">
        <f t="shared" si="280"/>
        <v>26.819114151596146</v>
      </c>
      <c r="AE556" s="702">
        <f t="shared" si="281"/>
        <v>-24.867262249336424</v>
      </c>
      <c r="AG556" s="701">
        <f t="shared" si="282"/>
        <v>-8.9793678425712677</v>
      </c>
      <c r="AH556" s="702">
        <f t="shared" si="283"/>
        <v>-36.61868794550255</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1.0039058837992434</v>
      </c>
      <c r="N557" s="694">
        <f t="shared" si="270"/>
        <v>-8.8240724789882957E-2</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-12.969912800293644</v>
      </c>
      <c r="X557" s="699">
        <f t="shared" si="276"/>
        <v>-171.87306537166475</v>
      </c>
      <c r="Y557" s="702">
        <f t="shared" si="277"/>
        <v>8.126934628335249</v>
      </c>
      <c r="AA557" s="174">
        <f t="shared" si="278"/>
        <v>89125</v>
      </c>
      <c r="AB557" s="174">
        <f t="shared" si="279"/>
        <v>7943265625</v>
      </c>
      <c r="AD557" s="701">
        <f t="shared" si="280"/>
        <v>26.810855709682386</v>
      </c>
      <c r="AE557" s="702">
        <f t="shared" si="281"/>
        <v>-24.984169982754462</v>
      </c>
      <c r="AG557" s="701">
        <f t="shared" si="282"/>
        <v>-9.0047293523747598</v>
      </c>
      <c r="AH557" s="702">
        <f t="shared" si="283"/>
        <v>-36.390601933444351</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1.0039514165909045</v>
      </c>
      <c r="N558" s="694">
        <f t="shared" si="270"/>
        <v>-8.8751889021882246E-2</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-13.052600207869766</v>
      </c>
      <c r="X558" s="699">
        <f t="shared" si="276"/>
        <v>-172.25931673884716</v>
      </c>
      <c r="Y558" s="702">
        <f t="shared" si="277"/>
        <v>7.7406832611528387</v>
      </c>
      <c r="AA558" s="174">
        <f t="shared" si="278"/>
        <v>89644</v>
      </c>
      <c r="AB558" s="174">
        <f t="shared" si="279"/>
        <v>8036046736</v>
      </c>
      <c r="AD558" s="701">
        <f t="shared" si="280"/>
        <v>26.802373759867013</v>
      </c>
      <c r="AE558" s="702">
        <f t="shared" si="281"/>
        <v>-25.103603295982019</v>
      </c>
      <c r="AG558" s="701">
        <f t="shared" si="282"/>
        <v>-9.0303553483485555</v>
      </c>
      <c r="AH558" s="702">
        <f t="shared" si="283"/>
        <v>-36.15792604233085</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1.0039972116800655</v>
      </c>
      <c r="N559" s="694">
        <f t="shared" si="270"/>
        <v>-8.9263006756192517E-2</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-13.135054628128344</v>
      </c>
      <c r="X559" s="699">
        <f t="shared" si="276"/>
        <v>-172.64459224034528</v>
      </c>
      <c r="Y559" s="702">
        <f t="shared" si="277"/>
        <v>7.3554077596547245</v>
      </c>
      <c r="AA559" s="174">
        <f t="shared" si="278"/>
        <v>90163</v>
      </c>
      <c r="AB559" s="174">
        <f t="shared" si="279"/>
        <v>8129366569</v>
      </c>
      <c r="AD559" s="701">
        <f t="shared" si="280"/>
        <v>26.793859450130494</v>
      </c>
      <c r="AE559" s="702">
        <f t="shared" si="281"/>
        <v>-25.222850586391669</v>
      </c>
      <c r="AG559" s="701">
        <f t="shared" si="282"/>
        <v>-9.0556587644559556</v>
      </c>
      <c r="AH559" s="702">
        <f t="shared" si="283"/>
        <v>-35.925947720527127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1.0040432690308358</v>
      </c>
      <c r="N560" s="694">
        <f t="shared" si="270"/>
        <v>-8.9774077732144325E-2</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-13.217278452861649</v>
      </c>
      <c r="X560" s="699">
        <f t="shared" si="276"/>
        <v>-173.02889590406681</v>
      </c>
      <c r="Y560" s="702">
        <f t="shared" si="277"/>
        <v>6.9711040959331854</v>
      </c>
      <c r="AA560" s="174">
        <f t="shared" si="278"/>
        <v>90682</v>
      </c>
      <c r="AB560" s="174">
        <f t="shared" si="279"/>
        <v>8223225124</v>
      </c>
      <c r="AD560" s="701">
        <f t="shared" si="280"/>
        <v>26.785312999255879</v>
      </c>
      <c r="AE560" s="702">
        <f t="shared" si="281"/>
        <v>-25.341910428042727</v>
      </c>
      <c r="AG560" s="701">
        <f t="shared" si="282"/>
        <v>-9.0806436707495735</v>
      </c>
      <c r="AH560" s="702">
        <f t="shared" si="283"/>
        <v>-35.694662996801661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1.0040895886071259</v>
      </c>
      <c r="N561" s="694">
        <f t="shared" si="270"/>
        <v>-9.0285101689213665E-2</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-13.299274028943342</v>
      </c>
      <c r="X561" s="699">
        <f t="shared" si="276"/>
        <v>-173.41223179292527</v>
      </c>
      <c r="Y561" s="702">
        <f t="shared" si="277"/>
        <v>6.5877682070747312</v>
      </c>
      <c r="AA561" s="174">
        <f t="shared" si="278"/>
        <v>91201</v>
      </c>
      <c r="AB561" s="174">
        <f t="shared" si="279"/>
        <v>8317622401</v>
      </c>
      <c r="AD561" s="701">
        <f t="shared" si="280"/>
        <v>26.776734625932505</v>
      </c>
      <c r="AE561" s="702">
        <f t="shared" si="281"/>
        <v>-25.460781428036761</v>
      </c>
      <c r="AG561" s="701">
        <f t="shared" si="282"/>
        <v>-9.1053140680038833</v>
      </c>
      <c r="AH561" s="702">
        <f t="shared" si="283"/>
        <v>-35.464067863667772</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1.0041372505085695</v>
      </c>
      <c r="N562" s="694">
        <f t="shared" si="270"/>
        <v>-9.0807892295388173E-2</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-13.382931632488692</v>
      </c>
      <c r="X562" s="699">
        <f t="shared" si="276"/>
        <v>-173.8034336141416</v>
      </c>
      <c r="Y562" s="702">
        <f t="shared" si="277"/>
        <v>6.1965663858584037</v>
      </c>
      <c r="AA562" s="174">
        <f t="shared" si="278"/>
        <v>91732</v>
      </c>
      <c r="AB562" s="174">
        <f t="shared" si="279"/>
        <v>8414759824</v>
      </c>
      <c r="AD562" s="701">
        <f t="shared" si="280"/>
        <v>26.767925098558717</v>
      </c>
      <c r="AE562" s="702">
        <f t="shared" si="281"/>
        <v>-25.582204030153409</v>
      </c>
      <c r="AG562" s="701">
        <f t="shared" si="282"/>
        <v>-9.1302334794278508</v>
      </c>
      <c r="AH562" s="702">
        <f t="shared" si="283"/>
        <v>-35.228850526501773</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1.0041851868246878</v>
      </c>
      <c r="N563" s="694">
        <f t="shared" si="270"/>
        <v>-9.1330633132002917E-2</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-13.466355141902095</v>
      </c>
      <c r="X563" s="699">
        <f t="shared" si="276"/>
        <v>-174.19363110199725</v>
      </c>
      <c r="Y563" s="702">
        <f t="shared" si="277"/>
        <v>5.806368898002745</v>
      </c>
      <c r="AA563" s="174">
        <f t="shared" si="278"/>
        <v>92263</v>
      </c>
      <c r="AB563" s="174">
        <f t="shared" si="279"/>
        <v>8512461169</v>
      </c>
      <c r="AD563" s="701">
        <f t="shared" si="280"/>
        <v>26.759082618243497</v>
      </c>
      <c r="AE563" s="702">
        <f t="shared" si="281"/>
        <v>-25.703426110266367</v>
      </c>
      <c r="AG563" s="701">
        <f t="shared" si="282"/>
        <v>-9.1548319264272191</v>
      </c>
      <c r="AH563" s="702">
        <f t="shared" si="283"/>
        <v>-34.994346440295786</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1.0042333975161835</v>
      </c>
      <c r="N564" s="694">
        <f t="shared" si="270"/>
        <v>-9.1853323920519397E-2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-13.549546932558385</v>
      </c>
      <c r="X564" s="699">
        <f t="shared" si="276"/>
        <v>-174.58282871401704</v>
      </c>
      <c r="Y564" s="702">
        <f t="shared" si="277"/>
        <v>5.4171712859829597</v>
      </c>
      <c r="AA564" s="174">
        <f t="shared" si="278"/>
        <v>92794</v>
      </c>
      <c r="AB564" s="174">
        <f t="shared" si="279"/>
        <v>8610726436</v>
      </c>
      <c r="AD564" s="701">
        <f t="shared" si="280"/>
        <v>26.750207418780757</v>
      </c>
      <c r="AE564" s="702">
        <f t="shared" si="281"/>
        <v>-25.824446279610026</v>
      </c>
      <c r="AG564" s="701">
        <f t="shared" si="282"/>
        <v>-9.1791134774898726</v>
      </c>
      <c r="AH564" s="702">
        <f t="shared" si="283"/>
        <v>-34.760551204659471</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1.0042818825435424</v>
      </c>
      <c r="N565" s="694">
        <f t="shared" si="270"/>
        <v>-9.2375964382561779E-2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-13.632509335819776</v>
      </c>
      <c r="X565" s="699">
        <f t="shared" si="276"/>
        <v>-174.97103094107925</v>
      </c>
      <c r="Y565" s="702">
        <f t="shared" si="277"/>
        <v>5.028969058920751</v>
      </c>
      <c r="AA565" s="174">
        <f t="shared" si="278"/>
        <v>93325</v>
      </c>
      <c r="AB565" s="174">
        <f t="shared" si="279"/>
        <v>8709555625</v>
      </c>
      <c r="AD565" s="701">
        <f t="shared" si="280"/>
        <v>26.7412997337862</v>
      </c>
      <c r="AE565" s="702">
        <f t="shared" si="281"/>
        <v>-25.945263182733125</v>
      </c>
      <c r="AG565" s="701">
        <f t="shared" si="282"/>
        <v>-9.2030821310738915</v>
      </c>
      <c r="AH565" s="702">
        <f t="shared" si="283"/>
        <v>-34.527460385675347</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1.0043317929895925</v>
      </c>
      <c r="N566" s="694">
        <f t="shared" si="270"/>
        <v>-9.2910855649131333E-2</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-13.717189552237485</v>
      </c>
      <c r="X566" s="699">
        <f t="shared" si="276"/>
        <v>-175.36734555106574</v>
      </c>
      <c r="Y566" s="702">
        <f t="shared" si="277"/>
        <v>4.6326544489342609</v>
      </c>
      <c r="AA566" s="174">
        <f t="shared" si="278"/>
        <v>93868.5</v>
      </c>
      <c r="AB566" s="174">
        <f t="shared" si="279"/>
        <v>8811295292.25</v>
      </c>
      <c r="AD566" s="701">
        <f t="shared" si="280"/>
        <v>26.732148959526153</v>
      </c>
      <c r="AE566" s="702">
        <f t="shared" si="281"/>
        <v>-26.068712294449778</v>
      </c>
      <c r="AG566" s="701">
        <f t="shared" si="282"/>
        <v>-9.2272950868771293</v>
      </c>
      <c r="AH566" s="702">
        <f t="shared" si="283"/>
        <v>-34.289607318584871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1.0043819907550671</v>
      </c>
      <c r="N567" s="694">
        <f t="shared" si="270"/>
        <v>-9.344569360230652E-2</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-13.801634260658426</v>
      </c>
      <c r="X567" s="699">
        <f t="shared" si="276"/>
        <v>-175.76262698307158</v>
      </c>
      <c r="Y567" s="702">
        <f t="shared" si="277"/>
        <v>4.2373730169284158</v>
      </c>
      <c r="AA567" s="174">
        <f t="shared" si="278"/>
        <v>94412</v>
      </c>
      <c r="AB567" s="174">
        <f t="shared" si="279"/>
        <v>8913625744</v>
      </c>
      <c r="AD567" s="701">
        <f t="shared" si="280"/>
        <v>26.722964646881067</v>
      </c>
      <c r="AE567" s="702">
        <f t="shared" si="281"/>
        <v>-26.191945687875471</v>
      </c>
      <c r="AG567" s="701">
        <f t="shared" si="282"/>
        <v>-9.2511884979829286</v>
      </c>
      <c r="AH567" s="702">
        <f t="shared" si="283"/>
        <v>-34.052482722202782</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1.0044324757968883</v>
      </c>
      <c r="N568" s="694">
        <f t="shared" si="270"/>
        <v>-9.398047794412108E-2</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-13.885845825577821</v>
      </c>
      <c r="X568" s="699">
        <f t="shared" si="276"/>
        <v>-176.15688015348371</v>
      </c>
      <c r="Y568" s="702">
        <f t="shared" si="277"/>
        <v>3.8431198465162879</v>
      </c>
      <c r="AA568" s="174">
        <f t="shared" si="278"/>
        <v>94955.5</v>
      </c>
      <c r="AB568" s="174">
        <f t="shared" si="279"/>
        <v>9016546980.25</v>
      </c>
      <c r="AD568" s="701">
        <f t="shared" si="280"/>
        <v>26.713747045658103</v>
      </c>
      <c r="AE568" s="702">
        <f t="shared" si="281"/>
        <v>-26.314962013629163</v>
      </c>
      <c r="AG568" s="701">
        <f t="shared" si="282"/>
        <v>-9.2747664329880379</v>
      </c>
      <c r="AH568" s="702">
        <f t="shared" si="283"/>
        <v>-33.816081742378863</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1.0044832480717416</v>
      </c>
      <c r="N569" s="694">
        <f t="shared" si="270"/>
        <v>-9.451520837679106E-2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-13.969826568342228</v>
      </c>
      <c r="X569" s="699">
        <f t="shared" si="276"/>
        <v>-176.55011001017795</v>
      </c>
      <c r="Y569" s="702">
        <f t="shared" si="277"/>
        <v>3.4498899898220543</v>
      </c>
      <c r="AA569" s="174">
        <f t="shared" si="278"/>
        <v>95499</v>
      </c>
      <c r="AB569" s="174">
        <f t="shared" si="279"/>
        <v>9120059001</v>
      </c>
      <c r="AD569" s="701">
        <f t="shared" si="280"/>
        <v>26.704496405390159</v>
      </c>
      <c r="AE569" s="702">
        <f t="shared" si="281"/>
        <v>-26.43775995601623</v>
      </c>
      <c r="AG569" s="701">
        <f t="shared" si="282"/>
        <v>-9.2980328895749729</v>
      </c>
      <c r="AH569" s="702">
        <f t="shared" si="283"/>
        <v>-33.580399494404581</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1.0045880702841523</v>
      </c>
      <c r="N570" s="694">
        <f t="shared" si="270"/>
        <v>-9.5609588428738498E-2</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-14.141018021558446</v>
      </c>
      <c r="X570" s="699">
        <f t="shared" si="276"/>
        <v>-177.35184920632176</v>
      </c>
      <c r="Y570" s="702">
        <f t="shared" si="277"/>
        <v>2.6481507936782407</v>
      </c>
      <c r="AA570" s="174">
        <f t="shared" si="278"/>
        <v>96611.5</v>
      </c>
      <c r="AB570" s="174">
        <f t="shared" si="279"/>
        <v>9333781932.25</v>
      </c>
      <c r="AD570" s="701">
        <f t="shared" si="280"/>
        <v>26.685459121465051</v>
      </c>
      <c r="AE570" s="702">
        <f t="shared" si="281"/>
        <v>-26.688430923819713</v>
      </c>
      <c r="AG570" s="701">
        <f t="shared" si="282"/>
        <v>-9.3447025575749549</v>
      </c>
      <c r="AH570" s="702">
        <f t="shared" si="283"/>
        <v>-33.100197819223226</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1.0046940954073464</v>
      </c>
      <c r="N571" s="694">
        <f t="shared" si="270"/>
        <v>-9.6703738811564521E-2</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-14.311270887892128</v>
      </c>
      <c r="X571" s="699">
        <f t="shared" si="276"/>
        <v>-178.14936480361894</v>
      </c>
      <c r="Y571" s="702">
        <f t="shared" si="277"/>
        <v>1.850635196381063</v>
      </c>
      <c r="AA571" s="174">
        <f t="shared" si="278"/>
        <v>97724</v>
      </c>
      <c r="AB571" s="174">
        <f t="shared" si="279"/>
        <v>9549980176</v>
      </c>
      <c r="AD571" s="701">
        <f t="shared" si="280"/>
        <v>26.666286585408393</v>
      </c>
      <c r="AE571" s="702">
        <f t="shared" si="281"/>
        <v>-26.938170972321526</v>
      </c>
      <c r="AG571" s="701">
        <f t="shared" si="282"/>
        <v>-9.3901163612196719</v>
      </c>
      <c r="AH571" s="702">
        <f t="shared" si="283"/>
        <v>-32.622944426520121</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1.0048037949575905</v>
      </c>
      <c r="N572" s="694">
        <f t="shared" si="270"/>
        <v>-9.78227283155058E-2</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-14.484474200025373</v>
      </c>
      <c r="X572" s="699">
        <f t="shared" si="276"/>
        <v>-178.96083600053495</v>
      </c>
      <c r="Y572" s="702">
        <f t="shared" si="277"/>
        <v>1.0391639994650461</v>
      </c>
      <c r="AA572" s="174">
        <f t="shared" si="278"/>
        <v>98862</v>
      </c>
      <c r="AB572" s="174">
        <f t="shared" si="279"/>
        <v>9773695044</v>
      </c>
      <c r="AD572" s="701">
        <f t="shared" si="280"/>
        <v>26.646536868786399</v>
      </c>
      <c r="AE572" s="702">
        <f t="shared" si="281"/>
        <v>-27.192661768120008</v>
      </c>
      <c r="AG572" s="701">
        <f t="shared" si="282"/>
        <v>-9.4353047367631362</v>
      </c>
      <c r="AH572" s="702">
        <f t="shared" si="283"/>
        <v>-32.137757407287161</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1.0049147523847499</v>
      </c>
      <c r="N573" s="694">
        <f t="shared" si="270"/>
        <v>-9.8941472114083384E-2</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-14.65673354819679</v>
      </c>
      <c r="X573" s="699">
        <f t="shared" si="276"/>
        <v>-179.76798037944488</v>
      </c>
      <c r="Y573" s="702">
        <f t="shared" si="277"/>
        <v>0.23201962055512126</v>
      </c>
      <c r="AA573" s="174">
        <f t="shared" si="278"/>
        <v>100000</v>
      </c>
      <c r="AB573" s="174">
        <f t="shared" si="279"/>
        <v>10000000000</v>
      </c>
      <c r="AD573" s="701">
        <f t="shared" si="280"/>
        <v>26.62665012408587</v>
      </c>
      <c r="AE573" s="702">
        <f t="shared" si="281"/>
        <v>-27.446157804279956</v>
      </c>
      <c r="AG573" s="701">
        <f t="shared" si="282"/>
        <v>-9.4792448306353148</v>
      </c>
      <c r="AH573" s="702">
        <f t="shared" si="283"/>
        <v>-31.655564079871219</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1.0050296449317169</v>
      </c>
      <c r="N574" s="694">
        <f t="shared" si="270"/>
        <v>-0.10008650168601214</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-14.832121158769809</v>
      </c>
      <c r="X574" s="699">
        <f t="shared" si="276"/>
        <v>-180.58984250058427</v>
      </c>
      <c r="Y574" s="702">
        <f t="shared" si="277"/>
        <v>-0.58984250058426824</v>
      </c>
      <c r="AA574" s="174">
        <f t="shared" si="278"/>
        <v>101165</v>
      </c>
      <c r="AB574" s="174">
        <f t="shared" si="279"/>
        <v>10234357225</v>
      </c>
      <c r="AD574" s="701">
        <f t="shared" si="280"/>
        <v>26.606151967583639</v>
      </c>
      <c r="AE574" s="702">
        <f t="shared" si="281"/>
        <v>-27.704627759026884</v>
      </c>
      <c r="AG574" s="701">
        <f t="shared" si="282"/>
        <v>-9.5229672955909965</v>
      </c>
      <c r="AH574" s="702">
        <f t="shared" si="283"/>
        <v>-31.164982574858339</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1.0051458548634928</v>
      </c>
      <c r="N575" s="694">
        <f t="shared" si="270"/>
        <v>-0.10123126799337424</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-15.006557589634472</v>
      </c>
      <c r="X575" s="699">
        <f t="shared" si="276"/>
        <v>-181.40727121008211</v>
      </c>
      <c r="Y575" s="702">
        <f t="shared" si="277"/>
        <v>-1.407271210082115</v>
      </c>
      <c r="AA575" s="174">
        <f t="shared" si="278"/>
        <v>102330</v>
      </c>
      <c r="AB575" s="174">
        <f t="shared" si="279"/>
        <v>10471428900</v>
      </c>
      <c r="AD575" s="701">
        <f t="shared" si="280"/>
        <v>26.585514990620922</v>
      </c>
      <c r="AE575" s="702">
        <f t="shared" si="281"/>
        <v>-27.962035357591656</v>
      </c>
      <c r="AG575" s="701">
        <f t="shared" si="282"/>
        <v>-9.5654472022605237</v>
      </c>
      <c r="AH575" s="702">
        <f t="shared" si="283"/>
        <v>-30.677438983300874</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1.0052659181887669</v>
      </c>
      <c r="N576" s="694">
        <f t="shared" si="270"/>
        <v>-0.10240032527762573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-15.183774300498879</v>
      </c>
      <c r="X576" s="699">
        <f t="shared" si="276"/>
        <v>-182.23771799950481</v>
      </c>
      <c r="Y576" s="702">
        <f t="shared" si="277"/>
        <v>-2.2377179995048095</v>
      </c>
      <c r="AA576" s="174">
        <f t="shared" si="278"/>
        <v>103520</v>
      </c>
      <c r="AB576" s="174">
        <f t="shared" si="279"/>
        <v>10716390400</v>
      </c>
      <c r="AD576" s="701">
        <f t="shared" si="280"/>
        <v>26.564294341545338</v>
      </c>
      <c r="AE576" s="702">
        <f t="shared" si="281"/>
        <v>-28.223860374764811</v>
      </c>
      <c r="AG576" s="701">
        <f t="shared" si="282"/>
        <v>-9.6075885413340458</v>
      </c>
      <c r="AH576" s="702">
        <f t="shared" si="283"/>
        <v>-30.182516619508252</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1.0053873550766432</v>
      </c>
      <c r="N577" s="694">
        <f t="shared" si="270"/>
        <v>-0.10356910174701468</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-15.360036510786735</v>
      </c>
      <c r="X577" s="699">
        <f t="shared" si="276"/>
        <v>-183.06364862209836</v>
      </c>
      <c r="Y577" s="702">
        <f t="shared" si="277"/>
        <v>-3.0636486220983556</v>
      </c>
      <c r="AA577" s="174">
        <f t="shared" si="278"/>
        <v>104710</v>
      </c>
      <c r="AB577" s="174">
        <f t="shared" si="279"/>
        <v>10964184100</v>
      </c>
      <c r="AD577" s="701">
        <f t="shared" si="280"/>
        <v>26.542933914244195</v>
      </c>
      <c r="AE577" s="702">
        <f t="shared" si="281"/>
        <v>-28.484558150512125</v>
      </c>
      <c r="AG577" s="701">
        <f t="shared" si="282"/>
        <v>-9.6484985158135768</v>
      </c>
      <c r="AH577" s="702">
        <f t="shared" si="283"/>
        <v>-29.690656431721678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1.0055132788181802</v>
      </c>
      <c r="N578" s="694">
        <f t="shared" si="270"/>
        <v>-0.1047670484106084</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-15.53977048236373</v>
      </c>
      <c r="X578" s="699">
        <f t="shared" si="276"/>
        <v>-183.90577114941144</v>
      </c>
      <c r="Y578" s="702">
        <f t="shared" si="277"/>
        <v>-3.9057711494114358</v>
      </c>
      <c r="AA578" s="174">
        <f t="shared" si="278"/>
        <v>105930</v>
      </c>
      <c r="AB578" s="174">
        <f t="shared" si="279"/>
        <v>11221164900</v>
      </c>
      <c r="AD578" s="701">
        <f t="shared" si="280"/>
        <v>26.520892539884656</v>
      </c>
      <c r="AE578" s="702">
        <f t="shared" si="281"/>
        <v>-28.750648859838716</v>
      </c>
      <c r="AG578" s="701">
        <f t="shared" si="282"/>
        <v>-9.6891940748841936</v>
      </c>
      <c r="AH578" s="702">
        <f t="shared" si="283"/>
        <v>-29.189518063341275</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1.0056406451853186</v>
      </c>
      <c r="N579" s="694">
        <f t="shared" si="270"/>
        <v>-0.10596469334794717</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-15.718539369559341</v>
      </c>
      <c r="X579" s="699">
        <f t="shared" si="276"/>
        <v>-184.74326621863389</v>
      </c>
      <c r="Y579" s="702">
        <f t="shared" si="277"/>
        <v>-4.7432662186338916</v>
      </c>
      <c r="AA579" s="174">
        <f t="shared" si="278"/>
        <v>107150</v>
      </c>
      <c r="AB579" s="174">
        <f t="shared" si="279"/>
        <v>11481122500</v>
      </c>
      <c r="AD579" s="701">
        <f t="shared" si="280"/>
        <v>26.498709644049327</v>
      </c>
      <c r="AE579" s="702">
        <f t="shared" si="281"/>
        <v>-29.015536954658625</v>
      </c>
      <c r="AG579" s="701">
        <f t="shared" si="282"/>
        <v>-9.7286603794731814</v>
      </c>
      <c r="AH579" s="702">
        <f t="shared" si="283"/>
        <v>-28.691481501793881</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1.0057726392125246</v>
      </c>
      <c r="N580" s="694">
        <f t="shared" si="270"/>
        <v>-0.10719147215182626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-15.900722460210579</v>
      </c>
      <c r="X580" s="699">
        <f t="shared" si="276"/>
        <v>-185.59661950273076</v>
      </c>
      <c r="Y580" s="702">
        <f t="shared" si="277"/>
        <v>-5.5966195027307606</v>
      </c>
      <c r="AA580" s="174">
        <f t="shared" si="278"/>
        <v>108400</v>
      </c>
      <c r="AB580" s="174">
        <f t="shared" si="279"/>
        <v>11750560000</v>
      </c>
      <c r="AD580" s="701">
        <f t="shared" si="280"/>
        <v>26.4758373140921</v>
      </c>
      <c r="AE580" s="702">
        <f t="shared" si="281"/>
        <v>-29.285682830833686</v>
      </c>
      <c r="AG580" s="701">
        <f t="shared" si="282"/>
        <v>-9.7678546910243327</v>
      </c>
      <c r="AH580" s="702">
        <f t="shared" si="283"/>
        <v>-28.184353208401845</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1.0059061465151324</v>
      </c>
      <c r="N581" s="694">
        <f t="shared" si="270"/>
        <v>-0.10841792715654348</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-16.081930864366736</v>
      </c>
      <c r="X581" s="699">
        <f t="shared" si="276"/>
        <v>-186.44524452192346</v>
      </c>
      <c r="Y581" s="702">
        <f t="shared" si="277"/>
        <v>-6.4452445219234562</v>
      </c>
      <c r="AA581" s="174">
        <f t="shared" si="278"/>
        <v>109650</v>
      </c>
      <c r="AB581" s="174">
        <f t="shared" si="279"/>
        <v>12023122500</v>
      </c>
      <c r="AD581" s="701">
        <f t="shared" si="280"/>
        <v>26.452822154146599</v>
      </c>
      <c r="AE581" s="702">
        <f t="shared" si="281"/>
        <v>-29.554549494591388</v>
      </c>
      <c r="AG581" s="701">
        <f t="shared" si="282"/>
        <v>-9.8058233390953689</v>
      </c>
      <c r="AH581" s="702">
        <f t="shared" si="283"/>
        <v>-27.680354804046083</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1.0060438823152853</v>
      </c>
      <c r="N582" s="694">
        <f t="shared" si="270"/>
        <v>-0.10966857399153056</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-16.26577854912669</v>
      </c>
      <c r="X582" s="699">
        <f t="shared" si="276"/>
        <v>-187.30603937123294</v>
      </c>
      <c r="Y582" s="702">
        <f t="shared" si="277"/>
        <v>-7.3060393712329414</v>
      </c>
      <c r="AA582" s="174">
        <f t="shared" si="278"/>
        <v>110925</v>
      </c>
      <c r="AB582" s="174">
        <f t="shared" si="279"/>
        <v>12304355625</v>
      </c>
      <c r="AD582" s="701">
        <f t="shared" si="280"/>
        <v>26.429202530318634</v>
      </c>
      <c r="AE582" s="702">
        <f t="shared" si="281"/>
        <v>-29.82746778885916</v>
      </c>
      <c r="AG582" s="701">
        <f t="shared" si="282"/>
        <v>-9.8433207646135532</v>
      </c>
      <c r="AH582" s="702">
        <f t="shared" si="283"/>
        <v>-27.169434346585838</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1.0061831912540404</v>
      </c>
      <c r="N583" s="694">
        <f t="shared" si="270"/>
        <v>-0.11091887647043072</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-16.448650550593523</v>
      </c>
      <c r="X583" s="699">
        <f t="shared" si="276"/>
        <v>-188.1620537325154</v>
      </c>
      <c r="Y583" s="702">
        <f t="shared" si="277"/>
        <v>-8.1620537325154032</v>
      </c>
      <c r="AA583" s="174">
        <f t="shared" si="278"/>
        <v>112200</v>
      </c>
      <c r="AB583" s="174">
        <f t="shared" si="279"/>
        <v>12588840000</v>
      </c>
      <c r="AD583" s="701">
        <f t="shared" si="280"/>
        <v>26.405440330230981</v>
      </c>
      <c r="AE583" s="702">
        <f t="shared" si="281"/>
        <v>-30.099039867859521</v>
      </c>
      <c r="AG583" s="701">
        <f t="shared" si="282"/>
        <v>-9.8796067719471399</v>
      </c>
      <c r="AH583" s="702">
        <f t="shared" si="283"/>
        <v>-26.6616354004009</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1.0063279621806136</v>
      </c>
      <c r="N584" s="694">
        <f t="shared" si="270"/>
        <v>-0.1122031383554092</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-16.635545794754197</v>
      </c>
      <c r="X584" s="699">
        <f t="shared" si="276"/>
        <v>-189.03666135715511</v>
      </c>
      <c r="Y584" s="702">
        <f t="shared" si="277"/>
        <v>-9.0366613571551113</v>
      </c>
      <c r="AA584" s="174">
        <f t="shared" si="278"/>
        <v>113510</v>
      </c>
      <c r="AB584" s="174">
        <f t="shared" si="279"/>
        <v>12884520100</v>
      </c>
      <c r="AD584" s="701">
        <f t="shared" si="280"/>
        <v>26.380880497390716</v>
      </c>
      <c r="AE584" s="702">
        <f t="shared" si="281"/>
        <v>-30.376657516397032</v>
      </c>
      <c r="AG584" s="701">
        <f t="shared" si="282"/>
        <v>-9.9156590000329299</v>
      </c>
      <c r="AH584" s="702">
        <f t="shared" si="283"/>
        <v>-26.14307646915497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1.0064743923935882</v>
      </c>
      <c r="N585" s="694">
        <f t="shared" si="270"/>
        <v>-0.11348702866736729</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-16.82145007999036</v>
      </c>
      <c r="X585" s="699">
        <f t="shared" si="276"/>
        <v>-189.90637319320464</v>
      </c>
      <c r="Y585" s="702">
        <f t="shared" si="277"/>
        <v>-9.9063731932046437</v>
      </c>
      <c r="AA585" s="174">
        <f t="shared" si="278"/>
        <v>114820</v>
      </c>
      <c r="AB585" s="174">
        <f t="shared" si="279"/>
        <v>13183632400</v>
      </c>
      <c r="AD585" s="701">
        <f t="shared" si="280"/>
        <v>26.356176570978391</v>
      </c>
      <c r="AE585" s="702">
        <f t="shared" si="281"/>
        <v>-30.652839990567301</v>
      </c>
      <c r="AG585" s="701">
        <f t="shared" si="282"/>
        <v>-9.95049604403569</v>
      </c>
      <c r="AH585" s="702">
        <f t="shared" si="283"/>
        <v>-25.627666937572883</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1.0066253234137368</v>
      </c>
      <c r="N586" s="694">
        <f t="shared" si="270"/>
        <v>-0.11479503421210926</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-17.009902242167161</v>
      </c>
      <c r="X586" s="699">
        <f t="shared" si="276"/>
        <v>-190.78772505876339</v>
      </c>
      <c r="Y586" s="702">
        <f t="shared" si="277"/>
        <v>-10.787725058763385</v>
      </c>
      <c r="AA586" s="174">
        <f t="shared" si="278"/>
        <v>116155</v>
      </c>
      <c r="AB586" s="174">
        <f t="shared" si="279"/>
        <v>13491984025</v>
      </c>
      <c r="AD586" s="701">
        <f t="shared" si="280"/>
        <v>26.330856279188275</v>
      </c>
      <c r="AE586" s="702">
        <f t="shared" si="281"/>
        <v>-30.932810187832494</v>
      </c>
      <c r="AG586" s="701">
        <f t="shared" si="282"/>
        <v>-9.9847791569613893</v>
      </c>
      <c r="AH586" s="702">
        <f t="shared" si="283"/>
        <v>-25.105585009657617</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1.0067779761294244</v>
      </c>
      <c r="N587" s="694">
        <f t="shared" si="270"/>
        <v>-0.116102645340758</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-17.197364380690825</v>
      </c>
      <c r="X587" s="699">
        <f t="shared" si="276"/>
        <v>-191.66415318761278</v>
      </c>
      <c r="Y587" s="702">
        <f t="shared" si="277"/>
        <v>-11.664153187612783</v>
      </c>
      <c r="AA587" s="174">
        <f t="shared" si="278"/>
        <v>117490</v>
      </c>
      <c r="AB587" s="174">
        <f t="shared" si="279"/>
        <v>13803900100</v>
      </c>
      <c r="AD587" s="701">
        <f t="shared" si="280"/>
        <v>26.305393054210072</v>
      </c>
      <c r="AE587" s="702">
        <f t="shared" si="281"/>
        <v>-31.211277536343722</v>
      </c>
      <c r="AG587" s="701">
        <f t="shared" si="282"/>
        <v>-10.017862633496383</v>
      </c>
      <c r="AH587" s="702">
        <f t="shared" si="283"/>
        <v>-24.586619064029719</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1.0069364201493292</v>
      </c>
      <c r="N588" s="694">
        <f t="shared" si="270"/>
        <v>-0.11744412384633583</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-17.388731811840358</v>
      </c>
      <c r="X588" s="699">
        <f t="shared" si="276"/>
        <v>-192.55852493930576</v>
      </c>
      <c r="Y588" s="702">
        <f t="shared" si="277"/>
        <v>-12.558524939305755</v>
      </c>
      <c r="AA588" s="174">
        <f t="shared" si="278"/>
        <v>118860</v>
      </c>
      <c r="AB588" s="174">
        <f t="shared" si="279"/>
        <v>14127699600</v>
      </c>
      <c r="AD588" s="701">
        <f t="shared" si="280"/>
        <v>26.279117158594254</v>
      </c>
      <c r="AE588" s="702">
        <f t="shared" si="281"/>
        <v>-31.495477473263026</v>
      </c>
      <c r="AG588" s="701">
        <f t="shared" si="282"/>
        <v>-10.050597262510937</v>
      </c>
      <c r="AH588" s="702">
        <f t="shared" si="283"/>
        <v>-24.057205119920219</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1.007096675644279</v>
      </c>
      <c r="N589" s="694">
        <f t="shared" ref="N589:N613" si="302">-ATAN(G589/z_RHP)</f>
        <v>-0.11878517783576184</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-17.579096477776137</v>
      </c>
      <c r="X589" s="699">
        <f t="shared" ref="X589:X613" si="308">((L589+R589+N589+V589)-(J589+P589+T589))*radconv</f>
        <v>-193.44788470192879</v>
      </c>
      <c r="Y589" s="702">
        <f t="shared" ref="Y589:Y613" si="309">IF(X589&gt;0,X589,X589+180)</f>
        <v>-13.447884701928785</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-10.082130335779587</v>
      </c>
      <c r="AH589" s="702">
        <f t="shared" ref="AH589:AH613" si="315">(L589+N589-(J589+V589))*radconv</f>
        <v>-23.530906544756938</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1.0077951776882605</v>
      </c>
      <c r="N590" s="694">
        <f t="shared" si="302"/>
        <v>-0.12445782355913322</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-18.374348563460398</v>
      </c>
      <c r="X590" s="699">
        <f t="shared" si="308"/>
        <v>-197.15955235008371</v>
      </c>
      <c r="Y590" s="702">
        <f t="shared" si="309"/>
        <v>-17.159552350083715</v>
      </c>
      <c r="AA590" s="174">
        <f t="shared" si="310"/>
        <v>126030</v>
      </c>
      <c r="AB590" s="174">
        <f t="shared" si="311"/>
        <v>15883560900</v>
      </c>
      <c r="AD590" s="701">
        <f t="shared" si="312"/>
        <v>26.1393417947017</v>
      </c>
      <c r="AE590" s="702">
        <f t="shared" si="313"/>
        <v>-32.95677510173924</v>
      </c>
      <c r="AG590" s="701">
        <f t="shared" si="314"/>
        <v>-10.202970163828315</v>
      </c>
      <c r="AH590" s="702">
        <f t="shared" si="315"/>
        <v>-21.335369049209376</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1.0085260639523352</v>
      </c>
      <c r="N591" s="694">
        <f t="shared" si="302"/>
        <v>-0.13012242933137971</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-19.1533481624699</v>
      </c>
      <c r="X591" s="699">
        <f t="shared" si="308"/>
        <v>-200.78960639787559</v>
      </c>
      <c r="Y591" s="702">
        <f t="shared" si="309"/>
        <v>-20.789606397875588</v>
      </c>
      <c r="AA591" s="174">
        <f t="shared" si="310"/>
        <v>131830</v>
      </c>
      <c r="AB591" s="174">
        <f t="shared" si="311"/>
        <v>17379148900</v>
      </c>
      <c r="AD591" s="701">
        <f t="shared" si="312"/>
        <v>26.023740080693585</v>
      </c>
      <c r="AE591" s="702">
        <f t="shared" si="313"/>
        <v>-34.106611219246382</v>
      </c>
      <c r="AG591" s="701">
        <f t="shared" si="314"/>
        <v>-10.304766784500153</v>
      </c>
      <c r="AH591" s="702">
        <f t="shared" si="315"/>
        <v>-19.187865334905176</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1.0102406049604509</v>
      </c>
      <c r="N592" s="694">
        <f t="shared" si="302"/>
        <v>-0.14250593138722625</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-20.809663686734396</v>
      </c>
      <c r="X592" s="699">
        <f t="shared" si="308"/>
        <v>-208.49122496480194</v>
      </c>
      <c r="Y592" s="702">
        <f t="shared" si="309"/>
        <v>-28.491224964801944</v>
      </c>
      <c r="AA592" s="174">
        <f t="shared" si="310"/>
        <v>144540</v>
      </c>
      <c r="AB592" s="174">
        <f t="shared" si="311"/>
        <v>20891811600</v>
      </c>
      <c r="AD592" s="701">
        <f t="shared" si="312"/>
        <v>25.763765043160276</v>
      </c>
      <c r="AE592" s="702">
        <f t="shared" si="313"/>
        <v>-36.525312484200356</v>
      </c>
      <c r="AG592" s="701">
        <f t="shared" si="314"/>
        <v>-10.46892313884773</v>
      </c>
      <c r="AH592" s="702">
        <f t="shared" si="315"/>
        <v>-14.619696027861742</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1.0123000969958671</v>
      </c>
      <c r="N593" s="694">
        <f t="shared" si="302"/>
        <v>-0.15604697565100542</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-22.558941459653951</v>
      </c>
      <c r="X593" s="699">
        <f t="shared" si="308"/>
        <v>-216.61081055006076</v>
      </c>
      <c r="Y593" s="702">
        <f t="shared" si="309"/>
        <v>-36.610810550060762</v>
      </c>
      <c r="AA593" s="174">
        <f t="shared" si="310"/>
        <v>158490</v>
      </c>
      <c r="AB593" s="174">
        <f t="shared" si="311"/>
        <v>25119080100</v>
      </c>
      <c r="AD593" s="701">
        <f t="shared" si="312"/>
        <v>25.470245616071296</v>
      </c>
      <c r="AE593" s="702">
        <f t="shared" si="313"/>
        <v>-39.022104297143159</v>
      </c>
      <c r="AG593" s="701">
        <f t="shared" si="314"/>
        <v>-10.56761620914822</v>
      </c>
      <c r="AH593" s="702">
        <f t="shared" si="315"/>
        <v>-9.7620829777681237</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1.0147697018336217</v>
      </c>
      <c r="N594" s="694">
        <f t="shared" si="302"/>
        <v>-0.17082258139377457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-24.410789279441275</v>
      </c>
      <c r="X594" s="699">
        <f t="shared" si="308"/>
        <v>-225.21155628796731</v>
      </c>
      <c r="Y594" s="702">
        <f t="shared" si="309"/>
        <v>-45.211556287967312</v>
      </c>
      <c r="AA594" s="174">
        <f t="shared" si="310"/>
        <v>173780</v>
      </c>
      <c r="AB594" s="174">
        <f t="shared" si="311"/>
        <v>30199488400</v>
      </c>
      <c r="AD594" s="701">
        <f t="shared" si="312"/>
        <v>25.141890801048167</v>
      </c>
      <c r="AE594" s="702">
        <f t="shared" si="313"/>
        <v>-41.574744849106672</v>
      </c>
      <c r="AG594" s="701">
        <f t="shared" si="314"/>
        <v>-10.588869315380503</v>
      </c>
      <c r="AH594" s="702">
        <f t="shared" si="315"/>
        <v>-4.5331554595538206</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1.017731767496443</v>
      </c>
      <c r="N595" s="694">
        <f t="shared" si="302"/>
        <v>-0.18694201672857971</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-26.385967318105891</v>
      </c>
      <c r="X595" s="699">
        <f t="shared" si="308"/>
        <v>-234.41861136542437</v>
      </c>
      <c r="Y595" s="702">
        <f t="shared" si="309"/>
        <v>-54.418611365424368</v>
      </c>
      <c r="AA595" s="174">
        <f t="shared" si="310"/>
        <v>190550</v>
      </c>
      <c r="AB595" s="174">
        <f t="shared" si="311"/>
        <v>36309302500</v>
      </c>
      <c r="AD595" s="701">
        <f t="shared" si="312"/>
        <v>24.777313356132204</v>
      </c>
      <c r="AE595" s="702">
        <f t="shared" si="313"/>
        <v>-44.16407882802968</v>
      </c>
      <c r="AG595" s="701">
        <f t="shared" si="314"/>
        <v>-10.512604473323607</v>
      </c>
      <c r="AH595" s="702">
        <f t="shared" si="315"/>
        <v>1.2063610310886796</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1.0212800513799603</v>
      </c>
      <c r="N596" s="694">
        <f t="shared" si="302"/>
        <v>-0.2044965145299282</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-28.517391730911491</v>
      </c>
      <c r="X596" s="699">
        <f t="shared" si="308"/>
        <v>-244.41505165395913</v>
      </c>
      <c r="Y596" s="702">
        <f t="shared" si="309"/>
        <v>-64.415051653959125</v>
      </c>
      <c r="AA596" s="174">
        <f t="shared" si="310"/>
        <v>208930</v>
      </c>
      <c r="AB596" s="174">
        <f t="shared" si="311"/>
        <v>43651744900</v>
      </c>
      <c r="AD596" s="701">
        <f t="shared" si="312"/>
        <v>24.376186454266442</v>
      </c>
      <c r="AE596" s="702">
        <f t="shared" si="313"/>
        <v>-46.766099675312738</v>
      </c>
      <c r="AG596" s="701">
        <f t="shared" si="314"/>
        <v>-10.30307151127883</v>
      </c>
      <c r="AH596" s="702">
        <f t="shared" si="315"/>
        <v>7.6599356698775019</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1.0255311798611533</v>
      </c>
      <c r="N597" s="694">
        <f t="shared" si="302"/>
        <v>-0.22360481297183693</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-30.871646582046779</v>
      </c>
      <c r="X597" s="699">
        <f t="shared" si="308"/>
        <v>-255.50932682819632</v>
      </c>
      <c r="Y597" s="702">
        <f t="shared" si="309"/>
        <v>-75.509326828196322</v>
      </c>
      <c r="AA597" s="174">
        <f t="shared" si="310"/>
        <v>229090</v>
      </c>
      <c r="AB597" s="174">
        <f t="shared" si="311"/>
        <v>52482228100</v>
      </c>
      <c r="AD597" s="701">
        <f t="shared" si="312"/>
        <v>23.938225118154275</v>
      </c>
      <c r="AE597" s="702">
        <f t="shared" si="313"/>
        <v>-49.360242832493199</v>
      </c>
      <c r="AG597" s="701">
        <f t="shared" si="314"/>
        <v>-9.892709863312616</v>
      </c>
      <c r="AH597" s="702">
        <f t="shared" si="315"/>
        <v>15.152003200717436</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1.0306178051895509</v>
      </c>
      <c r="N598" s="694">
        <f t="shared" si="302"/>
        <v>-0.24436234556344977</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-33.580093979335473</v>
      </c>
      <c r="X598" s="699">
        <f t="shared" si="308"/>
        <v>-268.16906943844589</v>
      </c>
      <c r="Y598" s="702">
        <f t="shared" si="309"/>
        <v>-88.169069438445888</v>
      </c>
      <c r="AA598" s="174">
        <f t="shared" si="310"/>
        <v>251190</v>
      </c>
      <c r="AB598" s="174">
        <f t="shared" si="311"/>
        <v>63096416100</v>
      </c>
      <c r="AD598" s="701">
        <f t="shared" si="312"/>
        <v>23.464301545813719</v>
      </c>
      <c r="AE598" s="702">
        <f t="shared" si="313"/>
        <v>-51.923002738973317</v>
      </c>
      <c r="AG598" s="701">
        <f t="shared" si="314"/>
        <v>-9.1455821854528558</v>
      </c>
      <c r="AH598" s="702">
        <f t="shared" si="315"/>
        <v>24.170998818836754</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1.0366996159836803</v>
      </c>
      <c r="N599" s="694">
        <f t="shared" si="302"/>
        <v>-0.26687560102968483</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-36.942080729368797</v>
      </c>
      <c r="X599" s="699">
        <f t="shared" si="308"/>
        <v>-283.11774927215879</v>
      </c>
      <c r="Y599" s="702">
        <f t="shared" si="309"/>
        <v>-103.11774927215879</v>
      </c>
      <c r="AA599" s="174">
        <f t="shared" si="310"/>
        <v>275420</v>
      </c>
      <c r="AB599" s="174">
        <f t="shared" si="311"/>
        <v>75856176400</v>
      </c>
      <c r="AD599" s="701">
        <f t="shared" si="312"/>
        <v>22.955562257354515</v>
      </c>
      <c r="AE599" s="702">
        <f t="shared" si="313"/>
        <v>-54.434142428718481</v>
      </c>
      <c r="AG599" s="701">
        <f t="shared" si="314"/>
        <v>-7.7581066602497861</v>
      </c>
      <c r="AH599" s="702">
        <f t="shared" si="315"/>
        <v>35.458109066675455</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1.0439680630438923</v>
      </c>
      <c r="N600" s="694">
        <f t="shared" si="302"/>
        <v>-0.2912568882751852</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-41.750537103728682</v>
      </c>
      <c r="X600" s="699">
        <f t="shared" si="308"/>
        <v>-301.34008513977545</v>
      </c>
      <c r="Y600" s="702">
        <f t="shared" si="309"/>
        <v>-121.34008513977545</v>
      </c>
      <c r="AA600" s="174">
        <f t="shared" si="310"/>
        <v>302000</v>
      </c>
      <c r="AB600" s="174">
        <f t="shared" si="311"/>
        <v>91204000000</v>
      </c>
      <c r="AD600" s="701">
        <f t="shared" si="312"/>
        <v>22.413412245024659</v>
      </c>
      <c r="AE600" s="702">
        <f t="shared" si="313"/>
        <v>-56.876468905518337</v>
      </c>
      <c r="AG600" s="701">
        <f t="shared" si="314"/>
        <v>-4.9328704450591347</v>
      </c>
      <c r="AH600" s="702">
        <f t="shared" si="315"/>
        <v>50.013401008821546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1.0526359754244079</v>
      </c>
      <c r="N601" s="694">
        <f t="shared" si="302"/>
        <v>-0.31757313618834082</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-51.153662112004234</v>
      </c>
      <c r="X601" s="699">
        <f t="shared" si="308"/>
        <v>-323.64127936608566</v>
      </c>
      <c r="Y601" s="702">
        <f t="shared" si="309"/>
        <v>-143.64127936608566</v>
      </c>
      <c r="AA601" s="174">
        <f t="shared" si="310"/>
        <v>331130</v>
      </c>
      <c r="AB601" s="174">
        <f t="shared" si="311"/>
        <v>109647076900</v>
      </c>
      <c r="AD601" s="701">
        <f t="shared" si="312"/>
        <v>21.840462199252933</v>
      </c>
      <c r="AE601" s="702">
        <f t="shared" si="313"/>
        <v>-59.231846228384406</v>
      </c>
      <c r="AG601" s="701">
        <f t="shared" si="314"/>
        <v>2.4867393496306032</v>
      </c>
      <c r="AH601" s="702">
        <f t="shared" si="315"/>
        <v>68.661805561470629</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1.0629665672183053</v>
      </c>
      <c r="N602" s="694">
        <f t="shared" si="302"/>
        <v>-0.34592163045483104</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-56.345266031430526</v>
      </c>
      <c r="X602" s="699">
        <f t="shared" si="308"/>
        <v>-169.42402858094547</v>
      </c>
      <c r="Y602" s="702">
        <f t="shared" si="309"/>
        <v>10.575971419054525</v>
      </c>
      <c r="AA602" s="174">
        <f t="shared" si="310"/>
        <v>363080</v>
      </c>
      <c r="AB602" s="174">
        <f t="shared" si="311"/>
        <v>131827086400</v>
      </c>
      <c r="AD602" s="701">
        <f t="shared" si="312"/>
        <v>21.238633749384725</v>
      </c>
      <c r="AE602" s="702">
        <f t="shared" si="313"/>
        <v>-61.489398060057276</v>
      </c>
      <c r="AG602" s="701">
        <f t="shared" si="314"/>
        <v>5.7003687630329081</v>
      </c>
      <c r="AH602" s="702">
        <f t="shared" si="315"/>
        <v>-89.181633691040489</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1.0752544812593154</v>
      </c>
      <c r="N603" s="694">
        <f t="shared" si="302"/>
        <v>-0.37634974668388893</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-47.998325001647814</v>
      </c>
      <c r="X603" s="699">
        <f t="shared" si="308"/>
        <v>-195.74314782590614</v>
      </c>
      <c r="Y603" s="702">
        <f t="shared" si="309"/>
        <v>-15.743147825906135</v>
      </c>
      <c r="AA603" s="174">
        <f t="shared" si="310"/>
        <v>398110</v>
      </c>
      <c r="AB603" s="174">
        <f t="shared" si="311"/>
        <v>158491572100</v>
      </c>
      <c r="AD603" s="701">
        <f t="shared" si="312"/>
        <v>20.610685423701931</v>
      </c>
      <c r="AE603" s="702">
        <f t="shared" si="313"/>
        <v>-63.638566210118348</v>
      </c>
      <c r="AG603" s="701">
        <f t="shared" si="314"/>
        <v>-4.6099979376886173</v>
      </c>
      <c r="AH603" s="702">
        <f t="shared" si="315"/>
        <v>-66.445960527976069</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1.089844574957096</v>
      </c>
      <c r="N604" s="694">
        <f t="shared" si="302"/>
        <v>-0.40889172192081924</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-46.618920490828216</v>
      </c>
      <c r="X604" s="699">
        <f t="shared" si="308"/>
        <v>-219.67828655708556</v>
      </c>
      <c r="Y604" s="702">
        <f t="shared" si="309"/>
        <v>-39.678286557085556</v>
      </c>
      <c r="AA604" s="174">
        <f t="shared" si="310"/>
        <v>436520</v>
      </c>
      <c r="AB604" s="174">
        <f t="shared" si="311"/>
        <v>190549710400</v>
      </c>
      <c r="AD604" s="701">
        <f t="shared" si="312"/>
        <v>19.959167576517196</v>
      </c>
      <c r="AE604" s="702">
        <f t="shared" si="313"/>
        <v>-65.672917710223075</v>
      </c>
      <c r="AG604" s="701">
        <f t="shared" si="314"/>
        <v>-7.9294588751665884</v>
      </c>
      <c r="AH604" s="702">
        <f t="shared" si="315"/>
        <v>-46.036968914545859</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1.1071288147284246</v>
      </c>
      <c r="N605" s="694">
        <f t="shared" si="302"/>
        <v>-0.4435421182814227</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-47.278582402092049</v>
      </c>
      <c r="X605" s="699">
        <f t="shared" si="308"/>
        <v>-240.85491881973269</v>
      </c>
      <c r="Y605" s="702">
        <f t="shared" si="309"/>
        <v>-60.854918819732688</v>
      </c>
      <c r="AA605" s="174">
        <f t="shared" si="310"/>
        <v>478630</v>
      </c>
      <c r="AB605" s="174">
        <f t="shared" si="311"/>
        <v>229086676900</v>
      </c>
      <c r="AD605" s="701">
        <f t="shared" si="312"/>
        <v>19.286745881814337</v>
      </c>
      <c r="AE605" s="702">
        <f t="shared" si="313"/>
        <v>-67.588373437493217</v>
      </c>
      <c r="AG605" s="701">
        <f t="shared" si="314"/>
        <v>-9.1766042997298296</v>
      </c>
      <c r="AH605" s="702">
        <f t="shared" si="315"/>
        <v>-28.3129532474359</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1.1275615046195293</v>
      </c>
      <c r="N606" s="694">
        <f t="shared" si="302"/>
        <v>-0.4802713599473114</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-48.943433852008404</v>
      </c>
      <c r="X606" s="699">
        <f t="shared" si="308"/>
        <v>-260.88752704903749</v>
      </c>
      <c r="Y606" s="702">
        <f t="shared" si="309"/>
        <v>-80.887527049037487</v>
      </c>
      <c r="AA606" s="174">
        <f t="shared" si="310"/>
        <v>524810</v>
      </c>
      <c r="AB606" s="174">
        <f t="shared" si="311"/>
        <v>275425536100</v>
      </c>
      <c r="AD606" s="701">
        <f t="shared" si="312"/>
        <v>18.595693084520853</v>
      </c>
      <c r="AE606" s="702">
        <f t="shared" si="313"/>
        <v>-69.384144047341096</v>
      </c>
      <c r="AG606" s="701">
        <f t="shared" si="314"/>
        <v>-9.3757423796980373</v>
      </c>
      <c r="AH606" s="702">
        <f t="shared" si="315"/>
        <v>-11.642975139781088</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1.1516446522950374</v>
      </c>
      <c r="N607" s="694">
        <f t="shared" si="302"/>
        <v>-0.51898432654987048</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-51.49708098103104</v>
      </c>
      <c r="X607" s="699">
        <f t="shared" si="308"/>
        <v>-282.58190111545275</v>
      </c>
      <c r="Y607" s="702">
        <f t="shared" si="309"/>
        <v>-102.58190111545275</v>
      </c>
      <c r="AA607" s="174">
        <f t="shared" si="310"/>
        <v>575440</v>
      </c>
      <c r="AB607" s="174">
        <f t="shared" si="311"/>
        <v>331131193600</v>
      </c>
      <c r="AD607" s="701">
        <f t="shared" si="312"/>
        <v>17.888510358934901</v>
      </c>
      <c r="AE607" s="702">
        <f t="shared" si="313"/>
        <v>-71.060482689137473</v>
      </c>
      <c r="AG607" s="701">
        <f t="shared" si="314"/>
        <v>-8.632273637137585</v>
      </c>
      <c r="AH607" s="702">
        <f t="shared" si="315"/>
        <v>6.7995554070008213</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1.1799510814987577</v>
      </c>
      <c r="N608" s="694">
        <f t="shared" si="302"/>
        <v>-0.5595524452039945</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-56.051117367295205</v>
      </c>
      <c r="X608" s="699">
        <f t="shared" si="308"/>
        <v>-310.79388519479198</v>
      </c>
      <c r="Y608" s="702">
        <f t="shared" si="309"/>
        <v>-130.79388519479198</v>
      </c>
      <c r="AA608" s="174">
        <f t="shared" si="310"/>
        <v>630960</v>
      </c>
      <c r="AB608" s="174">
        <f t="shared" si="311"/>
        <v>398110521600</v>
      </c>
      <c r="AD608" s="701">
        <f t="shared" si="312"/>
        <v>17.167189523716445</v>
      </c>
      <c r="AE608" s="702">
        <f t="shared" si="313"/>
        <v>-72.62015908377316</v>
      </c>
      <c r="AG608" s="701">
        <f t="shared" si="314"/>
        <v>-5.8242768689332793</v>
      </c>
      <c r="AH608" s="702">
        <f t="shared" si="315"/>
        <v>31.892657704219758</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1.2131053024173257</v>
      </c>
      <c r="N609" s="694">
        <f t="shared" si="302"/>
        <v>-0.60177734583136255</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-74.839326155816252</v>
      </c>
      <c r="X609" s="699">
        <f t="shared" si="308"/>
        <v>-352.09128823609331</v>
      </c>
      <c r="Y609" s="702">
        <f t="shared" si="309"/>
        <v>-172.09128823609331</v>
      </c>
      <c r="AA609" s="174">
        <f t="shared" si="310"/>
        <v>691830</v>
      </c>
      <c r="AB609" s="174">
        <f t="shared" si="311"/>
        <v>478628748900</v>
      </c>
      <c r="AD609" s="701">
        <f t="shared" si="312"/>
        <v>16.433808127488739</v>
      </c>
      <c r="AE609" s="702">
        <f t="shared" si="313"/>
        <v>-74.066596163650985</v>
      </c>
      <c r="AG609" s="701">
        <f t="shared" si="314"/>
        <v>11.293071259988745</v>
      </c>
      <c r="AH609" s="702">
        <f t="shared" si="315"/>
        <v>70.230669245497708</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1.2518077125609417</v>
      </c>
      <c r="N610" s="694">
        <f t="shared" si="302"/>
        <v>-0.64542408696396925</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-61.008107884135221</v>
      </c>
      <c r="X610" s="699">
        <f t="shared" si="308"/>
        <v>-219.11004960143904</v>
      </c>
      <c r="Y610" s="702">
        <f t="shared" si="309"/>
        <v>-39.110049601439044</v>
      </c>
      <c r="AA610" s="174">
        <f t="shared" si="310"/>
        <v>758580</v>
      </c>
      <c r="AB610" s="174">
        <f t="shared" si="311"/>
        <v>575443616400</v>
      </c>
      <c r="AD610" s="701">
        <f t="shared" si="312"/>
        <v>15.689933061058882</v>
      </c>
      <c r="AE610" s="702">
        <f t="shared" si="313"/>
        <v>-75.404801654260027</v>
      </c>
      <c r="AG610" s="701">
        <f t="shared" si="314"/>
        <v>-4.1237336755837788</v>
      </c>
      <c r="AH610" s="702">
        <f t="shared" si="315"/>
        <v>-65.522458705987802</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1.2968039576473649</v>
      </c>
      <c r="N611" s="694">
        <f t="shared" si="302"/>
        <v>-0.69018761203257051</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-59.279328076118709</v>
      </c>
      <c r="X611" s="699">
        <f t="shared" si="308"/>
        <v>-255.63266610355294</v>
      </c>
      <c r="Y611" s="702">
        <f t="shared" si="309"/>
        <v>-75.632666103552936</v>
      </c>
      <c r="AA611" s="174">
        <f t="shared" si="310"/>
        <v>831760</v>
      </c>
      <c r="AB611" s="174">
        <f t="shared" si="311"/>
        <v>691824697600</v>
      </c>
      <c r="AD611" s="701">
        <f t="shared" si="312"/>
        <v>14.937269713483872</v>
      </c>
      <c r="AE611" s="702">
        <f t="shared" si="313"/>
        <v>-76.639805737207752</v>
      </c>
      <c r="AG611" s="701">
        <f t="shared" si="314"/>
        <v>-7.342478953886749</v>
      </c>
      <c r="AH611" s="702">
        <f t="shared" si="315"/>
        <v>-31.553033252478969</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1.348921863905659</v>
      </c>
      <c r="N612" s="694">
        <f t="shared" si="302"/>
        <v>-0.73574228330251201</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-61.05284005458423</v>
      </c>
      <c r="X612" s="699">
        <f t="shared" si="308"/>
        <v>-287.47671827164993</v>
      </c>
      <c r="Y612" s="702">
        <f t="shared" si="309"/>
        <v>-107.47671827164993</v>
      </c>
      <c r="AA612" s="174">
        <f t="shared" si="310"/>
        <v>912010</v>
      </c>
      <c r="AB612" s="174">
        <f t="shared" si="311"/>
        <v>831762240100</v>
      </c>
      <c r="AD612" s="701">
        <f t="shared" si="312"/>
        <v>14.176956283645154</v>
      </c>
      <c r="AE612" s="702">
        <f t="shared" si="313"/>
        <v>-77.777689946560542</v>
      </c>
      <c r="AG612" s="701">
        <f t="shared" si="314"/>
        <v>-6.9544924908658547</v>
      </c>
      <c r="AH612" s="702">
        <f t="shared" si="315"/>
        <v>-2.0131313747640922</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1.4090301473177749</v>
      </c>
      <c r="N613" s="694">
        <f t="shared" si="302"/>
        <v>-0.78171265231523201</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-67.667978105858197</v>
      </c>
      <c r="X613" s="699">
        <f t="shared" si="308"/>
        <v>-331.18157290023635</v>
      </c>
      <c r="Y613" s="702">
        <f t="shared" si="309"/>
        <v>-151.18157290023635</v>
      </c>
      <c r="AA613" s="174">
        <f t="shared" si="310"/>
        <v>1000000</v>
      </c>
      <c r="AB613" s="174">
        <f t="shared" si="311"/>
        <v>1000000000000</v>
      </c>
      <c r="AD613" s="701">
        <f t="shared" si="312"/>
        <v>13.410262120479651</v>
      </c>
      <c r="AE613" s="702">
        <f t="shared" si="313"/>
        <v>-78.82423353298563</v>
      </c>
      <c r="AG613" s="701">
        <f t="shared" si="314"/>
        <v>-1.6120349291877922</v>
      </c>
      <c r="AH613" s="702">
        <f t="shared" si="315"/>
        <v>39.666609710189348</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
      <c r="G616" s="174" t="s">
        <v>739</v>
      </c>
      <c r="M616" s="693"/>
      <c r="N616" s="694"/>
      <c r="W616" s="698"/>
      <c r="X616" s="699"/>
      <c r="Y616" s="712"/>
      <c r="AG616" s="701"/>
      <c r="AH616" s="702"/>
    </row>
    <row r="617" spans="7:44" x14ac:dyDescent="0.2">
      <c r="G617" s="713">
        <f>W4*1000</f>
        <v>28184</v>
      </c>
      <c r="H617" s="713"/>
      <c r="I617" s="714">
        <f t="shared" ref="I617:I626" si="329">SQRT(1+(G617/pole1)^2)</f>
        <v>27.515588528168493</v>
      </c>
      <c r="J617" s="704">
        <f t="shared" ref="J617:J626" si="330">ATAN(G617/pole1)</f>
        <v>1.534445286512615</v>
      </c>
      <c r="K617" s="704">
        <f t="shared" ref="K617:K626" si="331">SQRT(1+(G617/Zero1)^2)</f>
        <v>1.00011595960393</v>
      </c>
      <c r="L617" s="705">
        <f t="shared" ref="L617:L626" si="332">ATAN(G617/Zero1)</f>
        <v>1.5228158097016173E-2</v>
      </c>
      <c r="M617" s="693">
        <v>1</v>
      </c>
      <c r="N617" s="694">
        <v>0</v>
      </c>
      <c r="O617" s="714">
        <f t="shared" ref="O617:O626" si="333">SQRT(1+(G617/Pole2)^2)</f>
        <v>51000.564824421417</v>
      </c>
      <c r="P617" s="715">
        <f t="shared" ref="P617:P626" si="334">ATAN(G617/Pole2)</f>
        <v>1.5707767191689124</v>
      </c>
      <c r="Q617" s="704">
        <f t="shared" ref="Q617:Q626" si="335">SQRT(1+(G617/Zero2)^2)</f>
        <v>21.273751478780248</v>
      </c>
      <c r="R617" s="705">
        <f t="shared" ref="R617:R626" si="336">ATAN(G617/Zero2)</f>
        <v>1.5237727149617037</v>
      </c>
      <c r="S617" s="714">
        <f t="shared" ref="S617:S626" si="337">SQRT(1+(G617/pole4)^2)</f>
        <v>1.0099850934429324</v>
      </c>
      <c r="T617" s="715">
        <f t="shared" ref="T617:T626" si="338">ATAN(G617/pole4)</f>
        <v>0.14073173205134462</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27.527532300585804</v>
      </c>
      <c r="AE617" s="702">
        <f>(R617-(P617+T617))*radconv</f>
        <v>-10.756465363687292</v>
      </c>
      <c r="AG617" s="701" t="e">
        <f>20*LOG10((K617*M617/(I617*U617))*Acs*Am)</f>
        <v>#DIV/0!</v>
      </c>
      <c r="AH617" s="702" t="e">
        <f>(L617+N617-(J617+V617))*radconv</f>
        <v>#DIV/0!</v>
      </c>
    </row>
    <row r="618" spans="7:44" x14ac:dyDescent="0.2">
      <c r="G618" s="713">
        <f>G617</f>
        <v>28184</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
      <c r="G619" s="174">
        <f>G618</f>
        <v>28184</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5" thickBot="1" x14ac:dyDescent="0.25">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
      <c r="G628" s="201">
        <f>z_RHP</f>
        <v>1007398.3222602601</v>
      </c>
      <c r="I628" s="714">
        <f>SQRT(1+(G628/pole1)^2)</f>
        <v>982.85765157794106</v>
      </c>
      <c r="J628" s="704">
        <f>ATAN(G628/pole1)</f>
        <v>1.5697788852855126</v>
      </c>
      <c r="K628" s="704">
        <f>SQRT(1+(G628/Zero1)^2)</f>
        <v>1.1385599312566539</v>
      </c>
      <c r="L628" s="705">
        <f>ATAN(G628/Zero1)</f>
        <v>0.49849632410848455</v>
      </c>
      <c r="M628" s="693">
        <v>1</v>
      </c>
      <c r="N628" s="694">
        <v>0</v>
      </c>
      <c r="O628" s="714">
        <f>SQRT(1+(G628/Pole2)^2)</f>
        <v>1822945.0549453292</v>
      </c>
      <c r="P628" s="715">
        <f>ATAN(G628/Pole2)</f>
        <v>1.5707957782320108</v>
      </c>
      <c r="Q628" s="704">
        <f>SQRT(1+(G628/Zero2)^2)</f>
        <v>759.56109783561737</v>
      </c>
      <c r="R628" s="705">
        <f>ATAN(G628/Zero2)</f>
        <v>1.569479776629632</v>
      </c>
      <c r="S628" s="692">
        <f>SQRT(1+(G628/pole4)^2)</f>
        <v>5.1615331974789909</v>
      </c>
      <c r="T628" s="695">
        <f>ATAN(G628/pole4)</f>
        <v>1.3758224741106284</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
      <c r="G629" s="201">
        <v>195034.73926858415</v>
      </c>
      <c r="W629" s="698">
        <v>-25</v>
      </c>
    </row>
    <row r="631" spans="7:34" x14ac:dyDescent="0.2">
      <c r="J631" s="174" t="s">
        <v>743</v>
      </c>
      <c r="K631" s="174" t="s">
        <v>744</v>
      </c>
    </row>
    <row r="632" spans="7:34" x14ac:dyDescent="0.2">
      <c r="G632" s="174" t="s">
        <v>728</v>
      </c>
      <c r="H632" s="174" t="s">
        <v>745</v>
      </c>
      <c r="I632" s="176">
        <f>pole1</f>
        <v>1024.9692232299162</v>
      </c>
      <c r="J632" s="176" t="e">
        <f>W622</f>
        <v>#DIV/0!</v>
      </c>
      <c r="K632" s="176" t="e">
        <f>AG622</f>
        <v>#DIV/0!</v>
      </c>
    </row>
    <row r="633" spans="7:34" x14ac:dyDescent="0.2">
      <c r="G633" s="174" t="s">
        <v>729</v>
      </c>
      <c r="H633" s="174" t="s">
        <v>746</v>
      </c>
      <c r="I633" s="176">
        <f>Zero1</f>
        <v>1850638.8752762375</v>
      </c>
      <c r="J633" s="176" t="e">
        <f>W623</f>
        <v>#DIV/0!</v>
      </c>
      <c r="K633" s="176" t="e">
        <f>AG623</f>
        <v>#DIV/0!</v>
      </c>
    </row>
    <row r="634" spans="7:34" x14ac:dyDescent="0.2">
      <c r="G634" s="174" t="s">
        <v>730</v>
      </c>
      <c r="H634" s="174" t="s">
        <v>747</v>
      </c>
      <c r="I634" s="176">
        <f>Pole2</f>
        <v>0.5526213308116541</v>
      </c>
      <c r="J634" s="176" t="e">
        <f>W624</f>
        <v>#DIV/0!</v>
      </c>
      <c r="K634" s="176" t="e">
        <f>AG624</f>
        <v>#DIV/0!</v>
      </c>
    </row>
    <row r="635" spans="7:34" x14ac:dyDescent="0.2">
      <c r="G635" s="174" t="s">
        <v>741</v>
      </c>
      <c r="H635" s="174" t="s">
        <v>748</v>
      </c>
      <c r="I635" s="176">
        <f>Zero2</f>
        <v>1326.2911939479698</v>
      </c>
      <c r="J635" s="176" t="e">
        <f>W625</f>
        <v>#DIV/0!</v>
      </c>
      <c r="K635" s="176" t="e">
        <f>AG625</f>
        <v>#DIV/0!</v>
      </c>
    </row>
    <row r="636" spans="7:34" x14ac:dyDescent="0.2">
      <c r="G636" s="174" t="s">
        <v>706</v>
      </c>
      <c r="H636" s="174" t="s">
        <v>749</v>
      </c>
      <c r="I636" s="174">
        <f>pole3</f>
        <v>0</v>
      </c>
      <c r="J636" s="176" t="e">
        <f>W626</f>
        <v>#DIV/0!</v>
      </c>
      <c r="K636" s="176" t="e">
        <f>AG626</f>
        <v>#DIV/0!</v>
      </c>
    </row>
    <row r="637" spans="7:34" x14ac:dyDescent="0.2">
      <c r="I637" s="201"/>
      <c r="J637" s="176"/>
      <c r="K637" s="176"/>
    </row>
    <row r="639" spans="7:34" x14ac:dyDescent="0.2">
      <c r="G639" s="176">
        <f>W4*1000</f>
        <v>28184</v>
      </c>
    </row>
    <row r="640" spans="7:34" x14ac:dyDescent="0.2">
      <c r="G640" s="176">
        <f>W4*1000</f>
        <v>28184</v>
      </c>
    </row>
    <row r="687" spans="36:37" x14ac:dyDescent="0.2">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123825</xdr:rowOff>
                  </from>
                  <to>
                    <xdr:col>1</xdr:col>
                    <xdr:colOff>390525</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8.5703125" customWidth="1"/>
    <col min="7"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10.85546875" customWidth="1"/>
    <col min="55" max="55" width="9.85546875" customWidth="1"/>
    <col min="56" max="56" width="11.7109375" customWidth="1"/>
    <col min="57" max="57" width="2" customWidth="1"/>
    <col min="60" max="60" width="2.140625" customWidth="1"/>
    <col min="61" max="61" width="9" customWidth="1"/>
    <col min="62" max="63" width="8.140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85546875" customWidth="1"/>
    <col min="76" max="76" width="11.5703125" customWidth="1"/>
    <col min="77" max="77" width="12.140625" customWidth="1"/>
    <col min="78" max="78" width="9.140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453" t="s">
        <v>526</v>
      </c>
      <c r="M1">
        <f>Vfwd2</f>
        <v>0.4</v>
      </c>
      <c r="BC1">
        <f>Ltc</f>
        <v>4.0000000000000001E-3</v>
      </c>
      <c r="BV1">
        <f>Ta</f>
        <v>55</v>
      </c>
    </row>
    <row r="2" spans="2:86" ht="13.5" thickBot="1" x14ac:dyDescent="0.25">
      <c r="M2">
        <f>Vfwd1</f>
        <v>0.32</v>
      </c>
      <c r="U2">
        <f>Isw_max</f>
        <v>4.0999999999999996</v>
      </c>
    </row>
    <row r="3" spans="2:86" x14ac:dyDescent="0.2">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25">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
      <c r="E5" s="174">
        <v>0.1</v>
      </c>
      <c r="F5" s="221">
        <v>1.0000000000000001E-9</v>
      </c>
      <c r="G5" s="221"/>
      <c r="H5" s="221">
        <f t="shared" ref="H5:H36" si="0">F5*Vout</f>
        <v>5.0000000000000001E-9</v>
      </c>
      <c r="I5" s="551">
        <f t="shared" ref="I5:I36" si="1">Vin</f>
        <v>24</v>
      </c>
      <c r="J5" s="176">
        <f t="shared" ref="J5:J36" si="2">(T5+Vfwd1)*Nps</f>
        <v>10.64</v>
      </c>
      <c r="K5" s="451">
        <f t="shared" ref="K5:K36" si="3">(Vout+Vfwd1)*Nps+I5</f>
        <v>34.64</v>
      </c>
      <c r="L5" s="451"/>
      <c r="M5" s="220">
        <f t="shared" ref="M5:M36" si="4">(Vout+Vfwd1)*Nps/((Vout+Vfwd1)*Nps+I5)</f>
        <v>0.30715935334872979</v>
      </c>
      <c r="N5" s="176">
        <f t="shared" ref="N5:N36" si="5">M5*I5*Isw_max*0.5*Efficiency</f>
        <v>13.601016166281754</v>
      </c>
      <c r="O5" s="176">
        <f>T5*F5</f>
        <v>5.0000000000000001E-9</v>
      </c>
      <c r="P5" s="221">
        <f t="shared" ref="P5:P36" si="6">N5/Vout</f>
        <v>2.7202032332563508</v>
      </c>
      <c r="Q5" s="221">
        <f t="shared" ref="Q5:Q36" si="7">MIN(Vout,N5/F5)</f>
        <v>5</v>
      </c>
      <c r="R5" s="221">
        <f t="shared" ref="R5:R36" si="8">Isw_max/2*I5*Nps*(Q5+Vfwd1)/Q5/(I5+Nps*(Q5+Vfwd1))</f>
        <v>3.0224480369515008</v>
      </c>
      <c r="S5" s="176">
        <f t="shared" ref="S5:S36" si="9">(SQRT(Isw_max^2*Nps^2*I5^2+4*Isw_max*F5/Efficiency*(Nps^2*Vfwd1*I5-Nps*I5^2)+4*(F5/Efficiency)^2*Nps^2*Vfwd1^2+8*(F5/Efficiency)^2*Nps*Vfwd1*I5+4*(F5/Efficiency)^2*I5^2)-2*F5/Efficiency*I5-2*F5/Efficiency*Nps*Vfwd1+Isw_max*Nps*I5)/(4*F5/Efficiency*Nps)</f>
        <v>44279999988</v>
      </c>
      <c r="T5" s="176">
        <f t="shared" ref="T5:T36" si="10">MIN(Vout, S5)</f>
        <v>5</v>
      </c>
      <c r="U5" s="221">
        <f t="shared" ref="U5:U36" si="11">MIN(2*Vout*F5/(Efficiency*I5*M5), Isw_max)</f>
        <v>1.5072403230297968E-9</v>
      </c>
      <c r="V5" s="221">
        <f t="shared" ref="V5:V36" si="12">L*U5/I5*1000000</f>
        <v>4.3961176088369073E-10</v>
      </c>
      <c r="W5" s="221">
        <f t="shared" ref="W5:W36" si="13">L*U5/J5*1000000</f>
        <v>9.9160547567749779E-10</v>
      </c>
      <c r="X5" s="201">
        <f t="shared" ref="X5:X36" si="14">IF(1/((350000*L)*(1/I5+1/J5))&gt;Isw_min, 350, 0.001/((Isw_min*L)*(1/I5+1/J5)))</f>
        <v>350</v>
      </c>
      <c r="Y5" s="451">
        <f>MIN(1/(V5+W5)*1000, 350)</f>
        <v>350</v>
      </c>
      <c r="AA5" s="221">
        <f t="shared" ref="AA5:AA36" si="15">1/((X5*1000*L)*(1/I5+1/J5))</f>
        <v>3.0089079511712309</v>
      </c>
      <c r="AB5" s="177">
        <f t="shared" ref="AB5:AB36" si="16">L*AA5/J5*1000000</f>
        <v>1.9795447047179149</v>
      </c>
      <c r="AC5" s="177">
        <f t="shared" ref="AC5:AC36" si="17">0.5*AB5*AA5*Nps*X5/1000</f>
        <v>2.0846937306036244</v>
      </c>
      <c r="AD5" s="177"/>
      <c r="AE5" s="177">
        <f t="shared" ref="AE5:AE36" si="18">L*Isw_min/J5*1000000</f>
        <v>0.53947368421052622</v>
      </c>
      <c r="AF5" s="555">
        <f t="shared" ref="AF5:AF36" si="19">MAX(12, F5/(0.5*AE5/1000000*Isw_min*Nps)/1000)</f>
        <v>12</v>
      </c>
      <c r="AG5" s="538">
        <f t="shared" ref="AG5:AG36" si="20">0.5*AE5/1000000*Isw_min*Nps*X5*1000</f>
        <v>0.15482894736842101</v>
      </c>
      <c r="AI5" s="177">
        <f t="shared" ref="AI5:AI36" si="21">SQRT(F5/Efficiency/(0.5*L/J5*Fsw_DCM*Nps))</f>
        <v>6.9465076300230362E-5</v>
      </c>
      <c r="AJ5" s="177">
        <f t="shared" ref="AJ5:AJ36" si="22">MAX(IF(F5&gt;AC5,U5,AI5),Isw_min)</f>
        <v>0.82</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0.23916666666666661</v>
      </c>
      <c r="AU5" s="5">
        <f>AS5-AT5</f>
        <v>83.094166666666666</v>
      </c>
      <c r="AV5" s="5">
        <f t="shared" ref="AV5:AV36" si="29">L*AJ5/J5*1000000</f>
        <v>0.53947368421052622</v>
      </c>
      <c r="AW5" s="177">
        <f>AT5/AS5</f>
        <v>2.8699999999999993E-3</v>
      </c>
      <c r="AX5" s="177">
        <f t="shared" ref="AX5:AX36" si="30">0.5*L*AJ5^2*AN5*1000</f>
        <v>2.8240799999999996E-2</v>
      </c>
      <c r="AY5" s="177">
        <f t="shared" ref="AY5:AY36" si="31">AJ5*Nps/2*(1-AW5)</f>
        <v>0.81764659999999989</v>
      </c>
      <c r="AZ5" s="177">
        <f>AX5/AY5</f>
        <v>3.4539127295337618E-2</v>
      </c>
      <c r="BA5" s="469">
        <f t="shared" ref="BA5:BA36" si="32">L*Isw_max^2/(2*Vout_ripple*Vout)*1000000000*((1+M5)/2)^2</f>
        <v>100.52933910789432</v>
      </c>
      <c r="BB5" s="469">
        <f t="shared" ref="BB5:BB36" si="33">L*F5^2/(2*Cout*Vout*Nps^2)*1000000000*((1+M5)/(1-M5))^2+F5*RCoutEsr</f>
        <v>3.0000000062291448E-9</v>
      </c>
      <c r="BC5" s="5">
        <f t="shared" ref="BC5:BC36" si="34">H5/Efficiency/I5*AU5/Vinripple1</f>
        <v>1.6028967335390944E-8</v>
      </c>
      <c r="BD5" s="469">
        <f t="shared" ref="BD5:BD36" si="35">((CB5/I5/Efficiency)*AU5/Cin+(CB5/I5/Efficiency)*RCinEsr)*1000</f>
        <v>1.924170524691358E-6</v>
      </c>
      <c r="BE5" s="5"/>
      <c r="BF5" s="177">
        <f>AJ5*SQRT(AW5/3)</f>
        <v>2.5362623418460999E-2</v>
      </c>
      <c r="BG5" s="177">
        <f t="shared" ref="BG5:BG36" si="36">AJ5*Nps*SQRT((1-AW5)/3)</f>
        <v>0.9454947290528205</v>
      </c>
      <c r="BH5" s="177"/>
      <c r="BI5" s="538">
        <f t="shared" ref="BI5:BI36" si="37">Rdson*BF5^2</f>
        <v>7.0758893333333294E-5</v>
      </c>
      <c r="BJ5" s="538">
        <f t="shared" ref="BJ5:BJ36" si="38">0.5*K5*AJ5*AN5*1000*Trise</f>
        <v>1.704288E-3</v>
      </c>
      <c r="BK5" s="538">
        <f t="shared" ref="BK5:BK36" si="39">Qg*Vdd*AN5*1000</f>
        <v>5.9999999999999995E-4</v>
      </c>
      <c r="BL5" s="538">
        <f t="shared" ref="BL5:BL36" si="40">0.5*(Coss+Csw)*K5^2*AN5*1000</f>
        <v>3.23980992E-3</v>
      </c>
      <c r="BM5">
        <f t="shared" ref="BM5:BM36" si="41">I5*IQ</f>
        <v>6.96E-3</v>
      </c>
      <c r="BN5">
        <f t="shared" ref="BN5:BN36" si="42">(I5-Vdd)*Qg*AN5</f>
        <v>2.2800000000000002E-6</v>
      </c>
      <c r="BO5" s="538">
        <f t="shared" ref="BO5:BO36" si="43">(BJ5+BK5+BL5+BM5+BN5+BI5*(1+RdsonTC*(Ta-25)))/(1-BI5*RdsonTC*ThetaJA)</f>
        <v>1.2586853585506015E-2</v>
      </c>
      <c r="BP5" s="469">
        <f>BO5*1000</f>
        <v>12.586853585506015</v>
      </c>
      <c r="BQ5" s="538">
        <f t="shared" ref="BQ5:BQ36" si="44">(Vfwd2*F5+BG5^2*Rdiode)*(1+Diode_TC/1000*(Ta-25))</f>
        <v>6.8298565977733344E-2</v>
      </c>
      <c r="BR5" s="538"/>
      <c r="BT5" s="469">
        <f>SUM(BQ5:BS5)*1000</f>
        <v>68.298565977733347</v>
      </c>
      <c r="BU5" s="538">
        <f t="shared" ref="BU5:BU36" si="45">Rdcr_pri*BF5^2</f>
        <v>6.4326266666666634E-5</v>
      </c>
      <c r="BV5" s="538">
        <f t="shared" ref="BV5:BV36" si="46">Rdcr_sec*BG5^2</f>
        <v>2.6818808479999994E-2</v>
      </c>
      <c r="BW5" s="538">
        <f t="shared" ref="BW5:BW36" si="47">AJ5^2.5*AN5^2.5*k_core</f>
        <v>0</v>
      </c>
      <c r="BX5" s="538">
        <f t="shared" ref="BX5:BX36" si="48">(BW5+(BU5+BV5)*(1+Ltc*(Ta-25)))/(1-(BU5+BV5)*Ltc*ThetaCa)</f>
        <v>3.0174004662922655E-2</v>
      </c>
      <c r="BY5" s="538">
        <f t="shared" ref="BY5:BY36" si="49">0.5*Lleak*0.000000001*AJ5^2*AN5*1000</f>
        <v>4.0343999999999997E-4</v>
      </c>
      <c r="BZ5" s="469">
        <f>1000*(BX5+BY5)</f>
        <v>30.577444662922655</v>
      </c>
      <c r="CA5" s="177">
        <f>SUM(BO5,BQ5:BS5,BX5, BY5)</f>
        <v>0.11146286422616201</v>
      </c>
      <c r="CB5" s="5">
        <f>MIN(H5,O5)</f>
        <v>5.0000000000000001E-9</v>
      </c>
      <c r="CC5" s="177">
        <f>CB5/(CB5+CA5)</f>
        <v>4.4857987549690895E-8</v>
      </c>
      <c r="CD5" s="5">
        <f>CC5*100</f>
        <v>4.4857987549690894E-6</v>
      </c>
      <c r="CG5" s="571">
        <f t="shared" ref="CG5:CG36" si="50">IF(ABS(F5-Ioutmax_Vinnom)&lt;Iout/200, AN5, -50)</f>
        <v>-50</v>
      </c>
      <c r="CH5">
        <f t="shared" ref="CH5:CH36" si="51">IF(ABS(F5-Ioutmax_Vinnom)&lt;Iout/200, N5*CC5, -50)</f>
        <v>-50</v>
      </c>
    </row>
    <row r="6" spans="2:86" x14ac:dyDescent="0.2">
      <c r="E6" s="174">
        <v>1</v>
      </c>
      <c r="F6" s="221">
        <f t="shared" ref="F6:F37" si="52">IF(PLOT_TYPE=1, E6/100*Iout_max, min_I*EXP(N6*rr/100))</f>
        <v>0.01</v>
      </c>
      <c r="G6" s="221"/>
      <c r="H6" s="221">
        <f t="shared" si="0"/>
        <v>0.05</v>
      </c>
      <c r="I6" s="551">
        <f t="shared" si="1"/>
        <v>24</v>
      </c>
      <c r="J6" s="176">
        <f t="shared" si="2"/>
        <v>10.64</v>
      </c>
      <c r="K6" s="451">
        <f t="shared" si="3"/>
        <v>34.64</v>
      </c>
      <c r="L6" s="451"/>
      <c r="M6" s="221">
        <f t="shared" si="4"/>
        <v>0.30715935334872979</v>
      </c>
      <c r="N6" s="176">
        <f t="shared" si="5"/>
        <v>13.601016166281754</v>
      </c>
      <c r="O6" s="176">
        <f t="shared" ref="O6:O69" si="53">T6*F6</f>
        <v>0.05</v>
      </c>
      <c r="P6" s="221">
        <f t="shared" si="6"/>
        <v>2.7202032332563508</v>
      </c>
      <c r="Q6" s="221">
        <f t="shared" si="7"/>
        <v>5</v>
      </c>
      <c r="R6" s="221">
        <f t="shared" si="8"/>
        <v>3.0224480369515008</v>
      </c>
      <c r="S6" s="176">
        <f t="shared" si="9"/>
        <v>4416.0008695020379</v>
      </c>
      <c r="T6" s="176">
        <f t="shared" si="10"/>
        <v>5</v>
      </c>
      <c r="U6" s="221">
        <f t="shared" si="11"/>
        <v>1.5072403230297968E-2</v>
      </c>
      <c r="V6" s="221">
        <f t="shared" si="12"/>
        <v>4.3961176088369077E-3</v>
      </c>
      <c r="W6" s="221">
        <f t="shared" si="13"/>
        <v>9.9160547567749783E-3</v>
      </c>
      <c r="X6" s="201">
        <f t="shared" si="14"/>
        <v>350</v>
      </c>
      <c r="Y6" s="451">
        <f t="shared" ref="Y6:Y69" si="54">MIN(1/(V6+W6)*1000, 350)</f>
        <v>350</v>
      </c>
      <c r="AA6" s="221">
        <f t="shared" si="15"/>
        <v>3.0089079511712309</v>
      </c>
      <c r="AB6" s="177">
        <f t="shared" si="16"/>
        <v>1.9795447047179149</v>
      </c>
      <c r="AC6" s="177">
        <f t="shared" si="17"/>
        <v>2.0846937306036244</v>
      </c>
      <c r="AD6" s="177"/>
      <c r="AE6" s="177">
        <f t="shared" si="18"/>
        <v>0.53947368421052622</v>
      </c>
      <c r="AF6" s="555">
        <f t="shared" si="19"/>
        <v>22.605591909577637</v>
      </c>
      <c r="AG6" s="538">
        <f t="shared" si="20"/>
        <v>0.15482894736842101</v>
      </c>
      <c r="AI6" s="177">
        <f t="shared" si="21"/>
        <v>0.21966785894611043</v>
      </c>
      <c r="AJ6" s="177">
        <f t="shared" si="22"/>
        <v>0.82</v>
      </c>
      <c r="AK6" s="177">
        <f t="shared" si="23"/>
        <v>1.0129174810911872</v>
      </c>
      <c r="AM6" s="555">
        <f t="shared" si="24"/>
        <v>10</v>
      </c>
      <c r="AN6" s="469">
        <f t="shared" si="25"/>
        <v>22.605591909577637</v>
      </c>
      <c r="AP6">
        <f t="shared" si="26"/>
        <v>10</v>
      </c>
      <c r="AQ6" s="469">
        <f t="shared" si="27"/>
        <v>22.605591909577637</v>
      </c>
      <c r="AR6" s="469"/>
      <c r="AS6" s="5">
        <f t="shared" ref="AS6:AS69" si="55">1/AN6*1000</f>
        <v>44.23684210526315</v>
      </c>
      <c r="AT6" s="5">
        <f t="shared" si="28"/>
        <v>0.23916666666666661</v>
      </c>
      <c r="AU6" s="5">
        <f t="shared" ref="AU6:AU69" si="56">AS6-AT6</f>
        <v>43.997675438596481</v>
      </c>
      <c r="AV6" s="5">
        <f t="shared" si="29"/>
        <v>0.53947368421052622</v>
      </c>
      <c r="AW6" s="177">
        <f t="shared" ref="AW6:AW69" si="57">AT6/AS6</f>
        <v>5.4065040650406503E-3</v>
      </c>
      <c r="AX6" s="177">
        <f t="shared" si="30"/>
        <v>5.3200000000000004E-2</v>
      </c>
      <c r="AY6" s="177">
        <f t="shared" si="31"/>
        <v>0.81556666666666666</v>
      </c>
      <c r="AZ6" s="177">
        <f t="shared" ref="AZ6:AZ69" si="58">AX6/AY6</f>
        <v>6.5230718927535056E-2</v>
      </c>
      <c r="BA6" s="469">
        <f t="shared" si="32"/>
        <v>100.52933910789432</v>
      </c>
      <c r="BB6" s="469">
        <f t="shared" si="33"/>
        <v>3.0622914444444444E-2</v>
      </c>
      <c r="BC6" s="5">
        <f t="shared" si="34"/>
        <v>8.4872059102230862E-2</v>
      </c>
      <c r="BD6" s="469">
        <f t="shared" si="35"/>
        <v>10.191591536712149</v>
      </c>
      <c r="BE6" s="5"/>
      <c r="BF6" s="177">
        <f t="shared" ref="BF6:BF69" si="59">AJ6*SQRT(AW6/3)</f>
        <v>3.4810598641473796E-2</v>
      </c>
      <c r="BG6" s="177">
        <f t="shared" si="36"/>
        <v>0.94429138629038767</v>
      </c>
      <c r="BH6" s="177"/>
      <c r="BI6" s="538">
        <f t="shared" si="37"/>
        <v>1.3329555555555552E-4</v>
      </c>
      <c r="BJ6" s="538">
        <f t="shared" si="38"/>
        <v>3.2105365853658547E-3</v>
      </c>
      <c r="BK6" s="538">
        <f t="shared" si="39"/>
        <v>1.1302795954788818E-3</v>
      </c>
      <c r="BL6" s="538">
        <f t="shared" si="40"/>
        <v>6.1031517430101137E-3</v>
      </c>
      <c r="BM6">
        <f t="shared" si="41"/>
        <v>6.96E-3</v>
      </c>
      <c r="BN6">
        <f t="shared" si="42"/>
        <v>4.295062462819751E-6</v>
      </c>
      <c r="BO6" s="538">
        <f t="shared" si="43"/>
        <v>1.7559985295118392E-2</v>
      </c>
      <c r="BP6" s="469">
        <f t="shared" ref="BP6:BP69" si="60">BO6*1000</f>
        <v>17.559985295118391</v>
      </c>
      <c r="BQ6" s="538">
        <f t="shared" si="44"/>
        <v>7.1944827377777784E-2</v>
      </c>
      <c r="BR6" s="538"/>
      <c r="BT6" s="469">
        <f t="shared" ref="BT6:BT69" si="61">SUM(BQ6:BS6)*1000</f>
        <v>71.944827377777784</v>
      </c>
      <c r="BU6" s="538">
        <f t="shared" si="45"/>
        <v>1.2117777777777774E-4</v>
      </c>
      <c r="BV6" s="538">
        <f t="shared" si="46"/>
        <v>2.6750586666666663E-2</v>
      </c>
      <c r="BW6" s="538">
        <f t="shared" si="47"/>
        <v>0</v>
      </c>
      <c r="BX6" s="538">
        <f t="shared" si="48"/>
        <v>3.0161214982928137E-2</v>
      </c>
      <c r="BY6" s="538">
        <f t="shared" si="49"/>
        <v>7.6000000000000015E-4</v>
      </c>
      <c r="BZ6" s="469">
        <f t="shared" ref="BZ6:BZ69" si="62">1000*(BX6+BY6)</f>
        <v>30.921214982928138</v>
      </c>
      <c r="CA6" s="177">
        <f t="shared" ref="CA6:CA69" si="63">SUM(BO6,BQ6:BS6,BX6, BY6)</f>
        <v>0.1204260276558243</v>
      </c>
      <c r="CB6" s="5">
        <f t="shared" ref="CB6:CB69" si="64">MIN(H6,O6)</f>
        <v>0.05</v>
      </c>
      <c r="CC6" s="177">
        <f t="shared" ref="CC6:CC69" si="65">CB6/(CB6+CA6)</f>
        <v>0.29338241750828753</v>
      </c>
      <c r="CD6" s="5">
        <f t="shared" ref="CD6:CD69" si="66">CC6*100</f>
        <v>29.338241750828754</v>
      </c>
      <c r="CG6" s="571">
        <f t="shared" si="50"/>
        <v>-50</v>
      </c>
      <c r="CH6">
        <f t="shared" si="51"/>
        <v>-50</v>
      </c>
    </row>
    <row r="7" spans="2:86" x14ac:dyDescent="0.2">
      <c r="E7" s="174">
        <v>2</v>
      </c>
      <c r="F7" s="221">
        <f t="shared" si="52"/>
        <v>0.02</v>
      </c>
      <c r="G7" s="221"/>
      <c r="H7" s="221">
        <f t="shared" si="0"/>
        <v>0.1</v>
      </c>
      <c r="I7" s="551">
        <f t="shared" si="1"/>
        <v>24</v>
      </c>
      <c r="J7" s="176">
        <f t="shared" si="2"/>
        <v>10.64</v>
      </c>
      <c r="K7" s="451">
        <f t="shared" si="3"/>
        <v>34.64</v>
      </c>
      <c r="L7" s="451"/>
      <c r="M7" s="221">
        <f t="shared" si="4"/>
        <v>0.30715935334872979</v>
      </c>
      <c r="N7" s="176">
        <f t="shared" si="5"/>
        <v>13.601016166281754</v>
      </c>
      <c r="O7" s="176">
        <f t="shared" si="53"/>
        <v>0.1</v>
      </c>
      <c r="P7" s="221">
        <f t="shared" si="6"/>
        <v>2.7202032332563508</v>
      </c>
      <c r="Q7" s="221">
        <f t="shared" si="7"/>
        <v>5</v>
      </c>
      <c r="R7" s="221">
        <f t="shared" si="8"/>
        <v>3.0224480369515008</v>
      </c>
      <c r="S7" s="176">
        <f t="shared" si="9"/>
        <v>2202.0017436144426</v>
      </c>
      <c r="T7" s="176">
        <f t="shared" si="10"/>
        <v>5</v>
      </c>
      <c r="U7" s="221">
        <f t="shared" si="11"/>
        <v>3.0144806460595936E-2</v>
      </c>
      <c r="V7" s="221">
        <f t="shared" si="12"/>
        <v>8.7922352176738154E-3</v>
      </c>
      <c r="W7" s="221">
        <f t="shared" si="13"/>
        <v>1.9832109513549957E-2</v>
      </c>
      <c r="X7" s="201">
        <f t="shared" si="14"/>
        <v>350</v>
      </c>
      <c r="Y7" s="451">
        <f t="shared" si="54"/>
        <v>350</v>
      </c>
      <c r="AA7" s="221">
        <f t="shared" si="15"/>
        <v>3.0089079511712309</v>
      </c>
      <c r="AB7" s="177">
        <f t="shared" si="16"/>
        <v>1.9795447047179149</v>
      </c>
      <c r="AC7" s="177">
        <f t="shared" si="17"/>
        <v>2.0846937306036244</v>
      </c>
      <c r="AD7" s="177"/>
      <c r="AE7" s="177">
        <f t="shared" si="18"/>
        <v>0.53947368421052622</v>
      </c>
      <c r="AF7" s="555">
        <f t="shared" si="19"/>
        <v>45.211183819155274</v>
      </c>
      <c r="AG7" s="538">
        <f t="shared" si="20"/>
        <v>0.15482894736842101</v>
      </c>
      <c r="AI7" s="177">
        <f t="shared" si="21"/>
        <v>0.31065726533904936</v>
      </c>
      <c r="AJ7" s="177">
        <f t="shared" si="22"/>
        <v>0.82</v>
      </c>
      <c r="AK7" s="177">
        <f t="shared" si="23"/>
        <v>1.0258349621823744</v>
      </c>
      <c r="AM7" s="555">
        <f t="shared" si="24"/>
        <v>20</v>
      </c>
      <c r="AN7" s="469">
        <f t="shared" si="25"/>
        <v>45.211183819155274</v>
      </c>
      <c r="AP7">
        <f t="shared" si="26"/>
        <v>20</v>
      </c>
      <c r="AQ7" s="469">
        <f t="shared" si="27"/>
        <v>45.211183819155274</v>
      </c>
      <c r="AR7" s="469"/>
      <c r="AS7" s="5">
        <f t="shared" si="55"/>
        <v>22.118421052631575</v>
      </c>
      <c r="AT7" s="5">
        <f t="shared" si="28"/>
        <v>0.23916666666666661</v>
      </c>
      <c r="AU7" s="5">
        <f t="shared" si="56"/>
        <v>21.879254385964909</v>
      </c>
      <c r="AV7" s="5">
        <f t="shared" si="29"/>
        <v>0.53947368421052622</v>
      </c>
      <c r="AW7" s="177">
        <f t="shared" si="57"/>
        <v>1.0813008130081301E-2</v>
      </c>
      <c r="AX7" s="177">
        <f t="shared" si="30"/>
        <v>0.10640000000000001</v>
      </c>
      <c r="AY7" s="177">
        <f t="shared" si="31"/>
        <v>0.81113333333333326</v>
      </c>
      <c r="AZ7" s="177">
        <f t="shared" si="58"/>
        <v>0.13117448837018167</v>
      </c>
      <c r="BA7" s="469">
        <f t="shared" si="32"/>
        <v>100.52933910789432</v>
      </c>
      <c r="BB7" s="469">
        <f t="shared" si="33"/>
        <v>6.2491657777777779E-2</v>
      </c>
      <c r="BC7" s="5">
        <f t="shared" si="34"/>
        <v>8.4410703649555982E-2</v>
      </c>
      <c r="BD7" s="469">
        <f t="shared" si="35"/>
        <v>10.143173326835607</v>
      </c>
      <c r="BE7" s="5"/>
      <c r="BF7" s="177">
        <f t="shared" si="59"/>
        <v>4.9229620713098686E-2</v>
      </c>
      <c r="BG7" s="177">
        <f t="shared" si="36"/>
        <v>0.94172135534409063</v>
      </c>
      <c r="BH7" s="177"/>
      <c r="BI7" s="538">
        <f t="shared" si="37"/>
        <v>2.6659111111111108E-4</v>
      </c>
      <c r="BJ7" s="538">
        <f t="shared" si="38"/>
        <v>6.4210731707317094E-3</v>
      </c>
      <c r="BK7" s="538">
        <f t="shared" si="39"/>
        <v>2.2605591909577636E-3</v>
      </c>
      <c r="BL7" s="538">
        <f t="shared" si="40"/>
        <v>1.2206303486020227E-2</v>
      </c>
      <c r="BM7">
        <f t="shared" si="41"/>
        <v>6.96E-3</v>
      </c>
      <c r="BN7">
        <f t="shared" si="42"/>
        <v>8.5901249256395021E-6</v>
      </c>
      <c r="BO7" s="538">
        <f t="shared" si="43"/>
        <v>2.8160491987394974E-2</v>
      </c>
      <c r="BP7" s="469">
        <f t="shared" si="60"/>
        <v>28.160491987394973</v>
      </c>
      <c r="BQ7" s="538">
        <f t="shared" si="44"/>
        <v>7.5394508088888881E-2</v>
      </c>
      <c r="BR7" s="538"/>
      <c r="BT7" s="469">
        <f t="shared" si="61"/>
        <v>75.394508088888884</v>
      </c>
      <c r="BU7" s="538">
        <f t="shared" si="45"/>
        <v>2.4235555555555553E-4</v>
      </c>
      <c r="BV7" s="538">
        <f t="shared" si="46"/>
        <v>2.6605173333333329E-2</v>
      </c>
      <c r="BW7" s="538">
        <f t="shared" si="47"/>
        <v>0</v>
      </c>
      <c r="BX7" s="538">
        <f t="shared" si="48"/>
        <v>3.0133954131882929E-2</v>
      </c>
      <c r="BY7" s="538">
        <f t="shared" si="49"/>
        <v>1.5200000000000003E-3</v>
      </c>
      <c r="BZ7" s="469">
        <f t="shared" si="62"/>
        <v>31.653954131882927</v>
      </c>
      <c r="CA7" s="177">
        <f t="shared" si="63"/>
        <v>0.13520895420816678</v>
      </c>
      <c r="CB7" s="5">
        <f t="shared" si="64"/>
        <v>0.1</v>
      </c>
      <c r="CC7" s="177">
        <f t="shared" si="65"/>
        <v>0.42515388215831734</v>
      </c>
      <c r="CD7" s="5">
        <f t="shared" si="66"/>
        <v>42.515388215831734</v>
      </c>
      <c r="CG7" s="571">
        <f t="shared" si="50"/>
        <v>-50</v>
      </c>
      <c r="CH7">
        <f t="shared" si="51"/>
        <v>-50</v>
      </c>
    </row>
    <row r="8" spans="2:86" x14ac:dyDescent="0.2">
      <c r="E8" s="174">
        <v>3</v>
      </c>
      <c r="F8" s="221">
        <f t="shared" si="52"/>
        <v>0.03</v>
      </c>
      <c r="G8" s="221"/>
      <c r="H8" s="221">
        <f t="shared" si="0"/>
        <v>0.15</v>
      </c>
      <c r="I8" s="551">
        <f t="shared" si="1"/>
        <v>24</v>
      </c>
      <c r="J8" s="176">
        <f t="shared" si="2"/>
        <v>10.64</v>
      </c>
      <c r="K8" s="451">
        <f t="shared" si="3"/>
        <v>34.64</v>
      </c>
      <c r="L8" s="451"/>
      <c r="M8" s="221">
        <f t="shared" si="4"/>
        <v>0.30715935334872979</v>
      </c>
      <c r="N8" s="176">
        <f t="shared" si="5"/>
        <v>13.601016166281754</v>
      </c>
      <c r="O8" s="176">
        <f t="shared" si="53"/>
        <v>0.15</v>
      </c>
      <c r="P8" s="221">
        <f t="shared" si="6"/>
        <v>2.7202032332563508</v>
      </c>
      <c r="Q8" s="221">
        <f t="shared" si="7"/>
        <v>5</v>
      </c>
      <c r="R8" s="221">
        <f t="shared" si="8"/>
        <v>3.0224480369515008</v>
      </c>
      <c r="S8" s="176">
        <f t="shared" si="9"/>
        <v>1464.002622372926</v>
      </c>
      <c r="T8" s="176">
        <f t="shared" si="10"/>
        <v>5</v>
      </c>
      <c r="U8" s="221">
        <f t="shared" si="11"/>
        <v>4.5217209690893899E-2</v>
      </c>
      <c r="V8" s="221">
        <f t="shared" si="12"/>
        <v>1.318835282651072E-2</v>
      </c>
      <c r="W8" s="221">
        <f t="shared" si="13"/>
        <v>2.9748164270324933E-2</v>
      </c>
      <c r="X8" s="201">
        <f t="shared" si="14"/>
        <v>350</v>
      </c>
      <c r="Y8" s="451">
        <f t="shared" si="54"/>
        <v>350</v>
      </c>
      <c r="AA8" s="221">
        <f t="shared" si="15"/>
        <v>3.0089079511712309</v>
      </c>
      <c r="AB8" s="177">
        <f t="shared" si="16"/>
        <v>1.9795447047179149</v>
      </c>
      <c r="AC8" s="177">
        <f t="shared" si="17"/>
        <v>2.0846937306036244</v>
      </c>
      <c r="AD8" s="177"/>
      <c r="AE8" s="177">
        <f t="shared" si="18"/>
        <v>0.53947368421052622</v>
      </c>
      <c r="AF8" s="555">
        <f t="shared" si="19"/>
        <v>67.816775728732907</v>
      </c>
      <c r="AG8" s="538">
        <f t="shared" si="20"/>
        <v>0.15482894736842101</v>
      </c>
      <c r="AI8" s="177">
        <f t="shared" si="21"/>
        <v>0.38047589248453678</v>
      </c>
      <c r="AJ8" s="177">
        <f t="shared" si="22"/>
        <v>0.82</v>
      </c>
      <c r="AK8" s="177">
        <f t="shared" si="23"/>
        <v>1.0387524432735618</v>
      </c>
      <c r="AM8" s="555">
        <f t="shared" si="24"/>
        <v>30</v>
      </c>
      <c r="AN8" s="469">
        <f t="shared" si="25"/>
        <v>67.816775728732907</v>
      </c>
      <c r="AP8">
        <f t="shared" si="26"/>
        <v>30</v>
      </c>
      <c r="AQ8" s="469">
        <f t="shared" si="27"/>
        <v>67.816775728732907</v>
      </c>
      <c r="AR8" s="469"/>
      <c r="AS8" s="5">
        <f t="shared" si="55"/>
        <v>14.745614035087716</v>
      </c>
      <c r="AT8" s="5">
        <f t="shared" si="28"/>
        <v>0.23916666666666661</v>
      </c>
      <c r="AU8" s="5">
        <f t="shared" si="56"/>
        <v>14.50644736842105</v>
      </c>
      <c r="AV8" s="5">
        <f t="shared" si="29"/>
        <v>0.53947368421052622</v>
      </c>
      <c r="AW8" s="177">
        <f t="shared" si="57"/>
        <v>1.6219512195121952E-2</v>
      </c>
      <c r="AX8" s="177">
        <f t="shared" si="30"/>
        <v>0.15959999999999999</v>
      </c>
      <c r="AY8" s="177">
        <f t="shared" si="31"/>
        <v>0.80669999999999997</v>
      </c>
      <c r="AZ8" s="177">
        <f t="shared" si="58"/>
        <v>0.19784306433618445</v>
      </c>
      <c r="BA8" s="469">
        <f t="shared" si="32"/>
        <v>100.52933910789432</v>
      </c>
      <c r="BB8" s="469">
        <f t="shared" si="33"/>
        <v>9.560623E-2</v>
      </c>
      <c r="BC8" s="5">
        <f t="shared" si="34"/>
        <v>8.3949348196881046E-2</v>
      </c>
      <c r="BD8" s="469">
        <f t="shared" si="35"/>
        <v>10.09475511695906</v>
      </c>
      <c r="BE8" s="5"/>
      <c r="BF8" s="177">
        <f t="shared" si="59"/>
        <v>6.0293725488920757E-2</v>
      </c>
      <c r="BG8" s="177">
        <f t="shared" si="36"/>
        <v>0.93914429136315358</v>
      </c>
      <c r="BH8" s="177"/>
      <c r="BI8" s="538">
        <f t="shared" si="37"/>
        <v>3.9988666666666655E-4</v>
      </c>
      <c r="BJ8" s="538">
        <f t="shared" si="38"/>
        <v>9.6316097560975623E-3</v>
      </c>
      <c r="BK8" s="538">
        <f t="shared" si="39"/>
        <v>3.3908387864366452E-3</v>
      </c>
      <c r="BL8" s="538">
        <f t="shared" si="40"/>
        <v>1.8309455229030342E-2</v>
      </c>
      <c r="BM8">
        <f t="shared" si="41"/>
        <v>6.96E-3</v>
      </c>
      <c r="BN8">
        <f t="shared" si="42"/>
        <v>1.2885187388459253E-5</v>
      </c>
      <c r="BO8" s="538">
        <f t="shared" si="43"/>
        <v>3.876152011530079E-2</v>
      </c>
      <c r="BP8" s="469">
        <f t="shared" si="60"/>
        <v>38.76152011530079</v>
      </c>
      <c r="BQ8" s="538">
        <f t="shared" si="44"/>
        <v>7.8844188799999992E-2</v>
      </c>
      <c r="BR8" s="538"/>
      <c r="BT8" s="469">
        <f t="shared" si="61"/>
        <v>78.844188799999998</v>
      </c>
      <c r="BU8" s="538">
        <f t="shared" si="45"/>
        <v>3.6353333333333324E-4</v>
      </c>
      <c r="BV8" s="538">
        <f t="shared" si="46"/>
        <v>2.6459759999999995E-2</v>
      </c>
      <c r="BW8" s="538">
        <f t="shared" si="47"/>
        <v>0</v>
      </c>
      <c r="BX8" s="538">
        <f t="shared" si="48"/>
        <v>3.0106693386774144E-2</v>
      </c>
      <c r="BY8" s="538">
        <f t="shared" si="49"/>
        <v>2.2800000000000003E-3</v>
      </c>
      <c r="BZ8" s="469">
        <f t="shared" si="62"/>
        <v>32.386693386774141</v>
      </c>
      <c r="CA8" s="177">
        <f t="shared" si="63"/>
        <v>0.14999240230207495</v>
      </c>
      <c r="CB8" s="5">
        <f t="shared" si="64"/>
        <v>0.15</v>
      </c>
      <c r="CC8" s="177">
        <f t="shared" si="65"/>
        <v>0.5000126631505778</v>
      </c>
      <c r="CD8" s="5">
        <f t="shared" si="66"/>
        <v>50.001266315057777</v>
      </c>
      <c r="CG8" s="571">
        <f t="shared" si="50"/>
        <v>-50</v>
      </c>
      <c r="CH8">
        <f t="shared" si="51"/>
        <v>-50</v>
      </c>
    </row>
    <row r="9" spans="2:86" x14ac:dyDescent="0.2">
      <c r="E9" s="174">
        <v>4</v>
      </c>
      <c r="F9" s="221">
        <f t="shared" si="52"/>
        <v>0.04</v>
      </c>
      <c r="G9" s="221"/>
      <c r="H9" s="221">
        <f t="shared" si="0"/>
        <v>0.2</v>
      </c>
      <c r="I9" s="551">
        <f t="shared" si="1"/>
        <v>24</v>
      </c>
      <c r="J9" s="176">
        <f t="shared" si="2"/>
        <v>10.64</v>
      </c>
      <c r="K9" s="451">
        <f t="shared" si="3"/>
        <v>34.64</v>
      </c>
      <c r="L9" s="451"/>
      <c r="M9" s="221">
        <f t="shared" si="4"/>
        <v>0.30715935334872979</v>
      </c>
      <c r="N9" s="176">
        <f t="shared" si="5"/>
        <v>13.601016166281754</v>
      </c>
      <c r="O9" s="176">
        <f t="shared" si="53"/>
        <v>0.2</v>
      </c>
      <c r="P9" s="221">
        <f t="shared" si="6"/>
        <v>2.7202032332563508</v>
      </c>
      <c r="Q9" s="221">
        <f t="shared" si="7"/>
        <v>5</v>
      </c>
      <c r="R9" s="221">
        <f t="shared" si="8"/>
        <v>3.0224480369515008</v>
      </c>
      <c r="S9" s="176">
        <f t="shared" si="9"/>
        <v>1095.0035058135604</v>
      </c>
      <c r="T9" s="176">
        <f t="shared" si="10"/>
        <v>5</v>
      </c>
      <c r="U9" s="221">
        <f t="shared" si="11"/>
        <v>6.0289612921191872E-2</v>
      </c>
      <c r="V9" s="221">
        <f t="shared" si="12"/>
        <v>1.7584470435347631E-2</v>
      </c>
      <c r="W9" s="221">
        <f t="shared" si="13"/>
        <v>3.9664219027099913E-2</v>
      </c>
      <c r="X9" s="201">
        <f t="shared" si="14"/>
        <v>350</v>
      </c>
      <c r="Y9" s="451">
        <f t="shared" si="54"/>
        <v>350</v>
      </c>
      <c r="AA9" s="221">
        <f t="shared" si="15"/>
        <v>3.0089079511712309</v>
      </c>
      <c r="AB9" s="177">
        <f t="shared" si="16"/>
        <v>1.9795447047179149</v>
      </c>
      <c r="AC9" s="177">
        <f t="shared" si="17"/>
        <v>2.0846937306036244</v>
      </c>
      <c r="AD9" s="177"/>
      <c r="AE9" s="177">
        <f t="shared" si="18"/>
        <v>0.53947368421052622</v>
      </c>
      <c r="AF9" s="555">
        <f t="shared" si="19"/>
        <v>90.422367638310547</v>
      </c>
      <c r="AG9" s="538">
        <f t="shared" si="20"/>
        <v>0.15482894736842101</v>
      </c>
      <c r="AI9" s="177">
        <f t="shared" si="21"/>
        <v>0.43933571789222087</v>
      </c>
      <c r="AJ9" s="177">
        <f t="shared" si="22"/>
        <v>0.82</v>
      </c>
      <c r="AK9" s="177">
        <f t="shared" si="23"/>
        <v>1.0516699243647489</v>
      </c>
      <c r="AM9" s="555">
        <f t="shared" si="24"/>
        <v>40</v>
      </c>
      <c r="AN9" s="469">
        <f t="shared" si="25"/>
        <v>90.422367638310547</v>
      </c>
      <c r="AP9">
        <f t="shared" si="26"/>
        <v>40</v>
      </c>
      <c r="AQ9" s="469">
        <f t="shared" si="27"/>
        <v>90.422367638310547</v>
      </c>
      <c r="AR9" s="469"/>
      <c r="AS9" s="5">
        <f t="shared" si="55"/>
        <v>11.059210526315788</v>
      </c>
      <c r="AT9" s="5">
        <f t="shared" si="28"/>
        <v>0.23916666666666661</v>
      </c>
      <c r="AU9" s="5">
        <f t="shared" si="56"/>
        <v>10.820043859649122</v>
      </c>
      <c r="AV9" s="5">
        <f t="shared" si="29"/>
        <v>0.53947368421052622</v>
      </c>
      <c r="AW9" s="177">
        <f t="shared" si="57"/>
        <v>2.1626016260162601E-2</v>
      </c>
      <c r="AX9" s="177">
        <f t="shared" si="30"/>
        <v>0.21280000000000002</v>
      </c>
      <c r="AY9" s="177">
        <f t="shared" si="31"/>
        <v>0.80226666666666668</v>
      </c>
      <c r="AZ9" s="177">
        <f t="shared" si="58"/>
        <v>0.26524846268904773</v>
      </c>
      <c r="BA9" s="469">
        <f t="shared" si="32"/>
        <v>100.52933910789432</v>
      </c>
      <c r="BB9" s="469">
        <f t="shared" si="33"/>
        <v>0.12996663111111112</v>
      </c>
      <c r="BC9" s="5">
        <f t="shared" si="34"/>
        <v>8.348799274420618E-2</v>
      </c>
      <c r="BD9" s="469">
        <f t="shared" si="35"/>
        <v>10.046336907082519</v>
      </c>
      <c r="BE9" s="5"/>
      <c r="BF9" s="177">
        <f t="shared" si="59"/>
        <v>6.9621197282947592E-2</v>
      </c>
      <c r="BG9" s="177">
        <f t="shared" si="36"/>
        <v>0.93656013629071833</v>
      </c>
      <c r="BH9" s="177"/>
      <c r="BI9" s="538">
        <f t="shared" si="37"/>
        <v>5.3318222222222206E-4</v>
      </c>
      <c r="BJ9" s="538">
        <f t="shared" si="38"/>
        <v>1.2842146341463419E-2</v>
      </c>
      <c r="BK9" s="538">
        <f t="shared" si="39"/>
        <v>4.5211183819155272E-3</v>
      </c>
      <c r="BL9" s="538">
        <f t="shared" si="40"/>
        <v>2.4412606972040455E-2</v>
      </c>
      <c r="BM9">
        <f t="shared" si="41"/>
        <v>6.96E-3</v>
      </c>
      <c r="BN9">
        <f t="shared" si="42"/>
        <v>1.7180249851279004E-5</v>
      </c>
      <c r="BO9" s="538">
        <f t="shared" si="43"/>
        <v>4.9363069717310699E-2</v>
      </c>
      <c r="BP9" s="469">
        <f t="shared" si="60"/>
        <v>49.363069717310701</v>
      </c>
      <c r="BQ9" s="538">
        <f t="shared" si="44"/>
        <v>8.2293869511111117E-2</v>
      </c>
      <c r="BR9" s="538"/>
      <c r="BT9" s="469">
        <f t="shared" si="61"/>
        <v>82.293869511111112</v>
      </c>
      <c r="BU9" s="538">
        <f t="shared" si="45"/>
        <v>4.8471111111111095E-4</v>
      </c>
      <c r="BV9" s="538">
        <f t="shared" si="46"/>
        <v>2.6314346666666665E-2</v>
      </c>
      <c r="BW9" s="538">
        <f t="shared" si="47"/>
        <v>0</v>
      </c>
      <c r="BX9" s="538">
        <f t="shared" si="48"/>
        <v>3.0079432747601172E-2</v>
      </c>
      <c r="BY9" s="538">
        <f t="shared" si="49"/>
        <v>3.0400000000000006E-3</v>
      </c>
      <c r="BZ9" s="469">
        <f t="shared" si="62"/>
        <v>33.119432747601174</v>
      </c>
      <c r="CA9" s="177">
        <f t="shared" si="63"/>
        <v>0.16477637197602296</v>
      </c>
      <c r="CB9" s="5">
        <f t="shared" si="64"/>
        <v>0.2</v>
      </c>
      <c r="CC9" s="177">
        <f t="shared" si="65"/>
        <v>0.54828112609537705</v>
      </c>
      <c r="CD9" s="5">
        <f t="shared" si="66"/>
        <v>54.828112609537705</v>
      </c>
      <c r="CG9" s="571">
        <f t="shared" si="50"/>
        <v>-50</v>
      </c>
      <c r="CH9">
        <f t="shared" si="51"/>
        <v>-50</v>
      </c>
    </row>
    <row r="10" spans="2:86" x14ac:dyDescent="0.2">
      <c r="E10" s="174">
        <v>5</v>
      </c>
      <c r="F10" s="221">
        <f t="shared" si="52"/>
        <v>0.05</v>
      </c>
      <c r="G10" s="221"/>
      <c r="H10" s="221">
        <f t="shared" si="0"/>
        <v>0.25</v>
      </c>
      <c r="I10" s="551">
        <f t="shared" si="1"/>
        <v>24</v>
      </c>
      <c r="J10" s="176">
        <f t="shared" si="2"/>
        <v>10.64</v>
      </c>
      <c r="K10" s="451">
        <f t="shared" si="3"/>
        <v>34.64</v>
      </c>
      <c r="L10" s="451"/>
      <c r="M10" s="221">
        <f t="shared" si="4"/>
        <v>0.30715935334872979</v>
      </c>
      <c r="N10" s="176">
        <f t="shared" si="5"/>
        <v>13.601016166281754</v>
      </c>
      <c r="O10" s="176">
        <f t="shared" si="53"/>
        <v>0.25</v>
      </c>
      <c r="P10" s="221">
        <f t="shared" si="6"/>
        <v>2.7202032332563508</v>
      </c>
      <c r="Q10" s="221">
        <f t="shared" si="7"/>
        <v>5</v>
      </c>
      <c r="R10" s="221">
        <f t="shared" si="8"/>
        <v>3.0224480369515008</v>
      </c>
      <c r="S10" s="176">
        <f t="shared" si="9"/>
        <v>873.60439397278105</v>
      </c>
      <c r="T10" s="176">
        <f t="shared" si="10"/>
        <v>5</v>
      </c>
      <c r="U10" s="221">
        <f t="shared" si="11"/>
        <v>7.5362016151489838E-2</v>
      </c>
      <c r="V10" s="221">
        <f t="shared" si="12"/>
        <v>2.1980588044184537E-2</v>
      </c>
      <c r="W10" s="221">
        <f t="shared" si="13"/>
        <v>4.9580273783874883E-2</v>
      </c>
      <c r="X10" s="201">
        <f t="shared" si="14"/>
        <v>350</v>
      </c>
      <c r="Y10" s="451">
        <f t="shared" si="54"/>
        <v>350</v>
      </c>
      <c r="AA10" s="221">
        <f t="shared" si="15"/>
        <v>3.0089079511712309</v>
      </c>
      <c r="AB10" s="177">
        <f t="shared" si="16"/>
        <v>1.9795447047179149</v>
      </c>
      <c r="AC10" s="177">
        <f t="shared" si="17"/>
        <v>2.0846937306036244</v>
      </c>
      <c r="AD10" s="177"/>
      <c r="AE10" s="177">
        <f t="shared" si="18"/>
        <v>0.53947368421052622</v>
      </c>
      <c r="AF10" s="555">
        <f t="shared" si="19"/>
        <v>113.02795954788819</v>
      </c>
      <c r="AG10" s="538">
        <f t="shared" si="20"/>
        <v>0.15482894736842101</v>
      </c>
      <c r="AI10" s="177">
        <f t="shared" si="21"/>
        <v>0.4911922650753382</v>
      </c>
      <c r="AJ10" s="177">
        <f t="shared" si="22"/>
        <v>0.82</v>
      </c>
      <c r="AK10" s="177">
        <f t="shared" si="23"/>
        <v>1.0645874054559361</v>
      </c>
      <c r="AM10" s="555">
        <f t="shared" si="24"/>
        <v>50</v>
      </c>
      <c r="AN10" s="469">
        <f t="shared" si="25"/>
        <v>113.02795954788819</v>
      </c>
      <c r="AP10">
        <f t="shared" si="26"/>
        <v>50</v>
      </c>
      <c r="AQ10" s="469">
        <f t="shared" si="27"/>
        <v>113.02795954788819</v>
      </c>
      <c r="AR10" s="469"/>
      <c r="AS10" s="5">
        <f t="shared" si="55"/>
        <v>8.8473684210526304</v>
      </c>
      <c r="AT10" s="5">
        <f t="shared" si="28"/>
        <v>0.23916666666666661</v>
      </c>
      <c r="AU10" s="5">
        <f t="shared" si="56"/>
        <v>8.6082017543859646</v>
      </c>
      <c r="AV10" s="5">
        <f t="shared" si="29"/>
        <v>0.53947368421052622</v>
      </c>
      <c r="AW10" s="177">
        <f t="shared" si="57"/>
        <v>2.7032520325203251E-2</v>
      </c>
      <c r="AX10" s="177">
        <f t="shared" si="30"/>
        <v>0.26600000000000001</v>
      </c>
      <c r="AY10" s="177">
        <f t="shared" si="31"/>
        <v>0.79783333333333328</v>
      </c>
      <c r="AZ10" s="177">
        <f t="shared" si="58"/>
        <v>0.33340296636724465</v>
      </c>
      <c r="BA10" s="469">
        <f t="shared" si="32"/>
        <v>100.52933910789432</v>
      </c>
      <c r="BB10" s="469">
        <f t="shared" si="33"/>
        <v>0.16557286111111114</v>
      </c>
      <c r="BC10" s="5">
        <f t="shared" si="34"/>
        <v>8.3026637291531286E-2</v>
      </c>
      <c r="BD10" s="469">
        <f t="shared" si="35"/>
        <v>9.9979186972059768</v>
      </c>
      <c r="BE10" s="5"/>
      <c r="BF10" s="177">
        <f t="shared" si="59"/>
        <v>7.7838864899797244E-2</v>
      </c>
      <c r="BG10" s="177">
        <f t="shared" si="36"/>
        <v>0.93396883126674934</v>
      </c>
      <c r="BH10" s="177"/>
      <c r="BI10" s="538">
        <f t="shared" si="37"/>
        <v>6.6647777777777758E-4</v>
      </c>
      <c r="BJ10" s="538">
        <f t="shared" si="38"/>
        <v>1.6052682926829272E-2</v>
      </c>
      <c r="BK10" s="538">
        <f t="shared" si="39"/>
        <v>5.6513979773944092E-3</v>
      </c>
      <c r="BL10" s="538">
        <f t="shared" si="40"/>
        <v>3.0515758715050568E-2</v>
      </c>
      <c r="BM10">
        <f t="shared" si="41"/>
        <v>6.96E-3</v>
      </c>
      <c r="BN10">
        <f t="shared" si="42"/>
        <v>2.1475312314098757E-5</v>
      </c>
      <c r="BO10" s="538">
        <f t="shared" si="43"/>
        <v>5.9965140831903289E-2</v>
      </c>
      <c r="BP10" s="469">
        <f t="shared" si="60"/>
        <v>59.965140831903291</v>
      </c>
      <c r="BQ10" s="538">
        <f t="shared" si="44"/>
        <v>8.5743550222222242E-2</v>
      </c>
      <c r="BR10" s="538"/>
      <c r="BT10" s="469">
        <f t="shared" si="61"/>
        <v>85.74355022222224</v>
      </c>
      <c r="BU10" s="538">
        <f t="shared" si="45"/>
        <v>6.0588888888888877E-4</v>
      </c>
      <c r="BV10" s="538">
        <f t="shared" si="46"/>
        <v>2.6168933333333332E-2</v>
      </c>
      <c r="BW10" s="538">
        <f t="shared" si="47"/>
        <v>0</v>
      </c>
      <c r="BX10" s="538">
        <f t="shared" si="48"/>
        <v>3.0052172214363383E-2</v>
      </c>
      <c r="BY10" s="538">
        <f t="shared" si="49"/>
        <v>3.8000000000000009E-3</v>
      </c>
      <c r="BZ10" s="469">
        <f t="shared" si="62"/>
        <v>33.852172214363378</v>
      </c>
      <c r="CA10" s="177">
        <f t="shared" si="63"/>
        <v>0.17956086326848891</v>
      </c>
      <c r="CB10" s="5">
        <f t="shared" si="64"/>
        <v>0.25</v>
      </c>
      <c r="CC10" s="177">
        <f t="shared" si="65"/>
        <v>0.58198970478309664</v>
      </c>
      <c r="CD10" s="5">
        <f t="shared" si="66"/>
        <v>58.198970478309661</v>
      </c>
      <c r="CG10" s="571">
        <f t="shared" si="50"/>
        <v>-50</v>
      </c>
      <c r="CH10">
        <f t="shared" si="51"/>
        <v>-50</v>
      </c>
    </row>
    <row r="11" spans="2:86" x14ac:dyDescent="0.2">
      <c r="E11" s="174">
        <v>6</v>
      </c>
      <c r="F11" s="221">
        <f t="shared" si="52"/>
        <v>0.06</v>
      </c>
      <c r="G11" s="221"/>
      <c r="H11" s="221">
        <f t="shared" si="0"/>
        <v>0.3</v>
      </c>
      <c r="I11" s="551">
        <f t="shared" si="1"/>
        <v>24</v>
      </c>
      <c r="J11" s="176">
        <f t="shared" si="2"/>
        <v>10.64</v>
      </c>
      <c r="K11" s="451">
        <f t="shared" si="3"/>
        <v>34.64</v>
      </c>
      <c r="L11" s="451"/>
      <c r="M11" s="221">
        <f t="shared" si="4"/>
        <v>0.30715935334872979</v>
      </c>
      <c r="N11" s="176">
        <f t="shared" si="5"/>
        <v>13.601016166281754</v>
      </c>
      <c r="O11" s="176">
        <f t="shared" si="53"/>
        <v>0.3</v>
      </c>
      <c r="P11" s="221">
        <f t="shared" si="6"/>
        <v>2.7202032332563508</v>
      </c>
      <c r="Q11" s="221">
        <f t="shared" si="7"/>
        <v>5</v>
      </c>
      <c r="R11" s="221">
        <f t="shared" si="8"/>
        <v>3.0224480369515008</v>
      </c>
      <c r="S11" s="176">
        <f t="shared" si="9"/>
        <v>726.00528688738962</v>
      </c>
      <c r="T11" s="176">
        <f t="shared" si="10"/>
        <v>5</v>
      </c>
      <c r="U11" s="221">
        <f t="shared" si="11"/>
        <v>9.0434419381787798E-2</v>
      </c>
      <c r="V11" s="221">
        <f t="shared" si="12"/>
        <v>2.6376705653021439E-2</v>
      </c>
      <c r="W11" s="221">
        <f t="shared" si="13"/>
        <v>5.9496328540649866E-2</v>
      </c>
      <c r="X11" s="201">
        <f t="shared" si="14"/>
        <v>350</v>
      </c>
      <c r="Y11" s="451">
        <f t="shared" si="54"/>
        <v>350</v>
      </c>
      <c r="AA11" s="221">
        <f t="shared" si="15"/>
        <v>3.0089079511712309</v>
      </c>
      <c r="AB11" s="177">
        <f t="shared" si="16"/>
        <v>1.9795447047179149</v>
      </c>
      <c r="AC11" s="177">
        <f t="shared" si="17"/>
        <v>2.0846937306036244</v>
      </c>
      <c r="AD11" s="177"/>
      <c r="AE11" s="177">
        <f t="shared" si="18"/>
        <v>0.53947368421052622</v>
      </c>
      <c r="AF11" s="555">
        <f t="shared" si="19"/>
        <v>135.63355145746581</v>
      </c>
      <c r="AG11" s="538">
        <f t="shared" si="20"/>
        <v>0.15482894736842101</v>
      </c>
      <c r="AI11" s="177">
        <f t="shared" si="21"/>
        <v>0.53807416730763946</v>
      </c>
      <c r="AJ11" s="177">
        <f t="shared" si="22"/>
        <v>0.82</v>
      </c>
      <c r="AK11" s="177">
        <f t="shared" si="23"/>
        <v>1.0775048865471233</v>
      </c>
      <c r="AM11" s="555">
        <f t="shared" si="24"/>
        <v>60</v>
      </c>
      <c r="AN11" s="469">
        <f t="shared" si="25"/>
        <v>135.63355145746581</v>
      </c>
      <c r="AP11">
        <f t="shared" si="26"/>
        <v>60</v>
      </c>
      <c r="AQ11" s="469">
        <f t="shared" si="27"/>
        <v>135.63355145746581</v>
      </c>
      <c r="AR11" s="469"/>
      <c r="AS11" s="5">
        <f t="shared" si="55"/>
        <v>7.3728070175438578</v>
      </c>
      <c r="AT11" s="5">
        <f t="shared" si="28"/>
        <v>0.23916666666666661</v>
      </c>
      <c r="AU11" s="5">
        <f t="shared" si="56"/>
        <v>7.1336403508771911</v>
      </c>
      <c r="AV11" s="5">
        <f t="shared" si="29"/>
        <v>0.53947368421052622</v>
      </c>
      <c r="AW11" s="177">
        <f t="shared" si="57"/>
        <v>3.2439024390243903E-2</v>
      </c>
      <c r="AX11" s="177">
        <f t="shared" si="30"/>
        <v>0.31919999999999998</v>
      </c>
      <c r="AY11" s="177">
        <f t="shared" si="31"/>
        <v>0.79339999999999988</v>
      </c>
      <c r="AZ11" s="177">
        <f t="shared" si="58"/>
        <v>0.40231913284597937</v>
      </c>
      <c r="BA11" s="469">
        <f t="shared" si="32"/>
        <v>100.52933910789432</v>
      </c>
      <c r="BB11" s="469">
        <f t="shared" si="33"/>
        <v>0.20242491999999998</v>
      </c>
      <c r="BC11" s="5">
        <f t="shared" si="34"/>
        <v>8.2565281838856364E-2</v>
      </c>
      <c r="BD11" s="469">
        <f t="shared" si="35"/>
        <v>9.9495004873294324</v>
      </c>
      <c r="BE11" s="5"/>
      <c r="BF11" s="177">
        <f t="shared" si="59"/>
        <v>8.5268204312432108E-2</v>
      </c>
      <c r="BG11" s="177">
        <f t="shared" si="36"/>
        <v>0.93137031661239167</v>
      </c>
      <c r="BH11" s="177"/>
      <c r="BI11" s="538">
        <f t="shared" si="37"/>
        <v>7.997733333333332E-4</v>
      </c>
      <c r="BJ11" s="538">
        <f t="shared" si="38"/>
        <v>1.9263219512195125E-2</v>
      </c>
      <c r="BK11" s="538">
        <f t="shared" si="39"/>
        <v>6.7816775728732903E-3</v>
      </c>
      <c r="BL11" s="538">
        <f t="shared" si="40"/>
        <v>3.6618910458060684E-2</v>
      </c>
      <c r="BM11">
        <f t="shared" si="41"/>
        <v>6.96E-3</v>
      </c>
      <c r="BN11">
        <f t="shared" si="42"/>
        <v>2.5770374776918506E-5</v>
      </c>
      <c r="BO11" s="538">
        <f t="shared" si="43"/>
        <v>7.0567733497560958E-2</v>
      </c>
      <c r="BP11" s="469">
        <f t="shared" si="60"/>
        <v>70.567733497560965</v>
      </c>
      <c r="BQ11" s="538">
        <f t="shared" si="44"/>
        <v>8.919323093333334E-2</v>
      </c>
      <c r="BR11" s="538"/>
      <c r="BT11" s="469">
        <f t="shared" si="61"/>
        <v>89.193230933333339</v>
      </c>
      <c r="BU11" s="538">
        <f t="shared" si="45"/>
        <v>7.2706666666666659E-4</v>
      </c>
      <c r="BV11" s="538">
        <f t="shared" si="46"/>
        <v>2.6023520000000001E-2</v>
      </c>
      <c r="BW11" s="538">
        <f t="shared" si="47"/>
        <v>0</v>
      </c>
      <c r="BX11" s="538">
        <f t="shared" si="48"/>
        <v>3.0024911787060175E-2</v>
      </c>
      <c r="BY11" s="538">
        <f t="shared" si="49"/>
        <v>4.5600000000000007E-3</v>
      </c>
      <c r="BZ11" s="469">
        <f t="shared" si="62"/>
        <v>34.584911787060179</v>
      </c>
      <c r="CA11" s="177">
        <f t="shared" si="63"/>
        <v>0.19434587621795449</v>
      </c>
      <c r="CB11" s="5">
        <f t="shared" si="64"/>
        <v>0.3</v>
      </c>
      <c r="CC11" s="177">
        <f t="shared" si="65"/>
        <v>0.60686255197511063</v>
      </c>
      <c r="CD11" s="5">
        <f t="shared" si="66"/>
        <v>60.686255197511066</v>
      </c>
      <c r="CG11" s="571">
        <f t="shared" si="50"/>
        <v>-50</v>
      </c>
      <c r="CH11">
        <f t="shared" si="51"/>
        <v>-50</v>
      </c>
    </row>
    <row r="12" spans="2:86" x14ac:dyDescent="0.2">
      <c r="E12" s="174">
        <v>7</v>
      </c>
      <c r="F12" s="221">
        <f t="shared" si="52"/>
        <v>7.0000000000000007E-2</v>
      </c>
      <c r="G12" s="221"/>
      <c r="H12" s="221">
        <f t="shared" si="0"/>
        <v>0.35000000000000003</v>
      </c>
      <c r="I12" s="551">
        <f t="shared" si="1"/>
        <v>24</v>
      </c>
      <c r="J12" s="176">
        <f t="shared" si="2"/>
        <v>10.64</v>
      </c>
      <c r="K12" s="451">
        <f t="shared" si="3"/>
        <v>34.64</v>
      </c>
      <c r="L12" s="451"/>
      <c r="M12" s="221">
        <f t="shared" si="4"/>
        <v>0.30715935334872979</v>
      </c>
      <c r="N12" s="176">
        <f t="shared" si="5"/>
        <v>13.601016166281754</v>
      </c>
      <c r="O12" s="176">
        <f t="shared" si="53"/>
        <v>0.35000000000000003</v>
      </c>
      <c r="P12" s="221">
        <f t="shared" si="6"/>
        <v>2.7202032332563508</v>
      </c>
      <c r="Q12" s="221">
        <f t="shared" si="7"/>
        <v>5</v>
      </c>
      <c r="R12" s="221">
        <f t="shared" si="8"/>
        <v>3.0224480369515008</v>
      </c>
      <c r="S12" s="176">
        <f t="shared" si="9"/>
        <v>620.57761316598737</v>
      </c>
      <c r="T12" s="176">
        <f t="shared" si="10"/>
        <v>5</v>
      </c>
      <c r="U12" s="221">
        <f t="shared" si="11"/>
        <v>0.10550682261208577</v>
      </c>
      <c r="V12" s="221">
        <f t="shared" si="12"/>
        <v>3.0772823261858349E-2</v>
      </c>
      <c r="W12" s="221">
        <f t="shared" si="13"/>
        <v>6.9412383297424843E-2</v>
      </c>
      <c r="X12" s="201">
        <f t="shared" si="14"/>
        <v>350</v>
      </c>
      <c r="Y12" s="451">
        <f t="shared" si="54"/>
        <v>350</v>
      </c>
      <c r="AA12" s="221">
        <f t="shared" si="15"/>
        <v>3.0089079511712309</v>
      </c>
      <c r="AB12" s="177">
        <f t="shared" si="16"/>
        <v>1.9795447047179149</v>
      </c>
      <c r="AC12" s="177">
        <f t="shared" si="17"/>
        <v>2.0846937306036244</v>
      </c>
      <c r="AD12" s="177"/>
      <c r="AE12" s="177">
        <f t="shared" si="18"/>
        <v>0.53947368421052622</v>
      </c>
      <c r="AF12" s="555">
        <f t="shared" si="19"/>
        <v>158.23914336704345</v>
      </c>
      <c r="AG12" s="538">
        <f t="shared" si="20"/>
        <v>0.15482894736842101</v>
      </c>
      <c r="AI12" s="177">
        <f t="shared" si="21"/>
        <v>0.58118652580542318</v>
      </c>
      <c r="AJ12" s="177">
        <f t="shared" si="22"/>
        <v>0.82</v>
      </c>
      <c r="AK12" s="177">
        <f t="shared" si="23"/>
        <v>1.0904223676383105</v>
      </c>
      <c r="AM12" s="555">
        <f t="shared" si="24"/>
        <v>70</v>
      </c>
      <c r="AN12" s="469">
        <f t="shared" si="25"/>
        <v>158.23914336704345</v>
      </c>
      <c r="AP12">
        <f t="shared" si="26"/>
        <v>70</v>
      </c>
      <c r="AQ12" s="469">
        <f t="shared" si="27"/>
        <v>158.23914336704345</v>
      </c>
      <c r="AR12" s="469"/>
      <c r="AS12" s="5">
        <f t="shared" si="55"/>
        <v>6.3195488721804498</v>
      </c>
      <c r="AT12" s="5">
        <f t="shared" si="28"/>
        <v>0.23916666666666661</v>
      </c>
      <c r="AU12" s="5">
        <f t="shared" si="56"/>
        <v>6.0803822055137831</v>
      </c>
      <c r="AV12" s="5">
        <f t="shared" si="29"/>
        <v>0.53947368421052622</v>
      </c>
      <c r="AW12" s="177">
        <f t="shared" si="57"/>
        <v>3.7845528455284549E-2</v>
      </c>
      <c r="AX12" s="177">
        <f t="shared" si="30"/>
        <v>0.37240000000000006</v>
      </c>
      <c r="AY12" s="177">
        <f t="shared" si="31"/>
        <v>0.78896666666666659</v>
      </c>
      <c r="AZ12" s="177">
        <f t="shared" si="58"/>
        <v>0.47200980185052188</v>
      </c>
      <c r="BA12" s="469">
        <f t="shared" si="32"/>
        <v>100.52933910789432</v>
      </c>
      <c r="BB12" s="469">
        <f t="shared" si="33"/>
        <v>0.24052280777777779</v>
      </c>
      <c r="BC12" s="5">
        <f t="shared" si="34"/>
        <v>8.2103926386181469E-2</v>
      </c>
      <c r="BD12" s="469">
        <f t="shared" si="35"/>
        <v>9.9010822774528897</v>
      </c>
      <c r="BE12" s="5"/>
      <c r="BF12" s="177">
        <f t="shared" si="59"/>
        <v>9.2100186994622565E-2</v>
      </c>
      <c r="BG12" s="177">
        <f t="shared" si="36"/>
        <v>0.92876453181393381</v>
      </c>
      <c r="BH12" s="177"/>
      <c r="BI12" s="538">
        <f t="shared" si="37"/>
        <v>9.3306888888888882E-4</v>
      </c>
      <c r="BJ12" s="538">
        <f t="shared" si="38"/>
        <v>2.2473756097560978E-2</v>
      </c>
      <c r="BK12" s="538">
        <f t="shared" si="39"/>
        <v>7.9119571683521732E-3</v>
      </c>
      <c r="BL12" s="538">
        <f t="shared" si="40"/>
        <v>4.2722062201070797E-2</v>
      </c>
      <c r="BM12">
        <f t="shared" si="41"/>
        <v>6.96E-3</v>
      </c>
      <c r="BN12">
        <f t="shared" si="42"/>
        <v>3.0065437239738259E-5</v>
      </c>
      <c r="BO12" s="538">
        <f t="shared" si="43"/>
        <v>8.1170847752769948E-2</v>
      </c>
      <c r="BP12" s="469">
        <f t="shared" si="60"/>
        <v>81.170847752769944</v>
      </c>
      <c r="BQ12" s="538">
        <f t="shared" si="44"/>
        <v>9.2642911644444478E-2</v>
      </c>
      <c r="BR12" s="538"/>
      <c r="BT12" s="469">
        <f t="shared" si="61"/>
        <v>92.642911644444482</v>
      </c>
      <c r="BU12" s="538">
        <f t="shared" si="45"/>
        <v>8.4824444444444441E-4</v>
      </c>
      <c r="BV12" s="538">
        <f t="shared" si="46"/>
        <v>2.5878106666666668E-2</v>
      </c>
      <c r="BW12" s="538">
        <f t="shared" si="47"/>
        <v>0</v>
      </c>
      <c r="BX12" s="538">
        <f t="shared" si="48"/>
        <v>2.9997651465690913E-2</v>
      </c>
      <c r="BY12" s="538">
        <f t="shared" si="49"/>
        <v>5.3200000000000009E-3</v>
      </c>
      <c r="BZ12" s="469">
        <f t="shared" si="62"/>
        <v>35.317651465690915</v>
      </c>
      <c r="CA12" s="177">
        <f t="shared" si="63"/>
        <v>0.20913141086290535</v>
      </c>
      <c r="CB12" s="5">
        <f t="shared" si="64"/>
        <v>0.35000000000000003</v>
      </c>
      <c r="CC12" s="177">
        <f t="shared" si="65"/>
        <v>0.6259709134563668</v>
      </c>
      <c r="CD12" s="5">
        <f t="shared" si="66"/>
        <v>62.597091345636677</v>
      </c>
      <c r="CG12" s="571">
        <f t="shared" si="50"/>
        <v>-50</v>
      </c>
      <c r="CH12">
        <f t="shared" si="51"/>
        <v>-50</v>
      </c>
    </row>
    <row r="13" spans="2:86" s="77" customFormat="1" x14ac:dyDescent="0.2">
      <c r="E13" s="193">
        <v>8</v>
      </c>
      <c r="F13" s="221">
        <f t="shared" si="52"/>
        <v>0.08</v>
      </c>
      <c r="G13" s="221"/>
      <c r="H13" s="221">
        <f t="shared" si="0"/>
        <v>0.4</v>
      </c>
      <c r="I13" s="551">
        <f t="shared" si="1"/>
        <v>24</v>
      </c>
      <c r="J13" s="176">
        <f t="shared" si="2"/>
        <v>10.64</v>
      </c>
      <c r="K13" s="545">
        <f t="shared" si="3"/>
        <v>34.64</v>
      </c>
      <c r="L13" s="545"/>
      <c r="M13" s="333">
        <f t="shared" si="4"/>
        <v>0.30715935334872979</v>
      </c>
      <c r="N13" s="176">
        <f t="shared" si="5"/>
        <v>13.601016166281754</v>
      </c>
      <c r="O13" s="176">
        <f t="shared" si="53"/>
        <v>0.4</v>
      </c>
      <c r="P13" s="333">
        <f t="shared" si="6"/>
        <v>2.7202032332563508</v>
      </c>
      <c r="Q13" s="221">
        <f t="shared" si="7"/>
        <v>5</v>
      </c>
      <c r="R13" s="221">
        <f t="shared" si="8"/>
        <v>3.0224480369515008</v>
      </c>
      <c r="S13" s="176">
        <f t="shared" si="9"/>
        <v>541.50708713183803</v>
      </c>
      <c r="T13" s="176">
        <f t="shared" si="10"/>
        <v>5</v>
      </c>
      <c r="U13" s="221">
        <f t="shared" si="11"/>
        <v>0.12057922584238374</v>
      </c>
      <c r="V13" s="333">
        <f t="shared" si="12"/>
        <v>3.5168940870695262E-2</v>
      </c>
      <c r="W13" s="221">
        <f t="shared" si="13"/>
        <v>7.9328438054199826E-2</v>
      </c>
      <c r="X13" s="547">
        <f t="shared" si="14"/>
        <v>350</v>
      </c>
      <c r="Y13" s="545">
        <f t="shared" si="54"/>
        <v>350</v>
      </c>
      <c r="AA13" s="333">
        <f t="shared" si="15"/>
        <v>3.0089079511712309</v>
      </c>
      <c r="AB13" s="177">
        <f t="shared" si="16"/>
        <v>1.9795447047179149</v>
      </c>
      <c r="AC13" s="548">
        <f t="shared" si="17"/>
        <v>2.0846937306036244</v>
      </c>
      <c r="AD13" s="548"/>
      <c r="AE13" s="177">
        <f t="shared" si="18"/>
        <v>0.53947368421052622</v>
      </c>
      <c r="AF13" s="555">
        <f t="shared" si="19"/>
        <v>180.84473527662109</v>
      </c>
      <c r="AG13" s="538">
        <f t="shared" si="20"/>
        <v>0.15482894736842101</v>
      </c>
      <c r="AH13"/>
      <c r="AI13" s="177">
        <f t="shared" si="21"/>
        <v>0.62131453067809872</v>
      </c>
      <c r="AJ13" s="177">
        <f t="shared" si="22"/>
        <v>0.82</v>
      </c>
      <c r="AK13" s="177">
        <f t="shared" si="23"/>
        <v>1.1033398487294979</v>
      </c>
      <c r="AM13" s="555">
        <f t="shared" si="24"/>
        <v>80</v>
      </c>
      <c r="AN13" s="469">
        <f t="shared" si="25"/>
        <v>180.84473527662109</v>
      </c>
      <c r="AP13">
        <f t="shared" si="26"/>
        <v>80</v>
      </c>
      <c r="AQ13" s="469">
        <f t="shared" si="27"/>
        <v>180.84473527662109</v>
      </c>
      <c r="AR13" s="469"/>
      <c r="AS13" s="5">
        <f t="shared" si="55"/>
        <v>5.5296052631578938</v>
      </c>
      <c r="AT13" s="5">
        <f t="shared" si="28"/>
        <v>0.23916666666666661</v>
      </c>
      <c r="AU13" s="5">
        <f t="shared" si="56"/>
        <v>5.2904385964912271</v>
      </c>
      <c r="AV13" s="5">
        <f t="shared" si="29"/>
        <v>0.53947368421052622</v>
      </c>
      <c r="AW13" s="177">
        <f t="shared" si="57"/>
        <v>4.3252032520325202E-2</v>
      </c>
      <c r="AX13" s="177">
        <f t="shared" si="30"/>
        <v>0.42560000000000003</v>
      </c>
      <c r="AY13" s="177">
        <f t="shared" si="31"/>
        <v>0.7845333333333333</v>
      </c>
      <c r="AZ13" s="177">
        <f t="shared" si="58"/>
        <v>0.54248810333106734</v>
      </c>
      <c r="BA13" s="469">
        <f t="shared" si="32"/>
        <v>100.52933910789432</v>
      </c>
      <c r="BB13" s="469">
        <f t="shared" si="33"/>
        <v>0.27986652444444443</v>
      </c>
      <c r="BC13" s="5">
        <f t="shared" si="34"/>
        <v>8.1642570933506589E-2</v>
      </c>
      <c r="BD13" s="469">
        <f t="shared" si="35"/>
        <v>9.8526640675763453</v>
      </c>
      <c r="BE13" s="5"/>
      <c r="BF13" s="177">
        <f t="shared" si="59"/>
        <v>9.8459241426197372E-2</v>
      </c>
      <c r="BG13" s="177">
        <f t="shared" si="36"/>
        <v>0.92615141550636548</v>
      </c>
      <c r="BH13" s="177"/>
      <c r="BI13" s="538">
        <f t="shared" si="37"/>
        <v>1.0663644444444443E-3</v>
      </c>
      <c r="BJ13" s="538">
        <f t="shared" si="38"/>
        <v>2.5684292682926838E-2</v>
      </c>
      <c r="BK13" s="538">
        <f t="shared" si="39"/>
        <v>9.0422367638310543E-3</v>
      </c>
      <c r="BL13" s="538">
        <f t="shared" si="40"/>
        <v>4.882521394408091E-2</v>
      </c>
      <c r="BM13">
        <f t="shared" si="41"/>
        <v>6.96E-3</v>
      </c>
      <c r="BN13">
        <f t="shared" si="42"/>
        <v>3.4360499702558008E-5</v>
      </c>
      <c r="BO13" s="538">
        <f t="shared" si="43"/>
        <v>9.1774483636020157E-2</v>
      </c>
      <c r="BP13" s="469">
        <f t="shared" si="60"/>
        <v>91.77448363602015</v>
      </c>
      <c r="BQ13" s="538">
        <f t="shared" si="44"/>
        <v>9.6092592355555562E-2</v>
      </c>
      <c r="BR13" s="538"/>
      <c r="BT13" s="469">
        <f t="shared" si="61"/>
        <v>96.092592355555567</v>
      </c>
      <c r="BU13" s="538">
        <f t="shared" si="45"/>
        <v>9.6942222222222213E-4</v>
      </c>
      <c r="BV13" s="538">
        <f t="shared" si="46"/>
        <v>2.5732693333333331E-2</v>
      </c>
      <c r="BW13" s="538">
        <f t="shared" si="47"/>
        <v>0</v>
      </c>
      <c r="BX13" s="538">
        <f t="shared" si="48"/>
        <v>2.9970391250254982E-2</v>
      </c>
      <c r="BY13" s="538">
        <f t="shared" si="49"/>
        <v>6.0800000000000012E-3</v>
      </c>
      <c r="BZ13" s="469">
        <f t="shared" si="62"/>
        <v>36.050391250254982</v>
      </c>
      <c r="CA13" s="177">
        <f t="shared" si="63"/>
        <v>0.22391746724183068</v>
      </c>
      <c r="CB13" s="5">
        <f t="shared" si="64"/>
        <v>0.4</v>
      </c>
      <c r="CC13" s="177">
        <f t="shared" si="65"/>
        <v>0.64111043687924163</v>
      </c>
      <c r="CD13" s="5">
        <f t="shared" si="66"/>
        <v>64.111043687924166</v>
      </c>
      <c r="CG13" s="571">
        <f t="shared" si="50"/>
        <v>-50</v>
      </c>
      <c r="CH13">
        <f t="shared" si="51"/>
        <v>-50</v>
      </c>
    </row>
    <row r="14" spans="2:86" x14ac:dyDescent="0.2">
      <c r="E14" s="174">
        <v>9</v>
      </c>
      <c r="F14" s="221">
        <f t="shared" si="52"/>
        <v>0.09</v>
      </c>
      <c r="G14" s="221"/>
      <c r="H14" s="221">
        <f t="shared" si="0"/>
        <v>0.44999999999999996</v>
      </c>
      <c r="I14" s="551">
        <f t="shared" si="1"/>
        <v>24</v>
      </c>
      <c r="J14" s="176">
        <f t="shared" si="2"/>
        <v>10.64</v>
      </c>
      <c r="K14" s="451">
        <f t="shared" si="3"/>
        <v>34.64</v>
      </c>
      <c r="L14" s="451"/>
      <c r="M14" s="221">
        <f t="shared" si="4"/>
        <v>0.30715935334872979</v>
      </c>
      <c r="N14" s="176">
        <f t="shared" si="5"/>
        <v>13.601016166281754</v>
      </c>
      <c r="O14" s="176">
        <f t="shared" si="53"/>
        <v>0.44999999999999996</v>
      </c>
      <c r="P14" s="221">
        <f t="shared" si="6"/>
        <v>2.7202032332563508</v>
      </c>
      <c r="Q14" s="221">
        <f t="shared" si="7"/>
        <v>5</v>
      </c>
      <c r="R14" s="221">
        <f t="shared" si="8"/>
        <v>3.0224480369515008</v>
      </c>
      <c r="S14" s="176">
        <f t="shared" si="9"/>
        <v>480.00799453715734</v>
      </c>
      <c r="T14" s="176">
        <f t="shared" si="10"/>
        <v>5</v>
      </c>
      <c r="U14" s="221">
        <f t="shared" si="11"/>
        <v>0.13565162907268169</v>
      </c>
      <c r="V14" s="221">
        <f t="shared" si="12"/>
        <v>3.9565058479532157E-2</v>
      </c>
      <c r="W14" s="221">
        <f t="shared" si="13"/>
        <v>8.9244492810974782E-2</v>
      </c>
      <c r="X14" s="201">
        <f t="shared" si="14"/>
        <v>350</v>
      </c>
      <c r="Y14" s="451">
        <f t="shared" si="54"/>
        <v>350</v>
      </c>
      <c r="AA14" s="221">
        <f t="shared" si="15"/>
        <v>3.0089079511712309</v>
      </c>
      <c r="AB14" s="177">
        <f t="shared" si="16"/>
        <v>1.9795447047179149</v>
      </c>
      <c r="AC14" s="177">
        <f t="shared" si="17"/>
        <v>2.0846937306036244</v>
      </c>
      <c r="AD14" s="177"/>
      <c r="AE14" s="177">
        <f t="shared" si="18"/>
        <v>0.53947368421052622</v>
      </c>
      <c r="AF14" s="555">
        <f t="shared" si="19"/>
        <v>203.45032718619873</v>
      </c>
      <c r="AG14" s="538">
        <f t="shared" si="20"/>
        <v>0.15482894736842101</v>
      </c>
      <c r="AI14" s="177">
        <f t="shared" si="21"/>
        <v>0.65900357683833122</v>
      </c>
      <c r="AJ14" s="177">
        <f t="shared" si="22"/>
        <v>0.82</v>
      </c>
      <c r="AK14" s="177">
        <f t="shared" si="23"/>
        <v>1.116257329820685</v>
      </c>
      <c r="AM14" s="555">
        <f t="shared" si="24"/>
        <v>90</v>
      </c>
      <c r="AN14" s="469">
        <f t="shared" si="25"/>
        <v>203.45032718619873</v>
      </c>
      <c r="AP14">
        <f t="shared" si="26"/>
        <v>90</v>
      </c>
      <c r="AQ14" s="469">
        <f t="shared" si="27"/>
        <v>203.45032718619873</v>
      </c>
      <c r="AR14" s="469"/>
      <c r="AS14" s="5">
        <f t="shared" si="55"/>
        <v>4.9152046783625725</v>
      </c>
      <c r="AT14" s="5">
        <f t="shared" si="28"/>
        <v>0.23916666666666661</v>
      </c>
      <c r="AU14" s="5">
        <f t="shared" si="56"/>
        <v>4.6760380116959057</v>
      </c>
      <c r="AV14" s="5">
        <f t="shared" si="29"/>
        <v>0.53947368421052622</v>
      </c>
      <c r="AW14" s="177">
        <f t="shared" si="57"/>
        <v>4.8658536585365848E-2</v>
      </c>
      <c r="AX14" s="177">
        <f t="shared" si="30"/>
        <v>0.47880000000000006</v>
      </c>
      <c r="AY14" s="177">
        <f t="shared" si="31"/>
        <v>0.7800999999999999</v>
      </c>
      <c r="AZ14" s="177">
        <f t="shared" si="58"/>
        <v>0.61376746570952456</v>
      </c>
      <c r="BA14" s="469">
        <f t="shared" si="32"/>
        <v>100.52933910789432</v>
      </c>
      <c r="BB14" s="469">
        <f t="shared" si="33"/>
        <v>0.32045606999999998</v>
      </c>
      <c r="BC14" s="5">
        <f t="shared" si="34"/>
        <v>8.1181215480831681E-2</v>
      </c>
      <c r="BD14" s="469">
        <f t="shared" si="35"/>
        <v>9.8042458576998026</v>
      </c>
      <c r="BE14" s="5"/>
      <c r="BF14" s="177">
        <f t="shared" si="59"/>
        <v>0.10443179592442139</v>
      </c>
      <c r="BG14" s="177">
        <f t="shared" si="36"/>
        <v>0.92353090545651639</v>
      </c>
      <c r="BH14" s="177"/>
      <c r="BI14" s="538">
        <f t="shared" si="37"/>
        <v>1.1996599999999997E-3</v>
      </c>
      <c r="BJ14" s="538">
        <f t="shared" si="38"/>
        <v>2.8894829268292687E-2</v>
      </c>
      <c r="BK14" s="538">
        <f t="shared" si="39"/>
        <v>1.0172516359309935E-2</v>
      </c>
      <c r="BL14" s="538">
        <f t="shared" si="40"/>
        <v>5.492836568709103E-2</v>
      </c>
      <c r="BM14">
        <f t="shared" si="41"/>
        <v>6.96E-3</v>
      </c>
      <c r="BN14">
        <f t="shared" si="42"/>
        <v>3.8655562165377761E-5</v>
      </c>
      <c r="BO14" s="538">
        <f t="shared" si="43"/>
        <v>0.10237864118580541</v>
      </c>
      <c r="BP14" s="469">
        <f t="shared" si="60"/>
        <v>102.37864118580541</v>
      </c>
      <c r="BQ14" s="538">
        <f t="shared" si="44"/>
        <v>9.9542273066666645E-2</v>
      </c>
      <c r="BR14" s="538"/>
      <c r="BT14" s="469">
        <f t="shared" si="61"/>
        <v>99.542273066666638</v>
      </c>
      <c r="BU14" s="538">
        <f t="shared" si="45"/>
        <v>1.0905999999999997E-3</v>
      </c>
      <c r="BV14" s="538">
        <f t="shared" si="46"/>
        <v>2.558727999999999E-2</v>
      </c>
      <c r="BW14" s="538">
        <f t="shared" si="47"/>
        <v>0</v>
      </c>
      <c r="BX14" s="538">
        <f t="shared" si="48"/>
        <v>2.9943131140751773E-2</v>
      </c>
      <c r="BY14" s="538">
        <f t="shared" si="49"/>
        <v>6.8400000000000015E-3</v>
      </c>
      <c r="BZ14" s="469">
        <f t="shared" si="62"/>
        <v>36.783131140751777</v>
      </c>
      <c r="CA14" s="177">
        <f t="shared" si="63"/>
        <v>0.23870404539322385</v>
      </c>
      <c r="CB14" s="5">
        <f t="shared" si="64"/>
        <v>0.44999999999999996</v>
      </c>
      <c r="CC14" s="177">
        <f t="shared" si="65"/>
        <v>0.65340112782852477</v>
      </c>
      <c r="CD14" s="5">
        <f t="shared" si="66"/>
        <v>65.340112782852472</v>
      </c>
      <c r="CG14" s="571">
        <f t="shared" si="50"/>
        <v>-50</v>
      </c>
      <c r="CH14">
        <f t="shared" si="51"/>
        <v>-50</v>
      </c>
    </row>
    <row r="15" spans="2:86" x14ac:dyDescent="0.2">
      <c r="E15" s="174">
        <v>10</v>
      </c>
      <c r="F15" s="221">
        <f t="shared" si="52"/>
        <v>0.1</v>
      </c>
      <c r="G15" s="221"/>
      <c r="H15" s="221">
        <f t="shared" si="0"/>
        <v>0.5</v>
      </c>
      <c r="I15" s="551">
        <f t="shared" si="1"/>
        <v>24</v>
      </c>
      <c r="J15" s="176">
        <f t="shared" si="2"/>
        <v>10.64</v>
      </c>
      <c r="K15" s="451">
        <f t="shared" si="3"/>
        <v>34.64</v>
      </c>
      <c r="L15" s="451"/>
      <c r="M15" s="221">
        <f t="shared" si="4"/>
        <v>0.30715935334872979</v>
      </c>
      <c r="N15" s="176">
        <f t="shared" si="5"/>
        <v>13.601016166281754</v>
      </c>
      <c r="O15" s="176">
        <f t="shared" si="53"/>
        <v>0.5</v>
      </c>
      <c r="P15" s="221">
        <f t="shared" si="6"/>
        <v>2.7202032332563508</v>
      </c>
      <c r="Q15" s="221">
        <f t="shared" si="7"/>
        <v>5</v>
      </c>
      <c r="R15" s="221">
        <f t="shared" si="8"/>
        <v>3.0224480369515008</v>
      </c>
      <c r="S15" s="176">
        <f t="shared" si="9"/>
        <v>430.80890684883099</v>
      </c>
      <c r="T15" s="176">
        <f t="shared" si="10"/>
        <v>5</v>
      </c>
      <c r="U15" s="221">
        <f t="shared" si="11"/>
        <v>0.15072403230297968</v>
      </c>
      <c r="V15" s="221">
        <f t="shared" si="12"/>
        <v>4.3961176088369074E-2</v>
      </c>
      <c r="W15" s="221">
        <f t="shared" si="13"/>
        <v>9.9160547567749766E-2</v>
      </c>
      <c r="X15" s="201">
        <f t="shared" si="14"/>
        <v>350</v>
      </c>
      <c r="Y15" s="451">
        <f t="shared" si="54"/>
        <v>350</v>
      </c>
      <c r="AA15" s="221">
        <f t="shared" si="15"/>
        <v>3.0089079511712309</v>
      </c>
      <c r="AB15" s="177">
        <f t="shared" si="16"/>
        <v>1.9795447047179149</v>
      </c>
      <c r="AC15" s="177">
        <f t="shared" si="17"/>
        <v>2.0846937306036244</v>
      </c>
      <c r="AD15" s="177"/>
      <c r="AE15" s="177">
        <f t="shared" si="18"/>
        <v>0.53947368421052622</v>
      </c>
      <c r="AF15" s="555">
        <f t="shared" si="19"/>
        <v>226.05591909577637</v>
      </c>
      <c r="AG15" s="538">
        <f t="shared" si="20"/>
        <v>0.15482894736842101</v>
      </c>
      <c r="AI15" s="177">
        <f t="shared" si="21"/>
        <v>0.69465076300230366</v>
      </c>
      <c r="AJ15" s="177">
        <f t="shared" si="22"/>
        <v>0.82</v>
      </c>
      <c r="AK15" s="177">
        <f t="shared" si="23"/>
        <v>1.1291748109118722</v>
      </c>
      <c r="AM15" s="555">
        <f t="shared" si="24"/>
        <v>100</v>
      </c>
      <c r="AN15" s="469">
        <f t="shared" si="25"/>
        <v>226.05591909577637</v>
      </c>
      <c r="AP15">
        <f t="shared" si="26"/>
        <v>100</v>
      </c>
      <c r="AQ15" s="469">
        <f t="shared" si="27"/>
        <v>226.05591909577637</v>
      </c>
      <c r="AR15" s="469"/>
      <c r="AS15" s="5">
        <f t="shared" si="55"/>
        <v>4.4236842105263152</v>
      </c>
      <c r="AT15" s="5">
        <f t="shared" si="28"/>
        <v>0.23916666666666661</v>
      </c>
      <c r="AU15" s="5">
        <f t="shared" si="56"/>
        <v>4.1845175438596485</v>
      </c>
      <c r="AV15" s="5">
        <f t="shared" si="29"/>
        <v>0.53947368421052622</v>
      </c>
      <c r="AW15" s="177">
        <f t="shared" si="57"/>
        <v>5.4065040650406501E-2</v>
      </c>
      <c r="AX15" s="177">
        <f t="shared" si="30"/>
        <v>0.53200000000000003</v>
      </c>
      <c r="AY15" s="177">
        <f t="shared" si="31"/>
        <v>0.77566666666666662</v>
      </c>
      <c r="AZ15" s="177">
        <f t="shared" si="58"/>
        <v>0.68586162440911047</v>
      </c>
      <c r="BA15" s="469">
        <f t="shared" si="32"/>
        <v>100.52933910789432</v>
      </c>
      <c r="BB15" s="469">
        <f t="shared" si="33"/>
        <v>0.3622914444444445</v>
      </c>
      <c r="BC15" s="5">
        <f t="shared" si="34"/>
        <v>8.0719860028156787E-2</v>
      </c>
      <c r="BD15" s="469">
        <f t="shared" si="35"/>
        <v>9.75582764782326</v>
      </c>
      <c r="BE15" s="5"/>
      <c r="BF15" s="177">
        <f t="shared" si="59"/>
        <v>0.11008077842102033</v>
      </c>
      <c r="BG15" s="177">
        <f t="shared" si="36"/>
        <v>0.92090293854576333</v>
      </c>
      <c r="BH15" s="177"/>
      <c r="BI15" s="538">
        <f t="shared" si="37"/>
        <v>1.3329555555555554E-3</v>
      </c>
      <c r="BJ15" s="538">
        <f t="shared" si="38"/>
        <v>3.2105365853658543E-2</v>
      </c>
      <c r="BK15" s="538">
        <f t="shared" si="39"/>
        <v>1.1302795954788818E-2</v>
      </c>
      <c r="BL15" s="538">
        <f t="shared" si="40"/>
        <v>6.1031517430101136E-2</v>
      </c>
      <c r="BM15">
        <f t="shared" si="41"/>
        <v>6.96E-3</v>
      </c>
      <c r="BN15">
        <f t="shared" si="42"/>
        <v>4.2950624628197514E-5</v>
      </c>
      <c r="BO15" s="538">
        <f t="shared" si="43"/>
        <v>0.11298332044062319</v>
      </c>
      <c r="BP15" s="469">
        <f t="shared" si="60"/>
        <v>112.98332044062319</v>
      </c>
      <c r="BQ15" s="538">
        <f t="shared" si="44"/>
        <v>0.10299195377777777</v>
      </c>
      <c r="BR15" s="538"/>
      <c r="BT15" s="469">
        <f t="shared" si="61"/>
        <v>102.99195377777777</v>
      </c>
      <c r="BU15" s="538">
        <f t="shared" si="45"/>
        <v>1.2117777777777778E-3</v>
      </c>
      <c r="BV15" s="538">
        <f t="shared" si="46"/>
        <v>2.5441866666666656E-2</v>
      </c>
      <c r="BW15" s="538">
        <f t="shared" si="47"/>
        <v>0</v>
      </c>
      <c r="BX15" s="538">
        <f t="shared" si="48"/>
        <v>2.991587113718067E-2</v>
      </c>
      <c r="BY15" s="538">
        <f t="shared" si="49"/>
        <v>7.6000000000000017E-3</v>
      </c>
      <c r="BZ15" s="469">
        <f t="shared" si="62"/>
        <v>37.515871137180667</v>
      </c>
      <c r="CA15" s="177">
        <f t="shared" si="63"/>
        <v>0.25349114535558165</v>
      </c>
      <c r="CB15" s="5">
        <f t="shared" si="64"/>
        <v>0.5</v>
      </c>
      <c r="CC15" s="177">
        <f t="shared" si="65"/>
        <v>0.66357780457266535</v>
      </c>
      <c r="CD15" s="5">
        <f t="shared" si="66"/>
        <v>66.357780457266529</v>
      </c>
      <c r="CG15" s="571">
        <f t="shared" si="50"/>
        <v>-50</v>
      </c>
      <c r="CH15">
        <f t="shared" si="51"/>
        <v>-50</v>
      </c>
    </row>
    <row r="16" spans="2:86" x14ac:dyDescent="0.2">
      <c r="E16" s="174">
        <v>11</v>
      </c>
      <c r="F16" s="221">
        <f t="shared" si="52"/>
        <v>0.11</v>
      </c>
      <c r="G16" s="221"/>
      <c r="H16" s="221">
        <f t="shared" si="0"/>
        <v>0.55000000000000004</v>
      </c>
      <c r="I16" s="551">
        <f t="shared" si="1"/>
        <v>24</v>
      </c>
      <c r="J16" s="176">
        <f t="shared" si="2"/>
        <v>10.64</v>
      </c>
      <c r="K16" s="451">
        <f t="shared" si="3"/>
        <v>34.64</v>
      </c>
      <c r="L16" s="451"/>
      <c r="M16" s="221">
        <f t="shared" si="4"/>
        <v>0.30715935334872979</v>
      </c>
      <c r="N16" s="176">
        <f t="shared" si="5"/>
        <v>13.601016166281754</v>
      </c>
      <c r="O16" s="176">
        <f t="shared" si="53"/>
        <v>0.55000000000000004</v>
      </c>
      <c r="P16" s="221">
        <f t="shared" si="6"/>
        <v>2.7202032332563508</v>
      </c>
      <c r="Q16" s="221">
        <f t="shared" si="7"/>
        <v>5</v>
      </c>
      <c r="R16" s="221">
        <f t="shared" si="8"/>
        <v>3.0224480369515008</v>
      </c>
      <c r="S16" s="176">
        <f t="shared" si="9"/>
        <v>390.55527865101897</v>
      </c>
      <c r="T16" s="176">
        <f t="shared" si="10"/>
        <v>5</v>
      </c>
      <c r="U16" s="221">
        <f t="shared" si="11"/>
        <v>0.16579643553327764</v>
      </c>
      <c r="V16" s="221">
        <f t="shared" si="12"/>
        <v>4.8357293697205976E-2</v>
      </c>
      <c r="W16" s="221">
        <f t="shared" si="13"/>
        <v>0.10907660232452475</v>
      </c>
      <c r="X16" s="201">
        <f t="shared" si="14"/>
        <v>350</v>
      </c>
      <c r="Y16" s="451">
        <f t="shared" si="54"/>
        <v>350</v>
      </c>
      <c r="AA16" s="221">
        <f t="shared" si="15"/>
        <v>3.0089079511712309</v>
      </c>
      <c r="AB16" s="177">
        <f t="shared" si="16"/>
        <v>1.9795447047179149</v>
      </c>
      <c r="AC16" s="177">
        <f t="shared" si="17"/>
        <v>2.0846937306036244</v>
      </c>
      <c r="AD16" s="177"/>
      <c r="AE16" s="177">
        <f t="shared" si="18"/>
        <v>0.53947368421052622</v>
      </c>
      <c r="AF16" s="555">
        <f t="shared" si="19"/>
        <v>248.66151100535399</v>
      </c>
      <c r="AG16" s="538">
        <f t="shared" si="20"/>
        <v>0.15482894736842101</v>
      </c>
      <c r="AI16" s="177">
        <f t="shared" si="21"/>
        <v>0.72855586662496297</v>
      </c>
      <c r="AJ16" s="177">
        <f t="shared" si="22"/>
        <v>0.82</v>
      </c>
      <c r="AK16" s="177">
        <f t="shared" si="23"/>
        <v>1.1420922920030594</v>
      </c>
      <c r="AM16" s="555">
        <f t="shared" si="24"/>
        <v>110</v>
      </c>
      <c r="AN16" s="469">
        <f t="shared" si="25"/>
        <v>248.66151100535399</v>
      </c>
      <c r="AP16">
        <f t="shared" si="26"/>
        <v>110</v>
      </c>
      <c r="AQ16" s="469">
        <f t="shared" si="27"/>
        <v>248.66151100535399</v>
      </c>
      <c r="AR16" s="469"/>
      <c r="AS16" s="5">
        <f t="shared" si="55"/>
        <v>4.0215311004784686</v>
      </c>
      <c r="AT16" s="5">
        <f t="shared" si="28"/>
        <v>0.23916666666666661</v>
      </c>
      <c r="AU16" s="5">
        <f t="shared" si="56"/>
        <v>3.7823644338118019</v>
      </c>
      <c r="AV16" s="5">
        <f t="shared" si="29"/>
        <v>0.53947368421052622</v>
      </c>
      <c r="AW16" s="177">
        <f t="shared" si="57"/>
        <v>5.9471544715447147E-2</v>
      </c>
      <c r="AX16" s="177">
        <f t="shared" si="30"/>
        <v>0.58520000000000005</v>
      </c>
      <c r="AY16" s="177">
        <f t="shared" si="31"/>
        <v>0.77123333333333333</v>
      </c>
      <c r="AZ16" s="177">
        <f t="shared" si="58"/>
        <v>0.75878463067813462</v>
      </c>
      <c r="BA16" s="469">
        <f t="shared" si="32"/>
        <v>100.52933910789432</v>
      </c>
      <c r="BB16" s="469">
        <f t="shared" si="33"/>
        <v>0.40537264777777782</v>
      </c>
      <c r="BC16" s="5">
        <f t="shared" si="34"/>
        <v>8.0258504575481907E-2</v>
      </c>
      <c r="BD16" s="469">
        <f t="shared" si="35"/>
        <v>9.7074094379467191</v>
      </c>
      <c r="BE16" s="5"/>
      <c r="BF16" s="177">
        <f t="shared" si="59"/>
        <v>0.115453694421424</v>
      </c>
      <c r="BG16" s="177">
        <f t="shared" si="36"/>
        <v>0.91826745075229077</v>
      </c>
      <c r="BH16" s="177"/>
      <c r="BI16" s="538">
        <f t="shared" si="37"/>
        <v>1.4662511111111106E-3</v>
      </c>
      <c r="BJ16" s="538">
        <f t="shared" si="38"/>
        <v>3.5315902439024396E-2</v>
      </c>
      <c r="BK16" s="538">
        <f t="shared" si="39"/>
        <v>1.2433075550267698E-2</v>
      </c>
      <c r="BL16" s="538">
        <f t="shared" si="40"/>
        <v>6.7134669173111255E-2</v>
      </c>
      <c r="BM16">
        <f t="shared" si="41"/>
        <v>6.96E-3</v>
      </c>
      <c r="BN16">
        <f t="shared" si="42"/>
        <v>4.724568709101726E-5</v>
      </c>
      <c r="BO16" s="538">
        <f t="shared" si="43"/>
        <v>0.1235885214389749</v>
      </c>
      <c r="BP16" s="469">
        <f t="shared" si="60"/>
        <v>123.58852143897491</v>
      </c>
      <c r="BQ16" s="538">
        <f t="shared" si="44"/>
        <v>0.10644163448888888</v>
      </c>
      <c r="BR16" s="538"/>
      <c r="BT16" s="469">
        <f t="shared" si="61"/>
        <v>106.44163448888888</v>
      </c>
      <c r="BU16" s="538">
        <f t="shared" si="45"/>
        <v>1.3329555555555552E-3</v>
      </c>
      <c r="BV16" s="538">
        <f t="shared" si="46"/>
        <v>2.5296453333333323E-2</v>
      </c>
      <c r="BW16" s="538">
        <f t="shared" si="47"/>
        <v>0</v>
      </c>
      <c r="BX16" s="538">
        <f t="shared" si="48"/>
        <v>2.9888611239541049E-2</v>
      </c>
      <c r="BY16" s="538">
        <f t="shared" si="49"/>
        <v>8.3600000000000011E-3</v>
      </c>
      <c r="BZ16" s="469">
        <f t="shared" si="62"/>
        <v>38.248611239541049</v>
      </c>
      <c r="CA16" s="177">
        <f t="shared" si="63"/>
        <v>0.26827876716740484</v>
      </c>
      <c r="CB16" s="5">
        <f t="shared" si="64"/>
        <v>0.55000000000000004</v>
      </c>
      <c r="CC16" s="177">
        <f t="shared" si="65"/>
        <v>0.6721425778942155</v>
      </c>
      <c r="CD16" s="5">
        <f t="shared" si="66"/>
        <v>67.214257789421552</v>
      </c>
      <c r="CG16" s="571">
        <f t="shared" si="50"/>
        <v>-50</v>
      </c>
      <c r="CH16">
        <f t="shared" si="51"/>
        <v>-50</v>
      </c>
    </row>
    <row r="17" spans="5:86" x14ac:dyDescent="0.2">
      <c r="E17" s="174">
        <v>12</v>
      </c>
      <c r="F17" s="221">
        <f t="shared" si="52"/>
        <v>0.12</v>
      </c>
      <c r="G17" s="221"/>
      <c r="H17" s="221">
        <f t="shared" si="0"/>
        <v>0.6</v>
      </c>
      <c r="I17" s="551">
        <f t="shared" si="1"/>
        <v>24</v>
      </c>
      <c r="J17" s="176">
        <f t="shared" si="2"/>
        <v>10.64</v>
      </c>
      <c r="K17" s="451">
        <f t="shared" si="3"/>
        <v>34.64</v>
      </c>
      <c r="L17" s="451"/>
      <c r="M17" s="221">
        <f t="shared" si="4"/>
        <v>0.30715935334872979</v>
      </c>
      <c r="N17" s="176">
        <f t="shared" si="5"/>
        <v>13.601016166281754</v>
      </c>
      <c r="O17" s="176">
        <f t="shared" si="53"/>
        <v>0.6</v>
      </c>
      <c r="P17" s="221">
        <f t="shared" si="6"/>
        <v>2.7202032332563508</v>
      </c>
      <c r="Q17" s="221">
        <f t="shared" si="7"/>
        <v>5</v>
      </c>
      <c r="R17" s="221">
        <f t="shared" si="8"/>
        <v>3.0224480369515008</v>
      </c>
      <c r="S17" s="176">
        <f t="shared" si="9"/>
        <v>357.01074634645704</v>
      </c>
      <c r="T17" s="176">
        <f t="shared" si="10"/>
        <v>5</v>
      </c>
      <c r="U17" s="221">
        <f t="shared" si="11"/>
        <v>0.1808688387635756</v>
      </c>
      <c r="V17" s="221">
        <f t="shared" si="12"/>
        <v>5.2753411306042879E-2</v>
      </c>
      <c r="W17" s="221">
        <f t="shared" si="13"/>
        <v>0.11899265708129973</v>
      </c>
      <c r="X17" s="201">
        <f t="shared" si="14"/>
        <v>350</v>
      </c>
      <c r="Y17" s="451">
        <f t="shared" si="54"/>
        <v>350</v>
      </c>
      <c r="AA17" s="221">
        <f t="shared" si="15"/>
        <v>3.0089079511712309</v>
      </c>
      <c r="AB17" s="177">
        <f t="shared" si="16"/>
        <v>1.9795447047179149</v>
      </c>
      <c r="AC17" s="177">
        <f t="shared" si="17"/>
        <v>2.0846937306036244</v>
      </c>
      <c r="AD17" s="177"/>
      <c r="AE17" s="177">
        <f t="shared" si="18"/>
        <v>0.53947368421052622</v>
      </c>
      <c r="AF17" s="555">
        <f t="shared" si="19"/>
        <v>271.26710291493163</v>
      </c>
      <c r="AG17" s="538">
        <f t="shared" si="20"/>
        <v>0.15482894736842101</v>
      </c>
      <c r="AI17" s="177">
        <f t="shared" si="21"/>
        <v>0.76095178496907356</v>
      </c>
      <c r="AJ17" s="177">
        <f t="shared" si="22"/>
        <v>0.82</v>
      </c>
      <c r="AK17" s="177">
        <f t="shared" si="23"/>
        <v>1.1550097730942466</v>
      </c>
      <c r="AM17" s="555">
        <f t="shared" si="24"/>
        <v>120</v>
      </c>
      <c r="AN17" s="469">
        <f t="shared" si="25"/>
        <v>271.26710291493163</v>
      </c>
      <c r="AP17">
        <f t="shared" si="26"/>
        <v>120</v>
      </c>
      <c r="AQ17" s="469">
        <f t="shared" si="27"/>
        <v>271.26710291493163</v>
      </c>
      <c r="AR17" s="469"/>
      <c r="AS17" s="5">
        <f t="shared" si="55"/>
        <v>3.6864035087719289</v>
      </c>
      <c r="AT17" s="5">
        <f t="shared" si="28"/>
        <v>0.23916666666666661</v>
      </c>
      <c r="AU17" s="5">
        <f t="shared" si="56"/>
        <v>3.4472368421052622</v>
      </c>
      <c r="AV17" s="5">
        <f t="shared" si="29"/>
        <v>0.53947368421052622</v>
      </c>
      <c r="AW17" s="177">
        <f t="shared" si="57"/>
        <v>6.4878048780487807E-2</v>
      </c>
      <c r="AX17" s="177">
        <f t="shared" si="30"/>
        <v>0.63839999999999997</v>
      </c>
      <c r="AY17" s="177">
        <f t="shared" si="31"/>
        <v>0.76679999999999993</v>
      </c>
      <c r="AZ17" s="177">
        <f t="shared" si="58"/>
        <v>0.83255086071987483</v>
      </c>
      <c r="BA17" s="469">
        <f t="shared" si="32"/>
        <v>100.52933910789432</v>
      </c>
      <c r="BB17" s="469">
        <f t="shared" si="33"/>
        <v>0.44969967999999999</v>
      </c>
      <c r="BC17" s="5">
        <f t="shared" si="34"/>
        <v>7.9797149122806971E-2</v>
      </c>
      <c r="BD17" s="469">
        <f t="shared" si="35"/>
        <v>9.6589912280701711</v>
      </c>
      <c r="BE17" s="5"/>
      <c r="BF17" s="177">
        <f t="shared" si="59"/>
        <v>0.12058745097784151</v>
      </c>
      <c r="BG17" s="177">
        <f t="shared" si="36"/>
        <v>0.91562437713289391</v>
      </c>
      <c r="BH17" s="177"/>
      <c r="BI17" s="538">
        <f t="shared" si="37"/>
        <v>1.5995466666666662E-3</v>
      </c>
      <c r="BJ17" s="538">
        <f t="shared" si="38"/>
        <v>3.8526439024390249E-2</v>
      </c>
      <c r="BK17" s="538">
        <f t="shared" si="39"/>
        <v>1.3563355145746581E-2</v>
      </c>
      <c r="BL17" s="538">
        <f t="shared" si="40"/>
        <v>7.3237820916121368E-2</v>
      </c>
      <c r="BM17">
        <f t="shared" si="41"/>
        <v>6.96E-3</v>
      </c>
      <c r="BN17">
        <f t="shared" si="42"/>
        <v>5.1540749553837012E-5</v>
      </c>
      <c r="BO17" s="538">
        <f t="shared" si="43"/>
        <v>0.13419424421936565</v>
      </c>
      <c r="BP17" s="469">
        <f t="shared" si="60"/>
        <v>134.19424421936566</v>
      </c>
      <c r="BQ17" s="538">
        <f t="shared" si="44"/>
        <v>0.10989131520000001</v>
      </c>
      <c r="BR17" s="538"/>
      <c r="BT17" s="469">
        <f t="shared" si="61"/>
        <v>109.89131520000001</v>
      </c>
      <c r="BU17" s="538">
        <f t="shared" si="45"/>
        <v>1.454133333333333E-3</v>
      </c>
      <c r="BV17" s="538">
        <f t="shared" si="46"/>
        <v>2.5151039999999996E-2</v>
      </c>
      <c r="BW17" s="538">
        <f t="shared" si="47"/>
        <v>0</v>
      </c>
      <c r="BX17" s="538">
        <f t="shared" si="48"/>
        <v>2.9861351447832304E-2</v>
      </c>
      <c r="BY17" s="538">
        <f t="shared" si="49"/>
        <v>9.1200000000000014E-3</v>
      </c>
      <c r="BZ17" s="469">
        <f t="shared" si="62"/>
        <v>38.981351447832303</v>
      </c>
      <c r="CA17" s="177">
        <f t="shared" si="63"/>
        <v>0.28306691086719799</v>
      </c>
      <c r="CB17" s="5">
        <f t="shared" si="64"/>
        <v>0.6</v>
      </c>
      <c r="CC17" s="177">
        <f t="shared" si="65"/>
        <v>0.67945021222772584</v>
      </c>
      <c r="CD17" s="5">
        <f t="shared" si="66"/>
        <v>67.945021222772581</v>
      </c>
      <c r="CG17" s="571">
        <f t="shared" si="50"/>
        <v>-50</v>
      </c>
      <c r="CH17">
        <f t="shared" si="51"/>
        <v>-50</v>
      </c>
    </row>
    <row r="18" spans="5:86" x14ac:dyDescent="0.2">
      <c r="E18" s="174">
        <v>13</v>
      </c>
      <c r="F18" s="221">
        <f t="shared" si="52"/>
        <v>0.13</v>
      </c>
      <c r="G18" s="221"/>
      <c r="H18" s="221">
        <f t="shared" si="0"/>
        <v>0.65</v>
      </c>
      <c r="I18" s="551">
        <f t="shared" si="1"/>
        <v>24</v>
      </c>
      <c r="J18" s="176">
        <f t="shared" si="2"/>
        <v>10.64</v>
      </c>
      <c r="K18" s="451">
        <f t="shared" si="3"/>
        <v>34.64</v>
      </c>
      <c r="L18" s="451"/>
      <c r="M18" s="221">
        <f t="shared" si="4"/>
        <v>0.30715935334872979</v>
      </c>
      <c r="N18" s="176">
        <f t="shared" si="5"/>
        <v>13.601016166281754</v>
      </c>
      <c r="O18" s="176">
        <f t="shared" si="53"/>
        <v>0.65</v>
      </c>
      <c r="P18" s="221">
        <f t="shared" si="6"/>
        <v>2.7202032332563508</v>
      </c>
      <c r="Q18" s="221">
        <f t="shared" si="7"/>
        <v>5</v>
      </c>
      <c r="R18" s="221">
        <f t="shared" si="8"/>
        <v>3.0224480369515008</v>
      </c>
      <c r="S18" s="176">
        <f t="shared" si="9"/>
        <v>328.62705822639271</v>
      </c>
      <c r="T18" s="176">
        <f t="shared" si="10"/>
        <v>5</v>
      </c>
      <c r="U18" s="221">
        <f t="shared" si="11"/>
        <v>0.19594124199387358</v>
      </c>
      <c r="V18" s="221">
        <f t="shared" si="12"/>
        <v>5.7149528914879795E-2</v>
      </c>
      <c r="W18" s="221">
        <f t="shared" si="13"/>
        <v>0.12890871183807473</v>
      </c>
      <c r="X18" s="201">
        <f t="shared" si="14"/>
        <v>350</v>
      </c>
      <c r="Y18" s="451">
        <f t="shared" si="54"/>
        <v>350</v>
      </c>
      <c r="AA18" s="221">
        <f t="shared" si="15"/>
        <v>3.0089079511712309</v>
      </c>
      <c r="AB18" s="177">
        <f t="shared" si="16"/>
        <v>1.9795447047179149</v>
      </c>
      <c r="AC18" s="177">
        <f t="shared" si="17"/>
        <v>2.0846937306036244</v>
      </c>
      <c r="AD18" s="177"/>
      <c r="AE18" s="177">
        <f t="shared" si="18"/>
        <v>0.53947368421052622</v>
      </c>
      <c r="AF18" s="555">
        <f t="shared" si="19"/>
        <v>293.87269482450927</v>
      </c>
      <c r="AG18" s="538">
        <f t="shared" si="20"/>
        <v>0.15482894736842101</v>
      </c>
      <c r="AI18" s="177">
        <f t="shared" si="21"/>
        <v>0.79202372900159212</v>
      </c>
      <c r="AJ18" s="177">
        <f t="shared" si="22"/>
        <v>0.82</v>
      </c>
      <c r="AK18" s="177">
        <f t="shared" si="23"/>
        <v>1.167927254185434</v>
      </c>
      <c r="AM18" s="555">
        <f t="shared" si="24"/>
        <v>130</v>
      </c>
      <c r="AN18" s="469">
        <f t="shared" si="25"/>
        <v>293.87269482450927</v>
      </c>
      <c r="AP18">
        <f t="shared" si="26"/>
        <v>130</v>
      </c>
      <c r="AQ18" s="469">
        <f t="shared" si="27"/>
        <v>293.87269482450927</v>
      </c>
      <c r="AR18" s="469"/>
      <c r="AS18" s="5">
        <f t="shared" si="55"/>
        <v>3.4028340080971651</v>
      </c>
      <c r="AT18" s="5">
        <f t="shared" si="28"/>
        <v>0.23916666666666661</v>
      </c>
      <c r="AU18" s="5">
        <f t="shared" si="56"/>
        <v>3.1636673414304983</v>
      </c>
      <c r="AV18" s="5">
        <f t="shared" si="29"/>
        <v>0.53947368421052622</v>
      </c>
      <c r="AW18" s="177">
        <f t="shared" si="57"/>
        <v>7.0284552845528453E-2</v>
      </c>
      <c r="AX18" s="177">
        <f t="shared" si="30"/>
        <v>0.69159999999999999</v>
      </c>
      <c r="AY18" s="177">
        <f t="shared" si="31"/>
        <v>0.76236666666666664</v>
      </c>
      <c r="AZ18" s="177">
        <f t="shared" si="58"/>
        <v>0.90717502514100834</v>
      </c>
      <c r="BA18" s="469">
        <f t="shared" si="32"/>
        <v>100.52933910789432</v>
      </c>
      <c r="BB18" s="469">
        <f t="shared" si="33"/>
        <v>0.49527254111111113</v>
      </c>
      <c r="BC18" s="5">
        <f t="shared" si="34"/>
        <v>7.9335793670132077E-2</v>
      </c>
      <c r="BD18" s="469">
        <f t="shared" si="35"/>
        <v>9.6105730181936302</v>
      </c>
      <c r="BE18" s="5"/>
      <c r="BF18" s="177">
        <f t="shared" si="59"/>
        <v>0.12551139833143088</v>
      </c>
      <c r="BG18" s="177">
        <f t="shared" si="36"/>
        <v>0.91297365180430523</v>
      </c>
      <c r="BH18" s="177"/>
      <c r="BI18" s="538">
        <f t="shared" si="37"/>
        <v>1.732842222222222E-3</v>
      </c>
      <c r="BJ18" s="538">
        <f t="shared" si="38"/>
        <v>4.1736975609756102E-2</v>
      </c>
      <c r="BK18" s="538">
        <f t="shared" si="39"/>
        <v>1.4693634741225464E-2</v>
      </c>
      <c r="BL18" s="538">
        <f t="shared" si="40"/>
        <v>7.9340972659131481E-2</v>
      </c>
      <c r="BM18">
        <f t="shared" si="41"/>
        <v>6.96E-3</v>
      </c>
      <c r="BN18">
        <f t="shared" si="42"/>
        <v>5.5835812016656765E-5</v>
      </c>
      <c r="BO18" s="538">
        <f t="shared" si="43"/>
        <v>0.14480048882030436</v>
      </c>
      <c r="BP18" s="469">
        <f t="shared" si="60"/>
        <v>144.80048882030437</v>
      </c>
      <c r="BQ18" s="538">
        <f t="shared" si="44"/>
        <v>0.11334099591111112</v>
      </c>
      <c r="BR18" s="538"/>
      <c r="BT18" s="469">
        <f t="shared" si="61"/>
        <v>113.34099591111112</v>
      </c>
      <c r="BU18" s="538">
        <f t="shared" si="45"/>
        <v>1.575311111111111E-3</v>
      </c>
      <c r="BV18" s="538">
        <f t="shared" si="46"/>
        <v>2.5005626666666662E-2</v>
      </c>
      <c r="BW18" s="538">
        <f t="shared" si="47"/>
        <v>0</v>
      </c>
      <c r="BX18" s="538">
        <f t="shared" si="48"/>
        <v>2.9834091762053802E-2</v>
      </c>
      <c r="BY18" s="538">
        <f t="shared" si="49"/>
        <v>9.8800000000000016E-3</v>
      </c>
      <c r="BZ18" s="469">
        <f t="shared" si="62"/>
        <v>39.714091762053805</v>
      </c>
      <c r="CA18" s="177">
        <f t="shared" si="63"/>
        <v>0.29785557649346928</v>
      </c>
      <c r="CB18" s="5">
        <f t="shared" si="64"/>
        <v>0.65</v>
      </c>
      <c r="CC18" s="177">
        <f t="shared" si="65"/>
        <v>0.68575848063755995</v>
      </c>
      <c r="CD18" s="5">
        <f t="shared" si="66"/>
        <v>68.575848063755998</v>
      </c>
      <c r="CG18" s="571">
        <f t="shared" si="50"/>
        <v>-50</v>
      </c>
      <c r="CH18">
        <f t="shared" si="51"/>
        <v>-50</v>
      </c>
    </row>
    <row r="19" spans="5:86" x14ac:dyDescent="0.2">
      <c r="E19" s="174">
        <v>14</v>
      </c>
      <c r="F19" s="221">
        <f t="shared" si="52"/>
        <v>0.14000000000000001</v>
      </c>
      <c r="G19" s="221"/>
      <c r="H19" s="221">
        <f t="shared" si="0"/>
        <v>0.70000000000000007</v>
      </c>
      <c r="I19" s="551">
        <f t="shared" si="1"/>
        <v>24</v>
      </c>
      <c r="J19" s="176">
        <f t="shared" si="2"/>
        <v>10.64</v>
      </c>
      <c r="K19" s="451">
        <f t="shared" si="3"/>
        <v>34.64</v>
      </c>
      <c r="L19" s="451"/>
      <c r="M19" s="221">
        <f t="shared" si="4"/>
        <v>0.30715935334872979</v>
      </c>
      <c r="N19" s="176">
        <f t="shared" si="5"/>
        <v>13.601016166281754</v>
      </c>
      <c r="O19" s="176">
        <f t="shared" si="53"/>
        <v>0.70000000000000007</v>
      </c>
      <c r="P19" s="221">
        <f t="shared" si="6"/>
        <v>2.7202032332563508</v>
      </c>
      <c r="Q19" s="221">
        <f t="shared" si="7"/>
        <v>5</v>
      </c>
      <c r="R19" s="221">
        <f t="shared" si="8"/>
        <v>3.0224480369515008</v>
      </c>
      <c r="S19" s="176">
        <f t="shared" si="9"/>
        <v>304.29832022483561</v>
      </c>
      <c r="T19" s="176">
        <f t="shared" si="10"/>
        <v>5</v>
      </c>
      <c r="U19" s="221">
        <f t="shared" si="11"/>
        <v>0.21101364522417154</v>
      </c>
      <c r="V19" s="221">
        <f t="shared" si="12"/>
        <v>6.1545646523716697E-2</v>
      </c>
      <c r="W19" s="221">
        <f t="shared" si="13"/>
        <v>0.13882476659484969</v>
      </c>
      <c r="X19" s="201">
        <f t="shared" si="14"/>
        <v>350</v>
      </c>
      <c r="Y19" s="451">
        <f t="shared" si="54"/>
        <v>350</v>
      </c>
      <c r="AA19" s="221">
        <f t="shared" si="15"/>
        <v>3.0089079511712309</v>
      </c>
      <c r="AB19" s="177">
        <f t="shared" si="16"/>
        <v>1.9795447047179149</v>
      </c>
      <c r="AC19" s="177">
        <f t="shared" si="17"/>
        <v>2.0846937306036244</v>
      </c>
      <c r="AD19" s="177"/>
      <c r="AE19" s="177">
        <f t="shared" si="18"/>
        <v>0.53947368421052622</v>
      </c>
      <c r="AF19" s="555">
        <f t="shared" si="19"/>
        <v>316.47828673408691</v>
      </c>
      <c r="AG19" s="538">
        <f t="shared" si="20"/>
        <v>0.15482894736842101</v>
      </c>
      <c r="AI19" s="177">
        <f t="shared" si="21"/>
        <v>0.82192186706253023</v>
      </c>
      <c r="AJ19" s="177">
        <f t="shared" si="22"/>
        <v>0.82192186706253023</v>
      </c>
      <c r="AK19" s="177">
        <f t="shared" si="23"/>
        <v>1.1808447352766211</v>
      </c>
      <c r="AM19" s="555">
        <f t="shared" si="24"/>
        <v>140</v>
      </c>
      <c r="AN19" s="469">
        <f t="shared" si="25"/>
        <v>316.47828673408691</v>
      </c>
      <c r="AP19">
        <f t="shared" si="26"/>
        <v>140</v>
      </c>
      <c r="AQ19" s="469">
        <f t="shared" si="27"/>
        <v>316.47828673408691</v>
      </c>
      <c r="AR19" s="469"/>
      <c r="AS19" s="5">
        <f t="shared" si="55"/>
        <v>3.1597744360902249</v>
      </c>
      <c r="AT19" s="5">
        <f t="shared" si="28"/>
        <v>0.23972721122657134</v>
      </c>
      <c r="AU19" s="5">
        <f t="shared" si="56"/>
        <v>2.9200472248636538</v>
      </c>
      <c r="AV19" s="5">
        <f t="shared" si="29"/>
        <v>0.54073807043587507</v>
      </c>
      <c r="AW19" s="177">
        <f t="shared" si="57"/>
        <v>7.5868457092525862E-2</v>
      </c>
      <c r="AX19" s="177">
        <f t="shared" si="30"/>
        <v>0.74829532685570765</v>
      </c>
      <c r="AY19" s="177">
        <f t="shared" si="31"/>
        <v>0.7595639231578879</v>
      </c>
      <c r="AZ19" s="177">
        <f t="shared" si="58"/>
        <v>0.98516438714554655</v>
      </c>
      <c r="BA19" s="469">
        <f t="shared" si="32"/>
        <v>100.52933910789432</v>
      </c>
      <c r="BB19" s="469">
        <f t="shared" si="33"/>
        <v>0.54209123111111113</v>
      </c>
      <c r="BC19" s="5">
        <f t="shared" si="34"/>
        <v>7.8859300054188161E-2</v>
      </c>
      <c r="BD19" s="469">
        <f t="shared" si="35"/>
        <v>9.560338228724806</v>
      </c>
      <c r="BE19" s="5"/>
      <c r="BF19" s="177">
        <f t="shared" si="59"/>
        <v>0.13070750766537748</v>
      </c>
      <c r="BG19" s="177">
        <f t="shared" si="36"/>
        <v>0.9123611842359155</v>
      </c>
      <c r="BH19" s="177"/>
      <c r="BI19" s="538">
        <f t="shared" si="37"/>
        <v>1.8792897816104182E-3</v>
      </c>
      <c r="BJ19" s="538">
        <f t="shared" si="38"/>
        <v>4.5052857491744494E-2</v>
      </c>
      <c r="BK19" s="538">
        <f t="shared" si="39"/>
        <v>1.5823914336704346E-2</v>
      </c>
      <c r="BL19" s="538">
        <f t="shared" si="40"/>
        <v>8.5444124402141594E-2</v>
      </c>
      <c r="BM19">
        <f t="shared" si="41"/>
        <v>6.96E-3</v>
      </c>
      <c r="BN19">
        <f t="shared" si="42"/>
        <v>6.0130874479476518E-5</v>
      </c>
      <c r="BO19" s="538">
        <f t="shared" si="43"/>
        <v>0.15552794705126183</v>
      </c>
      <c r="BP19" s="469">
        <f t="shared" si="60"/>
        <v>155.52794705126183</v>
      </c>
      <c r="BQ19" s="538">
        <f t="shared" si="44"/>
        <v>0.11707558389022768</v>
      </c>
      <c r="BR19" s="538"/>
      <c r="BT19" s="469">
        <f t="shared" si="61"/>
        <v>117.07558389022768</v>
      </c>
      <c r="BU19" s="538">
        <f t="shared" si="45"/>
        <v>1.7084452560094711E-3</v>
      </c>
      <c r="BV19" s="538">
        <f t="shared" si="46"/>
        <v>2.4972087915010866E-2</v>
      </c>
      <c r="BW19" s="538">
        <f t="shared" si="47"/>
        <v>0</v>
      </c>
      <c r="BX19" s="538">
        <f t="shared" si="48"/>
        <v>2.9946115417602181E-2</v>
      </c>
      <c r="BY19" s="538">
        <f t="shared" si="49"/>
        <v>1.0689933240795826E-2</v>
      </c>
      <c r="BZ19" s="469">
        <f t="shared" si="62"/>
        <v>40.636048658398011</v>
      </c>
      <c r="CA19" s="177">
        <f t="shared" si="63"/>
        <v>0.31323957959988746</v>
      </c>
      <c r="CB19" s="5">
        <f t="shared" si="64"/>
        <v>0.70000000000000007</v>
      </c>
      <c r="CC19" s="177">
        <f t="shared" si="65"/>
        <v>0.69085339153097336</v>
      </c>
      <c r="CD19" s="5">
        <f t="shared" si="66"/>
        <v>69.085339153097337</v>
      </c>
      <c r="CG19" s="571">
        <f t="shared" si="50"/>
        <v>-50</v>
      </c>
      <c r="CH19">
        <f t="shared" si="51"/>
        <v>-50</v>
      </c>
    </row>
    <row r="20" spans="5:86" x14ac:dyDescent="0.2">
      <c r="E20" s="174">
        <v>15</v>
      </c>
      <c r="F20" s="221">
        <f t="shared" si="52"/>
        <v>0.15</v>
      </c>
      <c r="G20" s="221"/>
      <c r="H20" s="221">
        <f t="shared" si="0"/>
        <v>0.75</v>
      </c>
      <c r="I20" s="551">
        <f t="shared" si="1"/>
        <v>24</v>
      </c>
      <c r="J20" s="176">
        <f t="shared" si="2"/>
        <v>10.64</v>
      </c>
      <c r="K20" s="451">
        <f t="shared" si="3"/>
        <v>34.64</v>
      </c>
      <c r="L20" s="451"/>
      <c r="M20" s="221">
        <f t="shared" si="4"/>
        <v>0.30715935334872979</v>
      </c>
      <c r="N20" s="176">
        <f t="shared" si="5"/>
        <v>13.601016166281754</v>
      </c>
      <c r="O20" s="176">
        <f t="shared" si="53"/>
        <v>0.75</v>
      </c>
      <c r="P20" s="221">
        <f t="shared" si="6"/>
        <v>2.7202032332563508</v>
      </c>
      <c r="Q20" s="221">
        <f t="shared" si="7"/>
        <v>5</v>
      </c>
      <c r="R20" s="221">
        <f t="shared" si="8"/>
        <v>3.0224480369515008</v>
      </c>
      <c r="S20" s="176">
        <f t="shared" si="9"/>
        <v>283.21354337110995</v>
      </c>
      <c r="T20" s="176">
        <f t="shared" si="10"/>
        <v>5</v>
      </c>
      <c r="U20" s="221">
        <f t="shared" si="11"/>
        <v>0.2260860484544695</v>
      </c>
      <c r="V20" s="221">
        <f t="shared" si="12"/>
        <v>6.5941764132553607E-2</v>
      </c>
      <c r="W20" s="221">
        <f t="shared" si="13"/>
        <v>0.14874082135162467</v>
      </c>
      <c r="X20" s="201">
        <f t="shared" si="14"/>
        <v>350</v>
      </c>
      <c r="Y20" s="451">
        <f t="shared" si="54"/>
        <v>350</v>
      </c>
      <c r="AA20" s="221">
        <f t="shared" si="15"/>
        <v>3.0089079511712309</v>
      </c>
      <c r="AB20" s="177">
        <f t="shared" si="16"/>
        <v>1.9795447047179149</v>
      </c>
      <c r="AC20" s="177">
        <f t="shared" si="17"/>
        <v>2.0846937306036244</v>
      </c>
      <c r="AD20" s="177"/>
      <c r="AE20" s="177">
        <f t="shared" si="18"/>
        <v>0.53947368421052622</v>
      </c>
      <c r="AF20" s="555">
        <f t="shared" si="19"/>
        <v>339.08387864366455</v>
      </c>
      <c r="AG20" s="538">
        <f t="shared" si="20"/>
        <v>0.15482894736842101</v>
      </c>
      <c r="AI20" s="177">
        <f t="shared" si="21"/>
        <v>0.85076995939532551</v>
      </c>
      <c r="AJ20" s="177">
        <f t="shared" si="22"/>
        <v>0.85076995939532551</v>
      </c>
      <c r="AK20" s="177">
        <f t="shared" si="23"/>
        <v>1.1937622163678083</v>
      </c>
      <c r="AM20" s="555">
        <f t="shared" si="24"/>
        <v>150</v>
      </c>
      <c r="AN20" s="469">
        <f t="shared" si="25"/>
        <v>339.08387864366455</v>
      </c>
      <c r="AP20">
        <f t="shared" si="26"/>
        <v>150</v>
      </c>
      <c r="AQ20" s="469">
        <f t="shared" si="27"/>
        <v>339.08387864366455</v>
      </c>
      <c r="AR20" s="469"/>
      <c r="AS20" s="5">
        <f t="shared" si="55"/>
        <v>2.9491228070175435</v>
      </c>
      <c r="AT20" s="5">
        <f t="shared" si="28"/>
        <v>0.24814123815696995</v>
      </c>
      <c r="AU20" s="5">
        <f t="shared" si="56"/>
        <v>2.7009815688605734</v>
      </c>
      <c r="AV20" s="5">
        <f t="shared" si="29"/>
        <v>0.55971707854955632</v>
      </c>
      <c r="AW20" s="177">
        <f t="shared" si="57"/>
        <v>8.4140693485706658E-2</v>
      </c>
      <c r="AX20" s="177">
        <f t="shared" si="30"/>
        <v>0.85901249256395018</v>
      </c>
      <c r="AY20" s="177">
        <f t="shared" si="31"/>
        <v>0.77918558501499635</v>
      </c>
      <c r="AZ20" s="177">
        <f t="shared" si="58"/>
        <v>1.1024491585626772</v>
      </c>
      <c r="BA20" s="469">
        <f t="shared" si="32"/>
        <v>100.52933910789432</v>
      </c>
      <c r="BB20" s="469">
        <f t="shared" si="33"/>
        <v>0.59015574999999998</v>
      </c>
      <c r="BC20" s="5">
        <f t="shared" si="34"/>
        <v>7.8153401876752682E-2</v>
      </c>
      <c r="BD20" s="469">
        <f t="shared" si="35"/>
        <v>9.4825748918769914</v>
      </c>
      <c r="BE20" s="5"/>
      <c r="BF20" s="177">
        <f t="shared" si="59"/>
        <v>0.14248021533402738</v>
      </c>
      <c r="BG20" s="177">
        <f t="shared" si="36"/>
        <v>0.9401472852871734</v>
      </c>
      <c r="BH20" s="177"/>
      <c r="BI20" s="538">
        <f t="shared" si="37"/>
        <v>2.2330672937793893E-3</v>
      </c>
      <c r="BJ20" s="538">
        <f t="shared" si="38"/>
        <v>4.9965147811626497E-2</v>
      </c>
      <c r="BK20" s="538">
        <f t="shared" si="39"/>
        <v>1.6954193932183226E-2</v>
      </c>
      <c r="BL20" s="538">
        <f t="shared" si="40"/>
        <v>9.1547276145151707E-2</v>
      </c>
      <c r="BM20">
        <f t="shared" si="41"/>
        <v>6.96E-3</v>
      </c>
      <c r="BN20">
        <f t="shared" si="42"/>
        <v>6.4425936942296271E-5</v>
      </c>
      <c r="BO20" s="538">
        <f t="shared" si="43"/>
        <v>0.16809483042840467</v>
      </c>
      <c r="BP20" s="469">
        <f t="shared" si="60"/>
        <v>168.09483042840466</v>
      </c>
      <c r="BQ20" s="538">
        <f t="shared" si="44"/>
        <v>0.12482819653770914</v>
      </c>
      <c r="BR20" s="538"/>
      <c r="BT20" s="469">
        <f t="shared" si="61"/>
        <v>124.82819653770915</v>
      </c>
      <c r="BU20" s="538">
        <f t="shared" si="45"/>
        <v>2.0300611761630812E-3</v>
      </c>
      <c r="BV20" s="538">
        <f t="shared" si="46"/>
        <v>2.6516307540985256E-2</v>
      </c>
      <c r="BW20" s="538">
        <f t="shared" si="47"/>
        <v>0</v>
      </c>
      <c r="BX20" s="538">
        <f t="shared" si="48"/>
        <v>3.2045114695981723E-2</v>
      </c>
      <c r="BY20" s="538">
        <f t="shared" si="49"/>
        <v>1.2271607036627859E-2</v>
      </c>
      <c r="BZ20" s="469">
        <f t="shared" si="62"/>
        <v>44.316721732609579</v>
      </c>
      <c r="CA20" s="177">
        <f t="shared" si="63"/>
        <v>0.33723974869872342</v>
      </c>
      <c r="CB20" s="5">
        <f t="shared" si="64"/>
        <v>0.75</v>
      </c>
      <c r="CC20" s="177">
        <f t="shared" si="65"/>
        <v>0.6898202543621561</v>
      </c>
      <c r="CD20" s="5">
        <f t="shared" si="66"/>
        <v>68.982025436215608</v>
      </c>
      <c r="CG20" s="571">
        <f t="shared" si="50"/>
        <v>-50</v>
      </c>
      <c r="CH20">
        <f t="shared" si="51"/>
        <v>-50</v>
      </c>
    </row>
    <row r="21" spans="5:86" s="77" customFormat="1" x14ac:dyDescent="0.2">
      <c r="E21" s="193">
        <v>16</v>
      </c>
      <c r="F21" s="333">
        <f t="shared" si="52"/>
        <v>0.16</v>
      </c>
      <c r="G21" s="221"/>
      <c r="H21" s="221">
        <f t="shared" si="0"/>
        <v>0.8</v>
      </c>
      <c r="I21" s="551">
        <f t="shared" si="1"/>
        <v>24</v>
      </c>
      <c r="J21" s="176">
        <f t="shared" si="2"/>
        <v>10.64</v>
      </c>
      <c r="K21" s="545">
        <f t="shared" si="3"/>
        <v>34.64</v>
      </c>
      <c r="L21" s="545"/>
      <c r="M21" s="333">
        <f t="shared" si="4"/>
        <v>0.30715935334872979</v>
      </c>
      <c r="N21" s="176">
        <f t="shared" si="5"/>
        <v>13.601016166281754</v>
      </c>
      <c r="O21" s="176">
        <f t="shared" si="53"/>
        <v>0.8</v>
      </c>
      <c r="P21" s="333">
        <f t="shared" si="6"/>
        <v>2.7202032332563508</v>
      </c>
      <c r="Q21" s="221">
        <f t="shared" si="7"/>
        <v>5</v>
      </c>
      <c r="R21" s="221">
        <f t="shared" si="8"/>
        <v>3.0224480369515008</v>
      </c>
      <c r="S21" s="176">
        <f t="shared" si="9"/>
        <v>264.76448594770176</v>
      </c>
      <c r="T21" s="176">
        <f t="shared" si="10"/>
        <v>5</v>
      </c>
      <c r="U21" s="221">
        <f t="shared" si="11"/>
        <v>0.24115845168476749</v>
      </c>
      <c r="V21" s="333">
        <f t="shared" si="12"/>
        <v>7.0337881741390523E-2</v>
      </c>
      <c r="W21" s="221">
        <f t="shared" si="13"/>
        <v>0.15865687610839965</v>
      </c>
      <c r="X21" s="547">
        <f t="shared" si="14"/>
        <v>350</v>
      </c>
      <c r="Y21" s="545">
        <f t="shared" si="54"/>
        <v>350</v>
      </c>
      <c r="AA21" s="333">
        <f t="shared" si="15"/>
        <v>3.0089079511712309</v>
      </c>
      <c r="AB21" s="177">
        <f t="shared" si="16"/>
        <v>1.9795447047179149</v>
      </c>
      <c r="AC21" s="548">
        <f t="shared" si="17"/>
        <v>2.0846937306036244</v>
      </c>
      <c r="AD21" s="548"/>
      <c r="AE21" s="177">
        <f t="shared" si="18"/>
        <v>0.53947368421052622</v>
      </c>
      <c r="AF21" s="555">
        <f t="shared" si="19"/>
        <v>361.68947055324219</v>
      </c>
      <c r="AG21" s="538">
        <f t="shared" si="20"/>
        <v>0.15482894736842101</v>
      </c>
      <c r="AH21"/>
      <c r="AI21" s="177">
        <f t="shared" si="21"/>
        <v>0.87867143578444173</v>
      </c>
      <c r="AJ21" s="177">
        <f t="shared" si="22"/>
        <v>0.87867143578444173</v>
      </c>
      <c r="AK21" s="177">
        <f t="shared" si="23"/>
        <v>1.2391142905229611</v>
      </c>
      <c r="AM21" s="555">
        <f t="shared" si="24"/>
        <v>160</v>
      </c>
      <c r="AN21" s="469">
        <f t="shared" si="25"/>
        <v>350</v>
      </c>
      <c r="AP21">
        <f t="shared" si="26"/>
        <v>160</v>
      </c>
      <c r="AQ21" s="469">
        <f t="shared" si="27"/>
        <v>350</v>
      </c>
      <c r="AR21" s="469"/>
      <c r="AS21" s="5">
        <f t="shared" si="55"/>
        <v>2.8571428571428572</v>
      </c>
      <c r="AT21" s="5">
        <f t="shared" si="28"/>
        <v>0.2562791687704622</v>
      </c>
      <c r="AU21" s="5">
        <f t="shared" si="56"/>
        <v>2.600863688372395</v>
      </c>
      <c r="AV21" s="5">
        <f t="shared" si="29"/>
        <v>0.57807331301608011</v>
      </c>
      <c r="AW21" s="177">
        <f t="shared" si="57"/>
        <v>8.9697709069661763E-2</v>
      </c>
      <c r="AX21" s="177">
        <f t="shared" si="30"/>
        <v>0.94577777777777805</v>
      </c>
      <c r="AY21" s="177">
        <f t="shared" si="31"/>
        <v>0.79985662096962684</v>
      </c>
      <c r="AZ21" s="177">
        <f t="shared" si="58"/>
        <v>1.182434142548271</v>
      </c>
      <c r="BA21" s="469">
        <f t="shared" si="32"/>
        <v>100.52933910789432</v>
      </c>
      <c r="BB21" s="469">
        <f t="shared" si="33"/>
        <v>0.63946609777777774</v>
      </c>
      <c r="BC21" s="5">
        <f t="shared" si="34"/>
        <v>8.0273570628777616E-2</v>
      </c>
      <c r="BD21" s="469">
        <f t="shared" si="35"/>
        <v>9.7439395865644247</v>
      </c>
      <c r="BE21" s="5"/>
      <c r="BF21" s="177">
        <f t="shared" si="59"/>
        <v>0.15193455443536452</v>
      </c>
      <c r="BG21" s="177">
        <f t="shared" si="36"/>
        <v>0.96802972789687547</v>
      </c>
      <c r="BH21" s="177"/>
      <c r="BI21" s="538">
        <f t="shared" si="37"/>
        <v>2.5392519714620017E-3</v>
      </c>
      <c r="BJ21" s="538">
        <f t="shared" si="38"/>
        <v>5.3265062437252861E-2</v>
      </c>
      <c r="BK21" s="538">
        <f t="shared" si="39"/>
        <v>1.7499999999999998E-2</v>
      </c>
      <c r="BL21" s="538">
        <f t="shared" si="40"/>
        <v>9.4494456000000004E-2</v>
      </c>
      <c r="BM21">
        <f t="shared" si="41"/>
        <v>6.96E-3</v>
      </c>
      <c r="BN21">
        <f t="shared" si="42"/>
        <v>6.6500000000000004E-5</v>
      </c>
      <c r="BO21" s="538">
        <f t="shared" si="43"/>
        <v>0.17525017272680912</v>
      </c>
      <c r="BP21" s="469">
        <f t="shared" si="60"/>
        <v>175.25017272680913</v>
      </c>
      <c r="BQ21" s="538">
        <f t="shared" si="44"/>
        <v>0.13271303073263635</v>
      </c>
      <c r="BR21" s="538"/>
      <c r="BT21" s="469">
        <f t="shared" si="61"/>
        <v>132.71303073263635</v>
      </c>
      <c r="BU21" s="538">
        <f t="shared" si="45"/>
        <v>2.3084108831472744E-3</v>
      </c>
      <c r="BV21" s="538">
        <f t="shared" si="46"/>
        <v>2.8112446622762962E-2</v>
      </c>
      <c r="BW21" s="538">
        <f t="shared" si="47"/>
        <v>0</v>
      </c>
      <c r="BX21" s="538">
        <f t="shared" si="48"/>
        <v>3.4154481094825384E-2</v>
      </c>
      <c r="BY21" s="538">
        <f t="shared" si="49"/>
        <v>1.3511111111111116E-2</v>
      </c>
      <c r="BZ21" s="469">
        <f t="shared" si="62"/>
        <v>47.665592205936498</v>
      </c>
      <c r="CA21" s="177">
        <f t="shared" si="63"/>
        <v>0.35562879566538202</v>
      </c>
      <c r="CB21" s="5">
        <f t="shared" si="64"/>
        <v>0.8</v>
      </c>
      <c r="CC21" s="177">
        <f t="shared" si="65"/>
        <v>0.69226381602872755</v>
      </c>
      <c r="CD21" s="5">
        <f t="shared" si="66"/>
        <v>69.226381602872749</v>
      </c>
      <c r="CG21" s="571">
        <f t="shared" si="50"/>
        <v>-50</v>
      </c>
      <c r="CH21">
        <f t="shared" si="51"/>
        <v>-50</v>
      </c>
    </row>
    <row r="22" spans="5:86" x14ac:dyDescent="0.2">
      <c r="E22" s="174">
        <v>17</v>
      </c>
      <c r="F22" s="221">
        <f t="shared" si="52"/>
        <v>0.17</v>
      </c>
      <c r="G22" s="221"/>
      <c r="H22" s="221">
        <f t="shared" si="0"/>
        <v>0.85000000000000009</v>
      </c>
      <c r="I22" s="551">
        <f t="shared" si="1"/>
        <v>24</v>
      </c>
      <c r="J22" s="176">
        <f t="shared" si="2"/>
        <v>10.64</v>
      </c>
      <c r="K22" s="451">
        <f t="shared" si="3"/>
        <v>34.64</v>
      </c>
      <c r="L22" s="451"/>
      <c r="M22" s="221">
        <f t="shared" si="4"/>
        <v>0.30715935334872979</v>
      </c>
      <c r="N22" s="176">
        <f t="shared" si="5"/>
        <v>13.601016166281754</v>
      </c>
      <c r="O22" s="176">
        <f t="shared" si="53"/>
        <v>0.85000000000000009</v>
      </c>
      <c r="P22" s="221">
        <f t="shared" si="6"/>
        <v>2.7202032332563508</v>
      </c>
      <c r="Q22" s="221">
        <f t="shared" si="7"/>
        <v>5</v>
      </c>
      <c r="R22" s="221">
        <f t="shared" si="8"/>
        <v>3.0224480369515008</v>
      </c>
      <c r="S22" s="176">
        <f t="shared" si="9"/>
        <v>248.48602194533848</v>
      </c>
      <c r="T22" s="176">
        <f t="shared" si="10"/>
        <v>5</v>
      </c>
      <c r="U22" s="221">
        <f t="shared" si="11"/>
        <v>0.25623085491506548</v>
      </c>
      <c r="V22" s="221">
        <f t="shared" si="12"/>
        <v>7.473399935022744E-2</v>
      </c>
      <c r="W22" s="221">
        <f t="shared" si="13"/>
        <v>0.16857293086517464</v>
      </c>
      <c r="X22" s="201">
        <f t="shared" si="14"/>
        <v>350</v>
      </c>
      <c r="Y22" s="451">
        <f t="shared" si="54"/>
        <v>350</v>
      </c>
      <c r="AA22" s="221">
        <f t="shared" si="15"/>
        <v>3.0089079511712309</v>
      </c>
      <c r="AB22" s="177">
        <f t="shared" si="16"/>
        <v>1.9795447047179149</v>
      </c>
      <c r="AC22" s="177">
        <f t="shared" si="17"/>
        <v>2.0846937306036244</v>
      </c>
      <c r="AD22" s="177"/>
      <c r="AE22" s="177">
        <f t="shared" si="18"/>
        <v>0.53947368421052622</v>
      </c>
      <c r="AF22" s="555">
        <f t="shared" si="19"/>
        <v>384.29506246281983</v>
      </c>
      <c r="AG22" s="538">
        <f t="shared" si="20"/>
        <v>0.15482894736842101</v>
      </c>
      <c r="AI22" s="177">
        <f t="shared" si="21"/>
        <v>0.90571378498809463</v>
      </c>
      <c r="AJ22" s="177">
        <f t="shared" si="22"/>
        <v>0.90571378498809463</v>
      </c>
      <c r="AK22" s="177">
        <f t="shared" si="23"/>
        <v>1.2571425233253963</v>
      </c>
      <c r="AM22" s="555">
        <f t="shared" si="24"/>
        <v>170</v>
      </c>
      <c r="AN22" s="469">
        <f t="shared" si="25"/>
        <v>350</v>
      </c>
      <c r="AP22">
        <f t="shared" si="26"/>
        <v>170</v>
      </c>
      <c r="AQ22" s="469">
        <f t="shared" si="27"/>
        <v>350</v>
      </c>
      <c r="AR22" s="469"/>
      <c r="AS22" s="5">
        <f t="shared" si="55"/>
        <v>2.8571428571428572</v>
      </c>
      <c r="AT22" s="5">
        <f t="shared" si="28"/>
        <v>0.26416652062152757</v>
      </c>
      <c r="AU22" s="5">
        <f t="shared" si="56"/>
        <v>2.5929763365213296</v>
      </c>
      <c r="AV22" s="5">
        <f t="shared" si="29"/>
        <v>0.59586433222900947</v>
      </c>
      <c r="AW22" s="177">
        <f t="shared" si="57"/>
        <v>9.2458282217534646E-2</v>
      </c>
      <c r="AX22" s="177">
        <f t="shared" si="30"/>
        <v>1.0048888888888892</v>
      </c>
      <c r="AY22" s="177">
        <f t="shared" si="31"/>
        <v>0.82197304424735396</v>
      </c>
      <c r="AZ22" s="177">
        <f t="shared" si="58"/>
        <v>1.2225326559328031</v>
      </c>
      <c r="BA22" s="469">
        <f t="shared" si="32"/>
        <v>100.52933910789432</v>
      </c>
      <c r="BB22" s="469">
        <f t="shared" si="33"/>
        <v>0.69002227444444442</v>
      </c>
      <c r="BC22" s="5">
        <f t="shared" si="34"/>
        <v>8.5032017208454089E-2</v>
      </c>
      <c r="BD22" s="469">
        <f t="shared" si="35"/>
        <v>10.32189762057005</v>
      </c>
      <c r="BE22" s="5"/>
      <c r="BF22" s="177">
        <f t="shared" si="59"/>
        <v>0.15900224658161599</v>
      </c>
      <c r="BG22" s="177">
        <f t="shared" si="36"/>
        <v>0.99630806284231677</v>
      </c>
      <c r="BH22" s="177"/>
      <c r="BI22" s="538">
        <f t="shared" si="37"/>
        <v>2.7809885859801115E-3</v>
      </c>
      <c r="BJ22" s="538">
        <f t="shared" si="38"/>
        <v>5.49043696459783E-2</v>
      </c>
      <c r="BK22" s="538">
        <f t="shared" si="39"/>
        <v>1.7499999999999998E-2</v>
      </c>
      <c r="BL22" s="538">
        <f t="shared" si="40"/>
        <v>9.4494456000000004E-2</v>
      </c>
      <c r="BM22">
        <f t="shared" si="41"/>
        <v>6.96E-3</v>
      </c>
      <c r="BN22">
        <f t="shared" si="42"/>
        <v>6.6500000000000004E-5</v>
      </c>
      <c r="BO22" s="538">
        <f t="shared" si="43"/>
        <v>0.17717265363208923</v>
      </c>
      <c r="BP22" s="469">
        <f t="shared" si="60"/>
        <v>177.17265363208924</v>
      </c>
      <c r="BQ22" s="538">
        <f t="shared" si="44"/>
        <v>0.1407769133648642</v>
      </c>
      <c r="BR22" s="538"/>
      <c r="BT22" s="469">
        <f t="shared" si="61"/>
        <v>140.77691336486419</v>
      </c>
      <c r="BU22" s="538">
        <f t="shared" si="45"/>
        <v>2.5281714418001013E-3</v>
      </c>
      <c r="BV22" s="538">
        <f t="shared" si="46"/>
        <v>2.9778892682538291E-2</v>
      </c>
      <c r="BW22" s="538">
        <f t="shared" si="47"/>
        <v>0</v>
      </c>
      <c r="BX22" s="538">
        <f t="shared" si="48"/>
        <v>3.6277673830035703E-2</v>
      </c>
      <c r="BY22" s="538">
        <f t="shared" si="49"/>
        <v>1.4355555555555561E-2</v>
      </c>
      <c r="BZ22" s="469">
        <f t="shared" si="62"/>
        <v>50.633229385591264</v>
      </c>
      <c r="CA22" s="177">
        <f t="shared" si="63"/>
        <v>0.36858279638254471</v>
      </c>
      <c r="CB22" s="5">
        <f t="shared" si="64"/>
        <v>0.85000000000000009</v>
      </c>
      <c r="CC22" s="177">
        <f t="shared" si="65"/>
        <v>0.69753159368677231</v>
      </c>
      <c r="CD22" s="5">
        <f t="shared" si="66"/>
        <v>69.753159368677231</v>
      </c>
      <c r="CG22" s="571">
        <f t="shared" si="50"/>
        <v>-50</v>
      </c>
      <c r="CH22">
        <f t="shared" si="51"/>
        <v>-50</v>
      </c>
    </row>
    <row r="23" spans="5:86" x14ac:dyDescent="0.2">
      <c r="E23" s="174">
        <v>18</v>
      </c>
      <c r="F23" s="221">
        <f t="shared" si="52"/>
        <v>0.18</v>
      </c>
      <c r="G23" s="221"/>
      <c r="H23" s="221">
        <f t="shared" si="0"/>
        <v>0.89999999999999991</v>
      </c>
      <c r="I23" s="551">
        <f t="shared" si="1"/>
        <v>24</v>
      </c>
      <c r="J23" s="176">
        <f t="shared" si="2"/>
        <v>10.64</v>
      </c>
      <c r="K23" s="451">
        <f t="shared" si="3"/>
        <v>34.64</v>
      </c>
      <c r="L23" s="451"/>
      <c r="M23" s="221">
        <f t="shared" si="4"/>
        <v>0.30715935334872979</v>
      </c>
      <c r="N23" s="176">
        <f t="shared" si="5"/>
        <v>13.601016166281754</v>
      </c>
      <c r="O23" s="176">
        <f t="shared" si="53"/>
        <v>0.89999999999999991</v>
      </c>
      <c r="P23" s="221">
        <f t="shared" si="6"/>
        <v>2.7202032332563508</v>
      </c>
      <c r="Q23" s="221">
        <f t="shared" si="7"/>
        <v>5</v>
      </c>
      <c r="R23" s="221">
        <f t="shared" si="8"/>
        <v>3.0224480369515008</v>
      </c>
      <c r="S23" s="176">
        <f t="shared" si="9"/>
        <v>234.01638669971013</v>
      </c>
      <c r="T23" s="176">
        <f t="shared" si="10"/>
        <v>5</v>
      </c>
      <c r="U23" s="221">
        <f t="shared" si="11"/>
        <v>0.27130325814536338</v>
      </c>
      <c r="V23" s="221">
        <f t="shared" si="12"/>
        <v>7.9130116959064314E-2</v>
      </c>
      <c r="W23" s="221">
        <f t="shared" si="13"/>
        <v>0.17848898562194956</v>
      </c>
      <c r="X23" s="201">
        <f t="shared" si="14"/>
        <v>350</v>
      </c>
      <c r="Y23" s="451">
        <f t="shared" si="54"/>
        <v>350</v>
      </c>
      <c r="AA23" s="221">
        <f t="shared" si="15"/>
        <v>3.0089079511712309</v>
      </c>
      <c r="AB23" s="177">
        <f t="shared" si="16"/>
        <v>1.9795447047179149</v>
      </c>
      <c r="AC23" s="177">
        <f t="shared" si="17"/>
        <v>2.0846937306036244</v>
      </c>
      <c r="AD23" s="177"/>
      <c r="AE23" s="177">
        <f t="shared" si="18"/>
        <v>0.53947368421052622</v>
      </c>
      <c r="AF23" s="555">
        <f t="shared" si="19"/>
        <v>406.90065437239747</v>
      </c>
      <c r="AG23" s="538">
        <f t="shared" si="20"/>
        <v>0.15482894736842101</v>
      </c>
      <c r="AI23" s="177">
        <f t="shared" si="21"/>
        <v>0.93197179601714808</v>
      </c>
      <c r="AJ23" s="177">
        <f t="shared" si="22"/>
        <v>0.93197179601714808</v>
      </c>
      <c r="AK23" s="177">
        <f t="shared" si="23"/>
        <v>1.274647864011432</v>
      </c>
      <c r="AM23" s="555">
        <f t="shared" si="24"/>
        <v>180</v>
      </c>
      <c r="AN23" s="469">
        <f t="shared" si="25"/>
        <v>350</v>
      </c>
      <c r="AP23">
        <f t="shared" si="26"/>
        <v>180</v>
      </c>
      <c r="AQ23" s="469">
        <f t="shared" si="27"/>
        <v>350</v>
      </c>
      <c r="AR23" s="469"/>
      <c r="AS23" s="5">
        <f t="shared" si="55"/>
        <v>2.8571428571428572</v>
      </c>
      <c r="AT23" s="5">
        <f t="shared" si="28"/>
        <v>0.27182510717166819</v>
      </c>
      <c r="AU23" s="5">
        <f t="shared" si="56"/>
        <v>2.585317749971189</v>
      </c>
      <c r="AV23" s="5">
        <f t="shared" si="29"/>
        <v>0.61313933948496568</v>
      </c>
      <c r="AW23" s="177">
        <f t="shared" si="57"/>
        <v>9.5138787510083866E-2</v>
      </c>
      <c r="AX23" s="177">
        <f t="shared" si="30"/>
        <v>1.0640000000000001</v>
      </c>
      <c r="AY23" s="177">
        <f t="shared" si="31"/>
        <v>0.84330512935048141</v>
      </c>
      <c r="AZ23" s="177">
        <f t="shared" si="58"/>
        <v>1.2617022747383253</v>
      </c>
      <c r="BA23" s="469">
        <f t="shared" si="32"/>
        <v>100.52933910789432</v>
      </c>
      <c r="BB23" s="469">
        <f t="shared" si="33"/>
        <v>0.74182428</v>
      </c>
      <c r="BC23" s="5">
        <f t="shared" si="34"/>
        <v>8.9767977429555154E-2</v>
      </c>
      <c r="BD23" s="469">
        <f t="shared" si="35"/>
        <v>10.897157291546621</v>
      </c>
      <c r="BE23" s="5"/>
      <c r="BF23" s="177">
        <f t="shared" si="59"/>
        <v>0.16596669603687275</v>
      </c>
      <c r="BG23" s="177">
        <f t="shared" si="36"/>
        <v>1.0236774205391341</v>
      </c>
      <c r="BH23" s="177"/>
      <c r="BI23" s="538">
        <f t="shared" si="37"/>
        <v>3.0299438612735284E-3</v>
      </c>
      <c r="BJ23" s="538">
        <f t="shared" si="38"/>
        <v>5.649613027455952E-2</v>
      </c>
      <c r="BK23" s="538">
        <f t="shared" si="39"/>
        <v>1.7499999999999998E-2</v>
      </c>
      <c r="BL23" s="538">
        <f t="shared" si="40"/>
        <v>9.4494456000000004E-2</v>
      </c>
      <c r="BM23">
        <f t="shared" si="41"/>
        <v>6.96E-3</v>
      </c>
      <c r="BN23">
        <f t="shared" si="42"/>
        <v>6.6500000000000004E-5</v>
      </c>
      <c r="BO23" s="538">
        <f t="shared" si="43"/>
        <v>0.17905616936815644</v>
      </c>
      <c r="BP23" s="469">
        <f t="shared" si="60"/>
        <v>179.05616936815645</v>
      </c>
      <c r="BQ23" s="538">
        <f t="shared" si="44"/>
        <v>0.14882074124497446</v>
      </c>
      <c r="BR23" s="538"/>
      <c r="BT23" s="469">
        <f t="shared" si="61"/>
        <v>148.82074124497447</v>
      </c>
      <c r="BU23" s="538">
        <f t="shared" si="45"/>
        <v>2.7544944193395714E-3</v>
      </c>
      <c r="BV23" s="538">
        <f t="shared" si="46"/>
        <v>3.1437463839649654E-2</v>
      </c>
      <c r="BW23" s="538">
        <f t="shared" si="47"/>
        <v>0</v>
      </c>
      <c r="BX23" s="538">
        <f t="shared" si="48"/>
        <v>3.8400031030719636E-2</v>
      </c>
      <c r="BY23" s="538">
        <f t="shared" si="49"/>
        <v>1.5200000000000003E-2</v>
      </c>
      <c r="BZ23" s="469">
        <f t="shared" si="62"/>
        <v>53.600031030719641</v>
      </c>
      <c r="CA23" s="177">
        <f t="shared" si="63"/>
        <v>0.38147694164385054</v>
      </c>
      <c r="CB23" s="5">
        <f t="shared" si="64"/>
        <v>0.89999999999999991</v>
      </c>
      <c r="CC23" s="177">
        <f t="shared" si="65"/>
        <v>0.70231462678173484</v>
      </c>
      <c r="CD23" s="5">
        <f t="shared" si="66"/>
        <v>70.231462678173486</v>
      </c>
      <c r="CG23" s="571">
        <f t="shared" si="50"/>
        <v>-50</v>
      </c>
      <c r="CH23">
        <f t="shared" si="51"/>
        <v>-50</v>
      </c>
    </row>
    <row r="24" spans="5:86" x14ac:dyDescent="0.2">
      <c r="E24" s="174">
        <v>19</v>
      </c>
      <c r="F24" s="221">
        <f t="shared" si="52"/>
        <v>0.19</v>
      </c>
      <c r="G24" s="221"/>
      <c r="H24" s="221">
        <f t="shared" si="0"/>
        <v>0.95</v>
      </c>
      <c r="I24" s="551">
        <f t="shared" si="1"/>
        <v>24</v>
      </c>
      <c r="J24" s="176">
        <f t="shared" si="2"/>
        <v>10.64</v>
      </c>
      <c r="K24" s="451">
        <f t="shared" si="3"/>
        <v>34.64</v>
      </c>
      <c r="L24" s="451"/>
      <c r="M24" s="221">
        <f t="shared" si="4"/>
        <v>0.30715935334872979</v>
      </c>
      <c r="N24" s="176">
        <f t="shared" si="5"/>
        <v>13.601016166281754</v>
      </c>
      <c r="O24" s="176">
        <f t="shared" si="53"/>
        <v>0.95</v>
      </c>
      <c r="P24" s="221">
        <f t="shared" si="6"/>
        <v>2.7202032332563508</v>
      </c>
      <c r="Q24" s="221">
        <f t="shared" si="7"/>
        <v>5</v>
      </c>
      <c r="R24" s="221">
        <f t="shared" si="8"/>
        <v>3.0224480369515008</v>
      </c>
      <c r="S24" s="176">
        <f t="shared" si="9"/>
        <v>221.06997653764901</v>
      </c>
      <c r="T24" s="176">
        <f t="shared" si="10"/>
        <v>5</v>
      </c>
      <c r="U24" s="221">
        <f t="shared" si="11"/>
        <v>0.28637566137566134</v>
      </c>
      <c r="V24" s="221">
        <f t="shared" si="12"/>
        <v>8.3526234567901231E-2</v>
      </c>
      <c r="W24" s="221">
        <f t="shared" si="13"/>
        <v>0.18840504037872455</v>
      </c>
      <c r="X24" s="201">
        <f t="shared" si="14"/>
        <v>350</v>
      </c>
      <c r="Y24" s="451">
        <f t="shared" si="54"/>
        <v>350</v>
      </c>
      <c r="AA24" s="221">
        <f t="shared" si="15"/>
        <v>3.0089079511712309</v>
      </c>
      <c r="AB24" s="177">
        <f t="shared" si="16"/>
        <v>1.9795447047179149</v>
      </c>
      <c r="AC24" s="177">
        <f t="shared" si="17"/>
        <v>2.0846937306036244</v>
      </c>
      <c r="AD24" s="177"/>
      <c r="AE24" s="177">
        <f t="shared" si="18"/>
        <v>0.53947368421052622</v>
      </c>
      <c r="AF24" s="555">
        <f t="shared" si="19"/>
        <v>429.50624628197505</v>
      </c>
      <c r="AG24" s="538">
        <f t="shared" si="20"/>
        <v>0.15482894736842101</v>
      </c>
      <c r="AI24" s="177">
        <f t="shared" si="21"/>
        <v>0.95750999829004235</v>
      </c>
      <c r="AJ24" s="177">
        <f t="shared" si="22"/>
        <v>0.95750999829004235</v>
      </c>
      <c r="AK24" s="177">
        <f t="shared" si="23"/>
        <v>1.2916733321933616</v>
      </c>
      <c r="AM24" s="555">
        <f t="shared" si="24"/>
        <v>190</v>
      </c>
      <c r="AN24" s="469">
        <f t="shared" si="25"/>
        <v>350</v>
      </c>
      <c r="AP24">
        <f t="shared" si="26"/>
        <v>190</v>
      </c>
      <c r="AQ24" s="469">
        <f t="shared" si="27"/>
        <v>350</v>
      </c>
      <c r="AR24" s="469"/>
      <c r="AS24" s="5">
        <f t="shared" si="55"/>
        <v>2.8571428571428572</v>
      </c>
      <c r="AT24" s="5">
        <f t="shared" si="28"/>
        <v>0.27927374950126238</v>
      </c>
      <c r="AU24" s="5">
        <f t="shared" si="56"/>
        <v>2.5778691076415949</v>
      </c>
      <c r="AV24" s="5">
        <f t="shared" si="29"/>
        <v>0.62994078834871203</v>
      </c>
      <c r="AW24" s="177">
        <f t="shared" si="57"/>
        <v>9.7745812325441828E-2</v>
      </c>
      <c r="AX24" s="177">
        <f t="shared" si="30"/>
        <v>1.1231111111111112</v>
      </c>
      <c r="AY24" s="177">
        <f t="shared" si="31"/>
        <v>0.86391740569744979</v>
      </c>
      <c r="AZ24" s="177">
        <f t="shared" si="58"/>
        <v>1.3000213952217012</v>
      </c>
      <c r="BA24" s="469">
        <f t="shared" si="32"/>
        <v>100.52933910789432</v>
      </c>
      <c r="BB24" s="469">
        <f t="shared" si="33"/>
        <v>0.7948721144444445</v>
      </c>
      <c r="BC24" s="5">
        <f t="shared" si="34"/>
        <v>9.4482085349518324E-2</v>
      </c>
      <c r="BD24" s="469">
        <f t="shared" si="35"/>
        <v>11.469794686386644</v>
      </c>
      <c r="BE24" s="5"/>
      <c r="BF24" s="177">
        <f t="shared" si="59"/>
        <v>0.17283503037414413</v>
      </c>
      <c r="BG24" s="177">
        <f t="shared" si="36"/>
        <v>1.050212393535773</v>
      </c>
      <c r="BH24" s="177"/>
      <c r="BI24" s="538">
        <f t="shared" si="37"/>
        <v>3.2859142496874457E-3</v>
      </c>
      <c r="BJ24" s="538">
        <f t="shared" si="38"/>
        <v>5.8044256096342374E-2</v>
      </c>
      <c r="BK24" s="538">
        <f t="shared" si="39"/>
        <v>1.7499999999999998E-2</v>
      </c>
      <c r="BL24" s="538">
        <f t="shared" si="40"/>
        <v>9.4494456000000004E-2</v>
      </c>
      <c r="BM24">
        <f t="shared" si="41"/>
        <v>6.96E-3</v>
      </c>
      <c r="BN24">
        <f t="shared" si="42"/>
        <v>6.6500000000000004E-5</v>
      </c>
      <c r="BO24" s="538">
        <f t="shared" si="43"/>
        <v>0.18090439827448998</v>
      </c>
      <c r="BP24" s="469">
        <f t="shared" si="60"/>
        <v>180.90439827448998</v>
      </c>
      <c r="BQ24" s="538">
        <f t="shared" si="44"/>
        <v>0.15684507986536095</v>
      </c>
      <c r="BR24" s="538"/>
      <c r="BT24" s="469">
        <f t="shared" si="61"/>
        <v>156.84507986536096</v>
      </c>
      <c r="BU24" s="538">
        <f t="shared" si="45"/>
        <v>2.9871947724431323E-3</v>
      </c>
      <c r="BV24" s="538">
        <f t="shared" si="46"/>
        <v>3.3088382146084123E-2</v>
      </c>
      <c r="BW24" s="538">
        <f t="shared" si="47"/>
        <v>0</v>
      </c>
      <c r="BX24" s="538">
        <f t="shared" si="48"/>
        <v>4.052159333733471E-2</v>
      </c>
      <c r="BY24" s="538">
        <f t="shared" si="49"/>
        <v>1.6044444444444448E-2</v>
      </c>
      <c r="BZ24" s="469">
        <f t="shared" si="62"/>
        <v>56.566037781779158</v>
      </c>
      <c r="CA24" s="177">
        <f t="shared" si="63"/>
        <v>0.39431551592163011</v>
      </c>
      <c r="CB24" s="5">
        <f t="shared" si="64"/>
        <v>0.95</v>
      </c>
      <c r="CC24" s="177">
        <f t="shared" si="65"/>
        <v>0.70667933885201273</v>
      </c>
      <c r="CD24" s="5">
        <f t="shared" si="66"/>
        <v>70.667933885201279</v>
      </c>
      <c r="CG24" s="571">
        <f t="shared" si="50"/>
        <v>-50</v>
      </c>
      <c r="CH24">
        <f t="shared" si="51"/>
        <v>-50</v>
      </c>
    </row>
    <row r="25" spans="5:86" x14ac:dyDescent="0.2">
      <c r="E25" s="174">
        <v>20</v>
      </c>
      <c r="F25" s="221">
        <f t="shared" si="52"/>
        <v>0.2</v>
      </c>
      <c r="G25" s="221"/>
      <c r="H25" s="221">
        <f t="shared" si="0"/>
        <v>1</v>
      </c>
      <c r="I25" s="551">
        <f t="shared" si="1"/>
        <v>24</v>
      </c>
      <c r="J25" s="176">
        <f t="shared" si="2"/>
        <v>10.64</v>
      </c>
      <c r="K25" s="451">
        <f t="shared" si="3"/>
        <v>34.64</v>
      </c>
      <c r="L25" s="451"/>
      <c r="M25" s="221">
        <f t="shared" si="4"/>
        <v>0.30715935334872979</v>
      </c>
      <c r="N25" s="176">
        <f t="shared" si="5"/>
        <v>13.601016166281754</v>
      </c>
      <c r="O25" s="176">
        <f t="shared" si="53"/>
        <v>1</v>
      </c>
      <c r="P25" s="221">
        <f t="shared" si="6"/>
        <v>2.7202032332563508</v>
      </c>
      <c r="Q25" s="221">
        <f t="shared" si="7"/>
        <v>5</v>
      </c>
      <c r="R25" s="221">
        <f t="shared" si="8"/>
        <v>3.0224480369515008</v>
      </c>
      <c r="S25" s="176">
        <f t="shared" si="9"/>
        <v>209.41830852945714</v>
      </c>
      <c r="T25" s="176">
        <f t="shared" si="10"/>
        <v>5</v>
      </c>
      <c r="U25" s="221">
        <f t="shared" si="11"/>
        <v>0.30144806460595935</v>
      </c>
      <c r="V25" s="221">
        <f t="shared" si="12"/>
        <v>8.7922352176738147E-2</v>
      </c>
      <c r="W25" s="221">
        <f t="shared" si="13"/>
        <v>0.19832109513549953</v>
      </c>
      <c r="X25" s="201">
        <f t="shared" si="14"/>
        <v>350</v>
      </c>
      <c r="Y25" s="451">
        <f t="shared" si="54"/>
        <v>350</v>
      </c>
      <c r="AA25" s="221">
        <f t="shared" si="15"/>
        <v>3.0089079511712309</v>
      </c>
      <c r="AB25" s="177">
        <f t="shared" si="16"/>
        <v>1.9795447047179149</v>
      </c>
      <c r="AC25" s="177">
        <f t="shared" si="17"/>
        <v>2.0846937306036244</v>
      </c>
      <c r="AD25" s="177"/>
      <c r="AE25" s="177">
        <f t="shared" si="18"/>
        <v>0.53947368421052622</v>
      </c>
      <c r="AF25" s="555">
        <f t="shared" si="19"/>
        <v>452.11183819155275</v>
      </c>
      <c r="AG25" s="538">
        <f t="shared" si="20"/>
        <v>0.15482894736842101</v>
      </c>
      <c r="AI25" s="177">
        <f t="shared" si="21"/>
        <v>0.98238453015067639</v>
      </c>
      <c r="AJ25" s="177">
        <f t="shared" si="22"/>
        <v>0.98238453015067639</v>
      </c>
      <c r="AK25" s="177">
        <f t="shared" si="23"/>
        <v>1.3082563534337843</v>
      </c>
      <c r="AM25" s="555">
        <f t="shared" si="24"/>
        <v>200</v>
      </c>
      <c r="AN25" s="469">
        <f t="shared" si="25"/>
        <v>350</v>
      </c>
      <c r="AP25">
        <f t="shared" si="26"/>
        <v>200</v>
      </c>
      <c r="AQ25" s="469">
        <f t="shared" si="27"/>
        <v>350</v>
      </c>
      <c r="AR25" s="469"/>
      <c r="AS25" s="5">
        <f t="shared" si="55"/>
        <v>2.8571428571428572</v>
      </c>
      <c r="AT25" s="5">
        <f t="shared" si="28"/>
        <v>0.28652882129394724</v>
      </c>
      <c r="AU25" s="5">
        <f t="shared" si="56"/>
        <v>2.57061403584891</v>
      </c>
      <c r="AV25" s="5">
        <f t="shared" si="29"/>
        <v>0.64630561194123448</v>
      </c>
      <c r="AW25" s="177">
        <f t="shared" si="57"/>
        <v>0.10028508745288153</v>
      </c>
      <c r="AX25" s="177">
        <f t="shared" si="30"/>
        <v>1.1822222222222223</v>
      </c>
      <c r="AY25" s="177">
        <f t="shared" si="31"/>
        <v>0.88386601163215783</v>
      </c>
      <c r="AZ25" s="177">
        <f t="shared" si="58"/>
        <v>1.3375581894354283</v>
      </c>
      <c r="BA25" s="469">
        <f t="shared" si="32"/>
        <v>100.52933910789432</v>
      </c>
      <c r="BB25" s="469">
        <f t="shared" si="33"/>
        <v>0.84916577777777791</v>
      </c>
      <c r="BC25" s="5">
        <f t="shared" si="34"/>
        <v>9.9174924222565963E-2</v>
      </c>
      <c r="BD25" s="469">
        <f t="shared" si="35"/>
        <v>12.039879795596804</v>
      </c>
      <c r="BE25" s="5"/>
      <c r="BF25" s="177">
        <f t="shared" si="59"/>
        <v>0.17961353746860276</v>
      </c>
      <c r="BG25" s="177">
        <f t="shared" si="36"/>
        <v>1.0759778786780638</v>
      </c>
      <c r="BH25" s="177"/>
      <c r="BI25" s="538">
        <f t="shared" si="37"/>
        <v>3.5487125126183686E-3</v>
      </c>
      <c r="BJ25" s="538">
        <f t="shared" si="38"/>
        <v>5.955215021773401E-2</v>
      </c>
      <c r="BK25" s="538">
        <f t="shared" si="39"/>
        <v>1.7499999999999998E-2</v>
      </c>
      <c r="BL25" s="538">
        <f t="shared" si="40"/>
        <v>9.4494456000000004E-2</v>
      </c>
      <c r="BM25">
        <f t="shared" si="41"/>
        <v>6.96E-3</v>
      </c>
      <c r="BN25">
        <f t="shared" si="42"/>
        <v>6.6500000000000004E-5</v>
      </c>
      <c r="BO25" s="538">
        <f t="shared" si="43"/>
        <v>0.18272052889427415</v>
      </c>
      <c r="BP25" s="469">
        <f t="shared" si="60"/>
        <v>182.72052889427414</v>
      </c>
      <c r="BQ25" s="538">
        <f t="shared" si="44"/>
        <v>0.16485044940890736</v>
      </c>
      <c r="BR25" s="538"/>
      <c r="BT25" s="469">
        <f t="shared" si="61"/>
        <v>164.85044940890737</v>
      </c>
      <c r="BU25" s="538">
        <f t="shared" si="45"/>
        <v>3.2261022841985169E-3</v>
      </c>
      <c r="BV25" s="538">
        <f t="shared" si="46"/>
        <v>3.4731851862136391E-2</v>
      </c>
      <c r="BW25" s="538">
        <f t="shared" si="47"/>
        <v>0</v>
      </c>
      <c r="BX25" s="538">
        <f t="shared" si="48"/>
        <v>4.2642398099234341E-2</v>
      </c>
      <c r="BY25" s="538">
        <f t="shared" si="49"/>
        <v>1.6888888888888891E-2</v>
      </c>
      <c r="BZ25" s="469">
        <f t="shared" si="62"/>
        <v>59.531286988123234</v>
      </c>
      <c r="CA25" s="177">
        <f t="shared" si="63"/>
        <v>0.40710226529130472</v>
      </c>
      <c r="CB25" s="5">
        <f t="shared" si="64"/>
        <v>1</v>
      </c>
      <c r="CC25" s="177">
        <f t="shared" si="65"/>
        <v>0.71068039947542505</v>
      </c>
      <c r="CD25" s="5">
        <f t="shared" si="66"/>
        <v>71.068039947542502</v>
      </c>
      <c r="CG25" s="571">
        <f t="shared" si="50"/>
        <v>-50</v>
      </c>
      <c r="CH25">
        <f t="shared" si="51"/>
        <v>-50</v>
      </c>
    </row>
    <row r="26" spans="5:86" x14ac:dyDescent="0.2">
      <c r="E26" s="174">
        <v>21</v>
      </c>
      <c r="F26" s="221">
        <f t="shared" si="52"/>
        <v>0.21</v>
      </c>
      <c r="G26" s="221"/>
      <c r="H26" s="221">
        <f t="shared" si="0"/>
        <v>1.05</v>
      </c>
      <c r="I26" s="551">
        <f t="shared" si="1"/>
        <v>24</v>
      </c>
      <c r="J26" s="176">
        <f t="shared" si="2"/>
        <v>10.64</v>
      </c>
      <c r="K26" s="451">
        <f t="shared" si="3"/>
        <v>34.64</v>
      </c>
      <c r="L26" s="451"/>
      <c r="M26" s="221">
        <f t="shared" si="4"/>
        <v>0.30715935334872979</v>
      </c>
      <c r="N26" s="176">
        <f t="shared" si="5"/>
        <v>13.601016166281754</v>
      </c>
      <c r="O26" s="176">
        <f t="shared" si="53"/>
        <v>1.05</v>
      </c>
      <c r="P26" s="221">
        <f t="shared" si="6"/>
        <v>2.7202032332563508</v>
      </c>
      <c r="Q26" s="221">
        <f t="shared" si="7"/>
        <v>5</v>
      </c>
      <c r="R26" s="221">
        <f t="shared" si="8"/>
        <v>3.0224480369515008</v>
      </c>
      <c r="S26" s="176">
        <f t="shared" si="9"/>
        <v>198.87642031199866</v>
      </c>
      <c r="T26" s="176">
        <f t="shared" si="10"/>
        <v>5</v>
      </c>
      <c r="U26" s="221">
        <f t="shared" si="11"/>
        <v>0.31652046783625731</v>
      </c>
      <c r="V26" s="221">
        <f t="shared" si="12"/>
        <v>9.231846978557505E-2</v>
      </c>
      <c r="W26" s="221">
        <f t="shared" si="13"/>
        <v>0.20823714989227454</v>
      </c>
      <c r="X26" s="201">
        <f t="shared" si="14"/>
        <v>350</v>
      </c>
      <c r="Y26" s="451">
        <f t="shared" si="54"/>
        <v>350</v>
      </c>
      <c r="AA26" s="221">
        <f t="shared" si="15"/>
        <v>3.0089079511712309</v>
      </c>
      <c r="AB26" s="177">
        <f t="shared" si="16"/>
        <v>1.9795447047179149</v>
      </c>
      <c r="AC26" s="177">
        <f t="shared" si="17"/>
        <v>2.0846937306036244</v>
      </c>
      <c r="AD26" s="177"/>
      <c r="AE26" s="177">
        <f t="shared" si="18"/>
        <v>0.53947368421052622</v>
      </c>
      <c r="AF26" s="555">
        <f t="shared" si="19"/>
        <v>474.71743010113033</v>
      </c>
      <c r="AG26" s="538">
        <f t="shared" si="20"/>
        <v>0.15482894736842101</v>
      </c>
      <c r="AI26" s="177">
        <f t="shared" si="21"/>
        <v>1.0066445913694333</v>
      </c>
      <c r="AJ26" s="177">
        <f t="shared" si="22"/>
        <v>1.0066445913694333</v>
      </c>
      <c r="AK26" s="177">
        <f t="shared" si="23"/>
        <v>1.3244297275796222</v>
      </c>
      <c r="AM26" s="555">
        <f t="shared" si="24"/>
        <v>210</v>
      </c>
      <c r="AN26" s="469">
        <f t="shared" si="25"/>
        <v>350</v>
      </c>
      <c r="AP26">
        <f t="shared" si="26"/>
        <v>210</v>
      </c>
      <c r="AQ26" s="469">
        <f t="shared" si="27"/>
        <v>350</v>
      </c>
      <c r="AR26" s="469"/>
      <c r="AS26" s="5">
        <f t="shared" si="55"/>
        <v>2.8571428571428572</v>
      </c>
      <c r="AT26" s="5">
        <f t="shared" si="28"/>
        <v>0.29360467248275141</v>
      </c>
      <c r="AU26" s="5">
        <f t="shared" si="56"/>
        <v>2.5635381846601057</v>
      </c>
      <c r="AV26" s="5">
        <f t="shared" si="29"/>
        <v>0.66226617853252179</v>
      </c>
      <c r="AW26" s="177">
        <f t="shared" si="57"/>
        <v>0.10276163536896299</v>
      </c>
      <c r="AX26" s="177">
        <f t="shared" si="30"/>
        <v>1.2413333333333334</v>
      </c>
      <c r="AY26" s="177">
        <f t="shared" si="31"/>
        <v>0.90320014692498884</v>
      </c>
      <c r="AZ26" s="177">
        <f t="shared" si="58"/>
        <v>1.3743723775505836</v>
      </c>
      <c r="BA26" s="469">
        <f t="shared" si="32"/>
        <v>100.52933910789432</v>
      </c>
      <c r="BB26" s="469">
        <f t="shared" si="33"/>
        <v>0.90470527000000001</v>
      </c>
      <c r="BC26" s="5">
        <f t="shared" si="34"/>
        <v>0.10384703294340705</v>
      </c>
      <c r="BD26" s="469">
        <f t="shared" si="35"/>
        <v>12.607477286542181</v>
      </c>
      <c r="BE26" s="5"/>
      <c r="BF26" s="177">
        <f t="shared" si="59"/>
        <v>0.1863078013281747</v>
      </c>
      <c r="BG26" s="177">
        <f t="shared" si="36"/>
        <v>1.1010307551418155</v>
      </c>
      <c r="BH26" s="177"/>
      <c r="BI26" s="538">
        <f t="shared" si="37"/>
        <v>3.8181656519312474E-3</v>
      </c>
      <c r="BJ26" s="538">
        <f t="shared" si="38"/>
        <v>6.1022795128815047E-2</v>
      </c>
      <c r="BK26" s="538">
        <f t="shared" si="39"/>
        <v>1.7499999999999998E-2</v>
      </c>
      <c r="BL26" s="538">
        <f t="shared" si="40"/>
        <v>9.4494456000000004E-2</v>
      </c>
      <c r="BM26">
        <f t="shared" si="41"/>
        <v>6.96E-3</v>
      </c>
      <c r="BN26">
        <f t="shared" si="42"/>
        <v>6.6500000000000004E-5</v>
      </c>
      <c r="BO26" s="538">
        <f t="shared" si="43"/>
        <v>0.18450734563173193</v>
      </c>
      <c r="BP26" s="469">
        <f t="shared" si="60"/>
        <v>184.50734563173194</v>
      </c>
      <c r="BQ26" s="538">
        <f t="shared" si="44"/>
        <v>0.17283733049588718</v>
      </c>
      <c r="BR26" s="538"/>
      <c r="BT26" s="469">
        <f t="shared" si="61"/>
        <v>172.83733049588719</v>
      </c>
      <c r="BU26" s="538">
        <f t="shared" si="45"/>
        <v>3.4710596835738614E-3</v>
      </c>
      <c r="BV26" s="538">
        <f t="shared" si="46"/>
        <v>3.6368061713044693E-2</v>
      </c>
      <c r="BW26" s="538">
        <f t="shared" si="47"/>
        <v>0</v>
      </c>
      <c r="BX26" s="538">
        <f t="shared" si="48"/>
        <v>4.4762479793533448E-2</v>
      </c>
      <c r="BY26" s="538">
        <f t="shared" si="49"/>
        <v>1.7733333333333337E-2</v>
      </c>
      <c r="BZ26" s="469">
        <f t="shared" si="62"/>
        <v>62.495813126866786</v>
      </c>
      <c r="CA26" s="177">
        <f t="shared" si="63"/>
        <v>0.41984048925448586</v>
      </c>
      <c r="CB26" s="5">
        <f t="shared" si="64"/>
        <v>1.05</v>
      </c>
      <c r="CC26" s="177">
        <f t="shared" si="65"/>
        <v>0.71436323034791882</v>
      </c>
      <c r="CD26" s="5">
        <f t="shared" si="66"/>
        <v>71.436323034791883</v>
      </c>
      <c r="CG26" s="571">
        <f t="shared" si="50"/>
        <v>-50</v>
      </c>
      <c r="CH26">
        <f t="shared" si="51"/>
        <v>-50</v>
      </c>
    </row>
    <row r="27" spans="5:86" x14ac:dyDescent="0.2">
      <c r="E27" s="174">
        <v>22</v>
      </c>
      <c r="F27" s="221">
        <f t="shared" si="52"/>
        <v>0.22</v>
      </c>
      <c r="G27" s="221"/>
      <c r="H27" s="221">
        <f t="shared" si="0"/>
        <v>1.1000000000000001</v>
      </c>
      <c r="I27" s="551">
        <f t="shared" si="1"/>
        <v>24</v>
      </c>
      <c r="J27" s="176">
        <f t="shared" si="2"/>
        <v>10.64</v>
      </c>
      <c r="K27" s="451">
        <f t="shared" si="3"/>
        <v>34.64</v>
      </c>
      <c r="L27" s="451"/>
      <c r="M27" s="221">
        <f t="shared" si="4"/>
        <v>0.30715935334872979</v>
      </c>
      <c r="N27" s="176">
        <f t="shared" si="5"/>
        <v>13.601016166281754</v>
      </c>
      <c r="O27" s="176">
        <f t="shared" si="53"/>
        <v>1.1000000000000001</v>
      </c>
      <c r="P27" s="221">
        <f t="shared" si="6"/>
        <v>2.7202032332563508</v>
      </c>
      <c r="Q27" s="221">
        <f t="shared" si="7"/>
        <v>5</v>
      </c>
      <c r="R27" s="221">
        <f t="shared" si="8"/>
        <v>3.0224480369515008</v>
      </c>
      <c r="S27" s="176">
        <f t="shared" si="9"/>
        <v>189.29297905095058</v>
      </c>
      <c r="T27" s="176">
        <f t="shared" si="10"/>
        <v>5</v>
      </c>
      <c r="U27" s="221">
        <f t="shared" si="11"/>
        <v>0.33159287106655527</v>
      </c>
      <c r="V27" s="221">
        <f t="shared" si="12"/>
        <v>9.6714587394411952E-2</v>
      </c>
      <c r="W27" s="221">
        <f t="shared" si="13"/>
        <v>0.2181532046490495</v>
      </c>
      <c r="X27" s="201">
        <f t="shared" si="14"/>
        <v>350</v>
      </c>
      <c r="Y27" s="451">
        <f t="shared" si="54"/>
        <v>350</v>
      </c>
      <c r="AA27" s="221">
        <f t="shared" si="15"/>
        <v>3.0089079511712309</v>
      </c>
      <c r="AB27" s="177">
        <f t="shared" si="16"/>
        <v>1.9795447047179149</v>
      </c>
      <c r="AC27" s="177">
        <f t="shared" si="17"/>
        <v>2.0846937306036244</v>
      </c>
      <c r="AD27" s="177"/>
      <c r="AE27" s="177">
        <f t="shared" si="18"/>
        <v>0.53947368421052622</v>
      </c>
      <c r="AF27" s="555">
        <f t="shared" si="19"/>
        <v>497.32302201070797</v>
      </c>
      <c r="AG27" s="538">
        <f t="shared" si="20"/>
        <v>0.15482894736842101</v>
      </c>
      <c r="AI27" s="177">
        <f t="shared" si="21"/>
        <v>1.0303335875275064</v>
      </c>
      <c r="AJ27" s="177">
        <f t="shared" si="22"/>
        <v>1.0303335875275064</v>
      </c>
      <c r="AK27" s="177">
        <f t="shared" si="23"/>
        <v>1.3402223916850042</v>
      </c>
      <c r="AM27" s="555">
        <f t="shared" si="24"/>
        <v>220</v>
      </c>
      <c r="AN27" s="469">
        <f t="shared" si="25"/>
        <v>350</v>
      </c>
      <c r="AP27">
        <f t="shared" si="26"/>
        <v>220</v>
      </c>
      <c r="AQ27" s="469">
        <f t="shared" si="27"/>
        <v>350</v>
      </c>
      <c r="AR27" s="469"/>
      <c r="AS27" s="5">
        <f t="shared" si="55"/>
        <v>2.8571428571428572</v>
      </c>
      <c r="AT27" s="5">
        <f t="shared" si="28"/>
        <v>0.30051396302885597</v>
      </c>
      <c r="AU27" s="5">
        <f t="shared" si="56"/>
        <v>2.5566288941140014</v>
      </c>
      <c r="AV27" s="5">
        <f t="shared" si="29"/>
        <v>0.67785104442599098</v>
      </c>
      <c r="AW27" s="177">
        <f t="shared" si="57"/>
        <v>0.10517988706009959</v>
      </c>
      <c r="AX27" s="177">
        <f t="shared" si="30"/>
        <v>1.3004444444444445</v>
      </c>
      <c r="AY27" s="177">
        <f t="shared" si="31"/>
        <v>0.92196321715713603</v>
      </c>
      <c r="AZ27" s="177">
        <f t="shared" si="58"/>
        <v>1.4105166239216695</v>
      </c>
      <c r="BA27" s="469">
        <f t="shared" si="32"/>
        <v>100.52933910789432</v>
      </c>
      <c r="BB27" s="469">
        <f t="shared" si="33"/>
        <v>0.96149059111111113</v>
      </c>
      <c r="BC27" s="5">
        <f t="shared" si="34"/>
        <v>0.10849891140144295</v>
      </c>
      <c r="BD27" s="469">
        <f t="shared" si="35"/>
        <v>13.172647145950934</v>
      </c>
      <c r="BE27" s="5"/>
      <c r="BF27" s="177">
        <f t="shared" si="59"/>
        <v>0.19292281054469107</v>
      </c>
      <c r="BG27" s="177">
        <f t="shared" si="36"/>
        <v>1.125421206542637</v>
      </c>
      <c r="BH27" s="177"/>
      <c r="BI27" s="538">
        <f t="shared" si="37"/>
        <v>4.0941131911309044E-3</v>
      </c>
      <c r="BJ27" s="538">
        <f t="shared" si="38"/>
        <v>6.2458822075917436E-2</v>
      </c>
      <c r="BK27" s="538">
        <f t="shared" si="39"/>
        <v>1.7499999999999998E-2</v>
      </c>
      <c r="BL27" s="538">
        <f t="shared" si="40"/>
        <v>9.4494456000000004E-2</v>
      </c>
      <c r="BM27">
        <f t="shared" si="41"/>
        <v>6.96E-3</v>
      </c>
      <c r="BN27">
        <f t="shared" si="42"/>
        <v>6.6500000000000004E-5</v>
      </c>
      <c r="BO27" s="538">
        <f t="shared" si="43"/>
        <v>0.18626729613607848</v>
      </c>
      <c r="BP27" s="469">
        <f t="shared" si="60"/>
        <v>186.26729613607847</v>
      </c>
      <c r="BQ27" s="538">
        <f t="shared" si="44"/>
        <v>0.18080616895918161</v>
      </c>
      <c r="BR27" s="538"/>
      <c r="BT27" s="469">
        <f t="shared" si="61"/>
        <v>180.8061689591816</v>
      </c>
      <c r="BU27" s="538">
        <f t="shared" si="45"/>
        <v>3.7219210828462767E-3</v>
      </c>
      <c r="BV27" s="538">
        <f t="shared" si="46"/>
        <v>3.799718676407654E-2</v>
      </c>
      <c r="BW27" s="538">
        <f t="shared" si="47"/>
        <v>0</v>
      </c>
      <c r="BX27" s="538">
        <f t="shared" si="48"/>
        <v>4.6881870373046239E-2</v>
      </c>
      <c r="BY27" s="538">
        <f t="shared" si="49"/>
        <v>1.857777777777778E-2</v>
      </c>
      <c r="BZ27" s="469">
        <f t="shared" si="62"/>
        <v>65.459648150824009</v>
      </c>
      <c r="CA27" s="177">
        <f t="shared" si="63"/>
        <v>0.43253311324608412</v>
      </c>
      <c r="CB27" s="5">
        <f t="shared" si="64"/>
        <v>1.1000000000000001</v>
      </c>
      <c r="CC27" s="177">
        <f t="shared" si="65"/>
        <v>0.71776589392582291</v>
      </c>
      <c r="CD27" s="5">
        <f t="shared" si="66"/>
        <v>71.776589392582295</v>
      </c>
      <c r="CG27" s="571">
        <f t="shared" si="50"/>
        <v>-50</v>
      </c>
      <c r="CH27">
        <f t="shared" si="51"/>
        <v>-50</v>
      </c>
    </row>
    <row r="28" spans="5:86" x14ac:dyDescent="0.2">
      <c r="E28" s="174">
        <v>23</v>
      </c>
      <c r="F28" s="221">
        <f t="shared" si="52"/>
        <v>0.23</v>
      </c>
      <c r="G28" s="221"/>
      <c r="H28" s="221">
        <f t="shared" si="0"/>
        <v>1.1500000000000001</v>
      </c>
      <c r="I28" s="551">
        <f t="shared" si="1"/>
        <v>24</v>
      </c>
      <c r="J28" s="176">
        <f t="shared" si="2"/>
        <v>10.64</v>
      </c>
      <c r="K28" s="451">
        <f t="shared" si="3"/>
        <v>34.64</v>
      </c>
      <c r="L28" s="451"/>
      <c r="M28" s="221">
        <f t="shared" si="4"/>
        <v>0.30715935334872979</v>
      </c>
      <c r="N28" s="176">
        <f t="shared" si="5"/>
        <v>13.601016166281754</v>
      </c>
      <c r="O28" s="176">
        <f t="shared" si="53"/>
        <v>1.1500000000000001</v>
      </c>
      <c r="P28" s="221">
        <f t="shared" si="6"/>
        <v>2.7202032332563508</v>
      </c>
      <c r="Q28" s="221">
        <f t="shared" si="7"/>
        <v>5</v>
      </c>
      <c r="R28" s="221">
        <f t="shared" si="8"/>
        <v>3.0224480369515008</v>
      </c>
      <c r="S28" s="176">
        <f t="shared" si="9"/>
        <v>180.54297067377223</v>
      </c>
      <c r="T28" s="176">
        <f t="shared" si="10"/>
        <v>5</v>
      </c>
      <c r="U28" s="221">
        <f t="shared" si="11"/>
        <v>0.34666527429685329</v>
      </c>
      <c r="V28" s="221">
        <f t="shared" si="12"/>
        <v>0.10111070500324885</v>
      </c>
      <c r="W28" s="221">
        <f t="shared" si="13"/>
        <v>0.22806925940582448</v>
      </c>
      <c r="X28" s="201">
        <f t="shared" si="14"/>
        <v>350</v>
      </c>
      <c r="Y28" s="451">
        <f t="shared" si="54"/>
        <v>350</v>
      </c>
      <c r="AA28" s="221">
        <f t="shared" si="15"/>
        <v>3.0089079511712309</v>
      </c>
      <c r="AB28" s="177">
        <f t="shared" si="16"/>
        <v>1.9795447047179149</v>
      </c>
      <c r="AC28" s="177">
        <f t="shared" si="17"/>
        <v>2.0846937306036244</v>
      </c>
      <c r="AD28" s="177"/>
      <c r="AE28" s="177">
        <f t="shared" si="18"/>
        <v>0.53947368421052622</v>
      </c>
      <c r="AF28" s="555">
        <f t="shared" si="19"/>
        <v>519.92861392028567</v>
      </c>
      <c r="AG28" s="538">
        <f t="shared" si="20"/>
        <v>0.15482894736842101</v>
      </c>
      <c r="AI28" s="177">
        <f t="shared" si="21"/>
        <v>1.0534900425923683</v>
      </c>
      <c r="AJ28" s="177">
        <f t="shared" si="22"/>
        <v>1.0534900425923683</v>
      </c>
      <c r="AK28" s="177">
        <f t="shared" si="23"/>
        <v>1.3556600283949123</v>
      </c>
      <c r="AM28" s="555">
        <f t="shared" si="24"/>
        <v>230</v>
      </c>
      <c r="AN28" s="469">
        <f t="shared" si="25"/>
        <v>350</v>
      </c>
      <c r="AP28">
        <f t="shared" si="26"/>
        <v>230</v>
      </c>
      <c r="AQ28" s="469">
        <f t="shared" si="27"/>
        <v>350</v>
      </c>
      <c r="AR28" s="469"/>
      <c r="AS28" s="5">
        <f t="shared" si="55"/>
        <v>2.8571428571428572</v>
      </c>
      <c r="AT28" s="5">
        <f t="shared" si="28"/>
        <v>0.30726792908944073</v>
      </c>
      <c r="AU28" s="5">
        <f t="shared" si="56"/>
        <v>2.5498749280534163</v>
      </c>
      <c r="AV28" s="5">
        <f t="shared" si="29"/>
        <v>0.69308555433708441</v>
      </c>
      <c r="AW28" s="177">
        <f t="shared" si="57"/>
        <v>0.10754377518130426</v>
      </c>
      <c r="AX28" s="177">
        <f t="shared" si="30"/>
        <v>1.3595555555555559</v>
      </c>
      <c r="AY28" s="177">
        <f t="shared" si="31"/>
        <v>0.94019374629607211</v>
      </c>
      <c r="AZ28" s="177">
        <f t="shared" si="58"/>
        <v>1.4460376501243228</v>
      </c>
      <c r="BA28" s="469">
        <f t="shared" si="32"/>
        <v>100.52933910789432</v>
      </c>
      <c r="BB28" s="469">
        <f t="shared" si="33"/>
        <v>1.0195217411111113</v>
      </c>
      <c r="BC28" s="5">
        <f t="shared" si="34"/>
        <v>0.11313102497150575</v>
      </c>
      <c r="BD28" s="469">
        <f t="shared" si="35"/>
        <v>13.73544521880291</v>
      </c>
      <c r="BE28" s="5"/>
      <c r="BF28" s="177">
        <f t="shared" si="59"/>
        <v>0.19946304587629154</v>
      </c>
      <c r="BG28" s="177">
        <f t="shared" si="36"/>
        <v>1.1491937752648027</v>
      </c>
      <c r="BH28" s="177"/>
      <c r="BI28" s="538">
        <f t="shared" si="37"/>
        <v>4.3764057337272342E-3</v>
      </c>
      <c r="BJ28" s="538">
        <f t="shared" si="38"/>
        <v>6.3862566381949371E-2</v>
      </c>
      <c r="BK28" s="538">
        <f t="shared" si="39"/>
        <v>1.7499999999999998E-2</v>
      </c>
      <c r="BL28" s="538">
        <f t="shared" si="40"/>
        <v>9.4494456000000004E-2</v>
      </c>
      <c r="BM28">
        <f t="shared" si="41"/>
        <v>6.96E-3</v>
      </c>
      <c r="BN28">
        <f t="shared" si="42"/>
        <v>6.6500000000000004E-5</v>
      </c>
      <c r="BO28" s="538">
        <f t="shared" si="43"/>
        <v>0.18800254495392493</v>
      </c>
      <c r="BP28" s="469">
        <f t="shared" si="60"/>
        <v>188.00254495392494</v>
      </c>
      <c r="BQ28" s="538">
        <f t="shared" si="44"/>
        <v>0.18875737984940308</v>
      </c>
      <c r="BR28" s="538"/>
      <c r="BT28" s="469">
        <f t="shared" si="61"/>
        <v>188.75737984940307</v>
      </c>
      <c r="BU28" s="538">
        <f t="shared" si="45"/>
        <v>3.9785506670247583E-3</v>
      </c>
      <c r="BV28" s="538">
        <f t="shared" si="46"/>
        <v>3.9619389993221094E-2</v>
      </c>
      <c r="BW28" s="538">
        <f t="shared" si="47"/>
        <v>0</v>
      </c>
      <c r="BX28" s="538">
        <f t="shared" si="48"/>
        <v>4.9000599558023133E-2</v>
      </c>
      <c r="BY28" s="538">
        <f t="shared" si="49"/>
        <v>1.942222222222223E-2</v>
      </c>
      <c r="BZ28" s="469">
        <f t="shared" si="62"/>
        <v>68.422821780245357</v>
      </c>
      <c r="CA28" s="177">
        <f t="shared" si="63"/>
        <v>0.44518274658357337</v>
      </c>
      <c r="CB28" s="5">
        <f t="shared" si="64"/>
        <v>1.1500000000000001</v>
      </c>
      <c r="CC28" s="177">
        <f t="shared" si="65"/>
        <v>0.72092053557059355</v>
      </c>
      <c r="CD28" s="5">
        <f t="shared" si="66"/>
        <v>72.092053557059359</v>
      </c>
      <c r="CG28" s="571">
        <f t="shared" si="50"/>
        <v>-50</v>
      </c>
      <c r="CH28">
        <f t="shared" si="51"/>
        <v>-50</v>
      </c>
    </row>
    <row r="29" spans="5:86" x14ac:dyDescent="0.2">
      <c r="E29" s="174">
        <v>24</v>
      </c>
      <c r="F29" s="221">
        <f t="shared" si="52"/>
        <v>0.24</v>
      </c>
      <c r="G29" s="221"/>
      <c r="H29" s="221">
        <f t="shared" si="0"/>
        <v>1.2</v>
      </c>
      <c r="I29" s="551">
        <f t="shared" si="1"/>
        <v>24</v>
      </c>
      <c r="J29" s="176">
        <f t="shared" si="2"/>
        <v>10.64</v>
      </c>
      <c r="K29" s="451">
        <f t="shared" si="3"/>
        <v>34.64</v>
      </c>
      <c r="L29" s="451"/>
      <c r="M29" s="221">
        <f t="shared" si="4"/>
        <v>0.30715935334872979</v>
      </c>
      <c r="N29" s="176">
        <f t="shared" si="5"/>
        <v>13.601016166281754</v>
      </c>
      <c r="O29" s="176">
        <f t="shared" si="53"/>
        <v>1.2</v>
      </c>
      <c r="P29" s="221">
        <f t="shared" si="6"/>
        <v>2.7202032332563508</v>
      </c>
      <c r="Q29" s="221">
        <f t="shared" si="7"/>
        <v>5</v>
      </c>
      <c r="R29" s="221">
        <f t="shared" si="8"/>
        <v>3.0224480369515008</v>
      </c>
      <c r="S29" s="176">
        <f t="shared" si="9"/>
        <v>172.52221679443375</v>
      </c>
      <c r="T29" s="176">
        <f t="shared" si="10"/>
        <v>5</v>
      </c>
      <c r="U29" s="221">
        <f t="shared" si="11"/>
        <v>0.36173767752715119</v>
      </c>
      <c r="V29" s="221">
        <f t="shared" si="12"/>
        <v>0.10550682261208576</v>
      </c>
      <c r="W29" s="221">
        <f t="shared" si="13"/>
        <v>0.23798531416259947</v>
      </c>
      <c r="X29" s="201">
        <f t="shared" si="14"/>
        <v>350</v>
      </c>
      <c r="Y29" s="451">
        <f t="shared" si="54"/>
        <v>350</v>
      </c>
      <c r="AA29" s="221">
        <f t="shared" si="15"/>
        <v>3.0089079511712309</v>
      </c>
      <c r="AB29" s="177">
        <f t="shared" si="16"/>
        <v>1.9795447047179149</v>
      </c>
      <c r="AC29" s="177">
        <f t="shared" si="17"/>
        <v>2.0846937306036244</v>
      </c>
      <c r="AD29" s="177"/>
      <c r="AE29" s="177">
        <f t="shared" si="18"/>
        <v>0.53947368421052622</v>
      </c>
      <c r="AF29" s="555">
        <f t="shared" si="19"/>
        <v>542.53420582986325</v>
      </c>
      <c r="AG29" s="538">
        <f t="shared" si="20"/>
        <v>0.15482894736842101</v>
      </c>
      <c r="AI29" s="177">
        <f t="shared" si="21"/>
        <v>1.0761483346152789</v>
      </c>
      <c r="AJ29" s="177">
        <f t="shared" si="22"/>
        <v>1.0761483346152789</v>
      </c>
      <c r="AK29" s="177">
        <f t="shared" si="23"/>
        <v>1.3707655564101859</v>
      </c>
      <c r="AM29" s="555">
        <f t="shared" si="24"/>
        <v>240</v>
      </c>
      <c r="AN29" s="469">
        <f t="shared" si="25"/>
        <v>350</v>
      </c>
      <c r="AP29">
        <f t="shared" si="26"/>
        <v>240</v>
      </c>
      <c r="AQ29" s="469">
        <f t="shared" si="27"/>
        <v>350</v>
      </c>
      <c r="AR29" s="469"/>
      <c r="AS29" s="5">
        <f t="shared" si="55"/>
        <v>2.8571428571428572</v>
      </c>
      <c r="AT29" s="5">
        <f t="shared" si="28"/>
        <v>0.31387659759612296</v>
      </c>
      <c r="AU29" s="5">
        <f t="shared" si="56"/>
        <v>2.5432662595467344</v>
      </c>
      <c r="AV29" s="5">
        <f t="shared" si="29"/>
        <v>0.70799232540478874</v>
      </c>
      <c r="AW29" s="177">
        <f t="shared" si="57"/>
        <v>0.10985680915864303</v>
      </c>
      <c r="AX29" s="177">
        <f t="shared" si="30"/>
        <v>1.4186666666666667</v>
      </c>
      <c r="AY29" s="177">
        <f t="shared" si="31"/>
        <v>0.95792611239305669</v>
      </c>
      <c r="AZ29" s="177">
        <f t="shared" si="58"/>
        <v>1.4809771320698257</v>
      </c>
      <c r="BA29" s="469">
        <f t="shared" si="32"/>
        <v>100.52933910789432</v>
      </c>
      <c r="BB29" s="469">
        <f t="shared" si="33"/>
        <v>1.07879872</v>
      </c>
      <c r="BC29" s="5">
        <f t="shared" si="34"/>
        <v>0.11774380831234879</v>
      </c>
      <c r="BD29" s="469">
        <f t="shared" si="35"/>
        <v>14.295923664148525</v>
      </c>
      <c r="BE29" s="5"/>
      <c r="BF29" s="177">
        <f t="shared" si="59"/>
        <v>0.20593255170804661</v>
      </c>
      <c r="BG29" s="177">
        <f t="shared" si="36"/>
        <v>1.1723882124599494</v>
      </c>
      <c r="BH29" s="177"/>
      <c r="BI29" s="538">
        <f t="shared" si="37"/>
        <v>4.6649037438286018E-3</v>
      </c>
      <c r="BJ29" s="538">
        <f t="shared" si="38"/>
        <v>6.5236112044378208E-2</v>
      </c>
      <c r="BK29" s="538">
        <f t="shared" si="39"/>
        <v>1.7499999999999998E-2</v>
      </c>
      <c r="BL29" s="538">
        <f t="shared" si="40"/>
        <v>9.4494456000000004E-2</v>
      </c>
      <c r="BM29">
        <f t="shared" si="41"/>
        <v>6.96E-3</v>
      </c>
      <c r="BN29">
        <f t="shared" si="42"/>
        <v>6.6500000000000004E-5</v>
      </c>
      <c r="BO29" s="538">
        <f t="shared" si="43"/>
        <v>0.18971501671644989</v>
      </c>
      <c r="BP29" s="469">
        <f t="shared" si="60"/>
        <v>189.7150167164499</v>
      </c>
      <c r="BQ29" s="538">
        <f t="shared" si="44"/>
        <v>0.1966913508226287</v>
      </c>
      <c r="BR29" s="538"/>
      <c r="BT29" s="469">
        <f t="shared" si="61"/>
        <v>196.69135082262869</v>
      </c>
      <c r="BU29" s="538">
        <f t="shared" si="45"/>
        <v>4.2408215852987293E-3</v>
      </c>
      <c r="BV29" s="538">
        <f t="shared" si="46"/>
        <v>4.1234823621451061E-2</v>
      </c>
      <c r="BW29" s="538">
        <f t="shared" si="47"/>
        <v>0</v>
      </c>
      <c r="BX29" s="538">
        <f t="shared" si="48"/>
        <v>5.1118695082841316E-2</v>
      </c>
      <c r="BY29" s="538">
        <f t="shared" si="49"/>
        <v>2.0266666666666669E-2</v>
      </c>
      <c r="BZ29" s="469">
        <f t="shared" si="62"/>
        <v>71.385361749507993</v>
      </c>
      <c r="CA29" s="177">
        <f t="shared" si="63"/>
        <v>0.45779172928858658</v>
      </c>
      <c r="CB29" s="5">
        <f t="shared" si="64"/>
        <v>1.2</v>
      </c>
      <c r="CC29" s="177">
        <f t="shared" si="65"/>
        <v>0.72385449800437829</v>
      </c>
      <c r="CD29" s="5">
        <f t="shared" si="66"/>
        <v>72.385449800437826</v>
      </c>
      <c r="CG29" s="571">
        <f t="shared" si="50"/>
        <v>-50</v>
      </c>
      <c r="CH29">
        <f t="shared" si="51"/>
        <v>-50</v>
      </c>
    </row>
    <row r="30" spans="5:86" x14ac:dyDescent="0.2">
      <c r="E30" s="174">
        <v>25</v>
      </c>
      <c r="F30" s="221">
        <f t="shared" si="52"/>
        <v>0.25</v>
      </c>
      <c r="G30" s="221"/>
      <c r="H30" s="221">
        <f t="shared" si="0"/>
        <v>1.25</v>
      </c>
      <c r="I30" s="551">
        <f t="shared" si="1"/>
        <v>24</v>
      </c>
      <c r="J30" s="176">
        <f t="shared" si="2"/>
        <v>10.64</v>
      </c>
      <c r="K30" s="451">
        <f t="shared" si="3"/>
        <v>34.64</v>
      </c>
      <c r="L30" s="451"/>
      <c r="M30" s="221">
        <f t="shared" si="4"/>
        <v>0.30715935334872979</v>
      </c>
      <c r="N30" s="176">
        <f t="shared" si="5"/>
        <v>13.601016166281754</v>
      </c>
      <c r="O30" s="176">
        <f t="shared" si="53"/>
        <v>1.25</v>
      </c>
      <c r="P30" s="221">
        <f t="shared" si="6"/>
        <v>2.7202032332563508</v>
      </c>
      <c r="Q30" s="221">
        <f t="shared" si="7"/>
        <v>5</v>
      </c>
      <c r="R30" s="221">
        <f t="shared" si="8"/>
        <v>3.0224480369515008</v>
      </c>
      <c r="S30" s="176">
        <f t="shared" si="9"/>
        <v>165.14320757621132</v>
      </c>
      <c r="T30" s="176">
        <f t="shared" si="10"/>
        <v>5</v>
      </c>
      <c r="U30" s="221">
        <f t="shared" si="11"/>
        <v>0.37681008075744915</v>
      </c>
      <c r="V30" s="221">
        <f t="shared" si="12"/>
        <v>0.10990294022092266</v>
      </c>
      <c r="W30" s="221">
        <f t="shared" si="13"/>
        <v>0.24790136891937442</v>
      </c>
      <c r="X30" s="201">
        <f t="shared" si="14"/>
        <v>350</v>
      </c>
      <c r="Y30" s="451">
        <f t="shared" si="54"/>
        <v>350</v>
      </c>
      <c r="AA30" s="221">
        <f t="shared" si="15"/>
        <v>3.0089079511712309</v>
      </c>
      <c r="AB30" s="177">
        <f t="shared" si="16"/>
        <v>1.9795447047179149</v>
      </c>
      <c r="AC30" s="177">
        <f t="shared" si="17"/>
        <v>2.0846937306036244</v>
      </c>
      <c r="AD30" s="177"/>
      <c r="AE30" s="177">
        <f t="shared" si="18"/>
        <v>0.53947368421052622</v>
      </c>
      <c r="AF30" s="555">
        <f t="shared" si="19"/>
        <v>565.13979773944095</v>
      </c>
      <c r="AG30" s="538">
        <f t="shared" si="20"/>
        <v>0.15482894736842101</v>
      </c>
      <c r="AI30" s="177">
        <f t="shared" si="21"/>
        <v>1.0983392947305521</v>
      </c>
      <c r="AJ30" s="177">
        <f t="shared" si="22"/>
        <v>1.0983392947305521</v>
      </c>
      <c r="AK30" s="177">
        <f t="shared" si="23"/>
        <v>1.3855595298203682</v>
      </c>
      <c r="AM30" s="555">
        <f t="shared" si="24"/>
        <v>250</v>
      </c>
      <c r="AN30" s="469">
        <f t="shared" si="25"/>
        <v>350</v>
      </c>
      <c r="AP30">
        <f t="shared" si="26"/>
        <v>250</v>
      </c>
      <c r="AQ30" s="469">
        <f t="shared" si="27"/>
        <v>350</v>
      </c>
      <c r="AR30" s="469"/>
      <c r="AS30" s="5">
        <f t="shared" si="55"/>
        <v>2.8571428571428572</v>
      </c>
      <c r="AT30" s="5">
        <f t="shared" si="28"/>
        <v>0.32034896096307774</v>
      </c>
      <c r="AU30" s="5">
        <f t="shared" si="56"/>
        <v>2.5367938961797796</v>
      </c>
      <c r="AV30" s="5">
        <f t="shared" si="29"/>
        <v>0.72259164127010012</v>
      </c>
      <c r="AW30" s="177">
        <f t="shared" si="57"/>
        <v>0.11212213633707721</v>
      </c>
      <c r="AX30" s="177">
        <f t="shared" si="30"/>
        <v>1.4777777777777783</v>
      </c>
      <c r="AY30" s="177">
        <f t="shared" si="31"/>
        <v>0.97519114658240391</v>
      </c>
      <c r="AZ30" s="177">
        <f t="shared" si="58"/>
        <v>1.5153724302734999</v>
      </c>
      <c r="BA30" s="469">
        <f t="shared" si="32"/>
        <v>100.52933910789432</v>
      </c>
      <c r="BB30" s="469">
        <f t="shared" si="33"/>
        <v>1.1393215277777777</v>
      </c>
      <c r="BC30" s="5">
        <f t="shared" si="34"/>
        <v>0.12233766860434893</v>
      </c>
      <c r="BD30" s="469">
        <f t="shared" si="35"/>
        <v>14.854131343632984</v>
      </c>
      <c r="BE30" s="5"/>
      <c r="BF30" s="177">
        <f t="shared" si="59"/>
        <v>0.21233499490538582</v>
      </c>
      <c r="BG30" s="177">
        <f t="shared" si="36"/>
        <v>1.1950401701280708</v>
      </c>
      <c r="BH30" s="177"/>
      <c r="BI30" s="538">
        <f t="shared" si="37"/>
        <v>4.9594765067617246E-3</v>
      </c>
      <c r="BJ30" s="538">
        <f t="shared" si="38"/>
        <v>6.6581328046566066E-2</v>
      </c>
      <c r="BK30" s="538">
        <f t="shared" si="39"/>
        <v>1.7499999999999998E-2</v>
      </c>
      <c r="BL30" s="538">
        <f t="shared" si="40"/>
        <v>9.4494456000000004E-2</v>
      </c>
      <c r="BM30">
        <f t="shared" si="41"/>
        <v>6.96E-3</v>
      </c>
      <c r="BN30">
        <f t="shared" si="42"/>
        <v>6.6500000000000004E-5</v>
      </c>
      <c r="BO30" s="538">
        <f t="shared" si="43"/>
        <v>0.19140643124820955</v>
      </c>
      <c r="BP30" s="469">
        <f t="shared" si="60"/>
        <v>191.40643124820954</v>
      </c>
      <c r="BQ30" s="538">
        <f t="shared" si="44"/>
        <v>0.20460844502798725</v>
      </c>
      <c r="BR30" s="538"/>
      <c r="BT30" s="469">
        <f t="shared" si="61"/>
        <v>204.60844502798724</v>
      </c>
      <c r="BU30" s="538">
        <f t="shared" si="45"/>
        <v>4.5086150061470227E-3</v>
      </c>
      <c r="BV30" s="538">
        <f t="shared" si="46"/>
        <v>4.2843630246591852E-2</v>
      </c>
      <c r="BW30" s="538">
        <f t="shared" si="47"/>
        <v>0</v>
      </c>
      <c r="BX30" s="538">
        <f t="shared" si="48"/>
        <v>5.3236182906211113E-2</v>
      </c>
      <c r="BY30" s="538">
        <f t="shared" si="49"/>
        <v>2.1111111111111119E-2</v>
      </c>
      <c r="BZ30" s="469">
        <f t="shared" si="62"/>
        <v>74.347294017322241</v>
      </c>
      <c r="CA30" s="177">
        <f t="shared" si="63"/>
        <v>0.47036217029351907</v>
      </c>
      <c r="CB30" s="5">
        <f t="shared" si="64"/>
        <v>1.25</v>
      </c>
      <c r="CC30" s="177">
        <f t="shared" si="65"/>
        <v>0.72659119200855926</v>
      </c>
      <c r="CD30" s="5">
        <f t="shared" si="66"/>
        <v>72.659119200855926</v>
      </c>
      <c r="CG30" s="571">
        <f t="shared" si="50"/>
        <v>-50</v>
      </c>
      <c r="CH30">
        <f t="shared" si="51"/>
        <v>-50</v>
      </c>
    </row>
    <row r="31" spans="5:86" x14ac:dyDescent="0.2">
      <c r="E31" s="174">
        <v>26</v>
      </c>
      <c r="F31" s="221">
        <f t="shared" si="52"/>
        <v>0.26</v>
      </c>
      <c r="G31" s="221"/>
      <c r="H31" s="221">
        <f t="shared" si="0"/>
        <v>1.3</v>
      </c>
      <c r="I31" s="551">
        <f t="shared" si="1"/>
        <v>24</v>
      </c>
      <c r="J31" s="176">
        <f t="shared" si="2"/>
        <v>10.64</v>
      </c>
      <c r="K31" s="451">
        <f t="shared" si="3"/>
        <v>34.64</v>
      </c>
      <c r="L31" s="451"/>
      <c r="M31" s="221">
        <f t="shared" si="4"/>
        <v>0.30715935334872979</v>
      </c>
      <c r="N31" s="176">
        <f t="shared" si="5"/>
        <v>13.601016166281754</v>
      </c>
      <c r="O31" s="176">
        <f t="shared" si="53"/>
        <v>1.3</v>
      </c>
      <c r="P31" s="221">
        <f t="shared" si="6"/>
        <v>2.7202032332563508</v>
      </c>
      <c r="Q31" s="221">
        <f t="shared" si="7"/>
        <v>5</v>
      </c>
      <c r="R31" s="221">
        <f t="shared" si="8"/>
        <v>3.0224480369515008</v>
      </c>
      <c r="S31" s="176">
        <f t="shared" si="9"/>
        <v>158.33189624153087</v>
      </c>
      <c r="T31" s="176">
        <f t="shared" si="10"/>
        <v>5</v>
      </c>
      <c r="U31" s="221">
        <f t="shared" si="11"/>
        <v>0.39188248398774717</v>
      </c>
      <c r="V31" s="221">
        <f t="shared" si="12"/>
        <v>0.11429905782975959</v>
      </c>
      <c r="W31" s="221">
        <f t="shared" si="13"/>
        <v>0.25781742367614946</v>
      </c>
      <c r="X31" s="201">
        <f t="shared" si="14"/>
        <v>350</v>
      </c>
      <c r="Y31" s="451">
        <f t="shared" si="54"/>
        <v>350</v>
      </c>
      <c r="AA31" s="221">
        <f t="shared" si="15"/>
        <v>3.0089079511712309</v>
      </c>
      <c r="AB31" s="177">
        <f t="shared" si="16"/>
        <v>1.9795447047179149</v>
      </c>
      <c r="AC31" s="177">
        <f t="shared" si="17"/>
        <v>2.0846937306036244</v>
      </c>
      <c r="AD31" s="177"/>
      <c r="AE31" s="177">
        <f t="shared" si="18"/>
        <v>0.53947368421052622</v>
      </c>
      <c r="AF31" s="555">
        <f t="shared" si="19"/>
        <v>587.74538964901853</v>
      </c>
      <c r="AG31" s="538">
        <f t="shared" si="20"/>
        <v>0.15482894736842101</v>
      </c>
      <c r="AI31" s="177">
        <f t="shared" si="21"/>
        <v>1.1200906992753645</v>
      </c>
      <c r="AJ31" s="177">
        <f t="shared" si="22"/>
        <v>1.1200906992753645</v>
      </c>
      <c r="AK31" s="177">
        <f t="shared" si="23"/>
        <v>1.4000604661835765</v>
      </c>
      <c r="AM31" s="555">
        <f t="shared" si="24"/>
        <v>260</v>
      </c>
      <c r="AN31" s="469">
        <f t="shared" si="25"/>
        <v>350</v>
      </c>
      <c r="AP31">
        <f t="shared" si="26"/>
        <v>260</v>
      </c>
      <c r="AQ31" s="469">
        <f t="shared" si="27"/>
        <v>350</v>
      </c>
      <c r="AR31" s="469"/>
      <c r="AS31" s="5">
        <f t="shared" si="55"/>
        <v>2.8571428571428572</v>
      </c>
      <c r="AT31" s="5">
        <f t="shared" si="28"/>
        <v>0.32669312062198136</v>
      </c>
      <c r="AU31" s="5">
        <f t="shared" si="56"/>
        <v>2.5304497365208758</v>
      </c>
      <c r="AV31" s="5">
        <f t="shared" si="29"/>
        <v>0.73690177583905558</v>
      </c>
      <c r="AW31" s="177">
        <f t="shared" si="57"/>
        <v>0.11434259221769347</v>
      </c>
      <c r="AX31" s="177">
        <f t="shared" si="30"/>
        <v>1.5368888888888896</v>
      </c>
      <c r="AY31" s="177">
        <f t="shared" si="31"/>
        <v>0.99201662520129041</v>
      </c>
      <c r="AZ31" s="177">
        <f t="shared" si="58"/>
        <v>1.5492571896938108</v>
      </c>
      <c r="BA31" s="469">
        <f t="shared" si="32"/>
        <v>100.52933910789432</v>
      </c>
      <c r="BB31" s="469">
        <f t="shared" si="33"/>
        <v>1.2010901644444445</v>
      </c>
      <c r="BC31" s="5">
        <f t="shared" si="34"/>
        <v>0.12691298832859327</v>
      </c>
      <c r="BD31" s="469">
        <f t="shared" si="35"/>
        <v>15.410114154986754</v>
      </c>
      <c r="BE31" s="5"/>
      <c r="BF31" s="177">
        <f t="shared" si="59"/>
        <v>0.21867371369895267</v>
      </c>
      <c r="BG31" s="177">
        <f t="shared" si="36"/>
        <v>1.217181769725733</v>
      </c>
      <c r="BH31" s="177"/>
      <c r="BI31" s="538">
        <f t="shared" si="37"/>
        <v>5.260001236918067E-3</v>
      </c>
      <c r="BJ31" s="538">
        <f t="shared" si="38"/>
        <v>6.7899898190072611E-2</v>
      </c>
      <c r="BK31" s="538">
        <f t="shared" si="39"/>
        <v>1.7499999999999998E-2</v>
      </c>
      <c r="BL31" s="538">
        <f t="shared" si="40"/>
        <v>9.4494456000000004E-2</v>
      </c>
      <c r="BM31">
        <f t="shared" si="41"/>
        <v>6.96E-3</v>
      </c>
      <c r="BN31">
        <f t="shared" si="42"/>
        <v>6.6500000000000004E-5</v>
      </c>
      <c r="BO31" s="538">
        <f t="shared" si="43"/>
        <v>0.19307833236724972</v>
      </c>
      <c r="BP31" s="469">
        <f t="shared" si="60"/>
        <v>193.07833236724971</v>
      </c>
      <c r="BQ31" s="538">
        <f t="shared" si="44"/>
        <v>0.21250900358622382</v>
      </c>
      <c r="BR31" s="538"/>
      <c r="BT31" s="469">
        <f t="shared" si="61"/>
        <v>212.50900358622383</v>
      </c>
      <c r="BU31" s="538">
        <f t="shared" si="45"/>
        <v>4.7818193062891525E-3</v>
      </c>
      <c r="BV31" s="538">
        <f t="shared" si="46"/>
        <v>4.4445943816580014E-2</v>
      </c>
      <c r="BW31" s="538">
        <f t="shared" si="47"/>
        <v>0</v>
      </c>
      <c r="BX31" s="538">
        <f t="shared" si="48"/>
        <v>5.5353087391551932E-2</v>
      </c>
      <c r="BY31" s="538">
        <f t="shared" si="49"/>
        <v>2.1955555555555568E-2</v>
      </c>
      <c r="BZ31" s="469">
        <f t="shared" si="62"/>
        <v>77.308642947107501</v>
      </c>
      <c r="CA31" s="177">
        <f t="shared" si="63"/>
        <v>0.482895978900581</v>
      </c>
      <c r="CB31" s="5">
        <f t="shared" si="64"/>
        <v>1.3</v>
      </c>
      <c r="CC31" s="177">
        <f t="shared" si="65"/>
        <v>0.72915078354803531</v>
      </c>
      <c r="CD31" s="5">
        <f t="shared" si="66"/>
        <v>72.915078354803526</v>
      </c>
      <c r="CG31" s="571">
        <f t="shared" si="50"/>
        <v>-50</v>
      </c>
      <c r="CH31">
        <f t="shared" si="51"/>
        <v>-50</v>
      </c>
    </row>
    <row r="32" spans="5:86" x14ac:dyDescent="0.2">
      <c r="E32" s="174">
        <v>27</v>
      </c>
      <c r="F32" s="221">
        <f t="shared" si="52"/>
        <v>0.27</v>
      </c>
      <c r="G32" s="221"/>
      <c r="H32" s="221">
        <f t="shared" si="0"/>
        <v>1.35</v>
      </c>
      <c r="I32" s="551">
        <f t="shared" si="1"/>
        <v>24</v>
      </c>
      <c r="J32" s="176">
        <f t="shared" si="2"/>
        <v>10.64</v>
      </c>
      <c r="K32" s="451">
        <f t="shared" si="3"/>
        <v>34.64</v>
      </c>
      <c r="L32" s="451"/>
      <c r="M32" s="221">
        <f t="shared" si="4"/>
        <v>0.30715935334872979</v>
      </c>
      <c r="N32" s="176">
        <f t="shared" si="5"/>
        <v>13.601016166281754</v>
      </c>
      <c r="O32" s="176">
        <f t="shared" si="53"/>
        <v>1.35</v>
      </c>
      <c r="P32" s="221">
        <f t="shared" si="6"/>
        <v>2.7202032332563508</v>
      </c>
      <c r="Q32" s="221">
        <f t="shared" si="7"/>
        <v>5</v>
      </c>
      <c r="R32" s="221">
        <f t="shared" si="8"/>
        <v>3.0224480369515008</v>
      </c>
      <c r="S32" s="176">
        <f t="shared" si="9"/>
        <v>152.02520591295925</v>
      </c>
      <c r="T32" s="176">
        <f t="shared" si="10"/>
        <v>5</v>
      </c>
      <c r="U32" s="221">
        <f t="shared" si="11"/>
        <v>0.40695488721804512</v>
      </c>
      <c r="V32" s="221">
        <f t="shared" si="12"/>
        <v>0.11869517543859649</v>
      </c>
      <c r="W32" s="221">
        <f t="shared" si="13"/>
        <v>0.26773347843292439</v>
      </c>
      <c r="X32" s="201">
        <f t="shared" si="14"/>
        <v>350</v>
      </c>
      <c r="Y32" s="451">
        <f t="shared" si="54"/>
        <v>350</v>
      </c>
      <c r="AA32" s="221">
        <f t="shared" si="15"/>
        <v>3.0089079511712309</v>
      </c>
      <c r="AB32" s="177">
        <f t="shared" si="16"/>
        <v>1.9795447047179149</v>
      </c>
      <c r="AC32" s="177">
        <f t="shared" si="17"/>
        <v>2.0846937306036244</v>
      </c>
      <c r="AD32" s="177"/>
      <c r="AE32" s="177">
        <f t="shared" si="18"/>
        <v>0.53947368421052622</v>
      </c>
      <c r="AF32" s="555">
        <f t="shared" si="19"/>
        <v>610.35098155859623</v>
      </c>
      <c r="AG32" s="538">
        <f t="shared" si="20"/>
        <v>0.15482894736842101</v>
      </c>
      <c r="AI32" s="177">
        <f t="shared" si="21"/>
        <v>1.1414276774536103</v>
      </c>
      <c r="AJ32" s="177">
        <f t="shared" si="22"/>
        <v>1.1414276774536103</v>
      </c>
      <c r="AK32" s="177">
        <f t="shared" si="23"/>
        <v>1.414285118302407</v>
      </c>
      <c r="AM32" s="555">
        <f t="shared" si="24"/>
        <v>270</v>
      </c>
      <c r="AN32" s="469">
        <f t="shared" si="25"/>
        <v>350</v>
      </c>
      <c r="AP32">
        <f t="shared" si="26"/>
        <v>270</v>
      </c>
      <c r="AQ32" s="469">
        <f t="shared" si="27"/>
        <v>350</v>
      </c>
      <c r="AR32" s="469"/>
      <c r="AS32" s="5">
        <f t="shared" si="55"/>
        <v>2.8571428571428572</v>
      </c>
      <c r="AT32" s="5">
        <f t="shared" si="28"/>
        <v>0.33291640592396965</v>
      </c>
      <c r="AU32" s="5">
        <f t="shared" si="56"/>
        <v>2.5242264512188877</v>
      </c>
      <c r="AV32" s="5">
        <f t="shared" si="29"/>
        <v>0.75093926148263834</v>
      </c>
      <c r="AW32" s="177">
        <f t="shared" si="57"/>
        <v>0.11652074207338937</v>
      </c>
      <c r="AX32" s="177">
        <f t="shared" si="30"/>
        <v>1.5960000000000001</v>
      </c>
      <c r="AY32" s="177">
        <f t="shared" si="31"/>
        <v>1.0084276774536103</v>
      </c>
      <c r="AZ32" s="177">
        <f t="shared" si="58"/>
        <v>1.5826618365236405</v>
      </c>
      <c r="BA32" s="469">
        <f t="shared" si="32"/>
        <v>100.52933910789432</v>
      </c>
      <c r="BB32" s="469">
        <f t="shared" si="33"/>
        <v>1.2641046300000001</v>
      </c>
      <c r="BC32" s="5">
        <f t="shared" si="34"/>
        <v>0.13147012766765037</v>
      </c>
      <c r="BD32" s="469">
        <f t="shared" si="35"/>
        <v>15.963915320118049</v>
      </c>
      <c r="BE32" s="5"/>
      <c r="BF32" s="177">
        <f t="shared" si="59"/>
        <v>0.22495175860713645</v>
      </c>
      <c r="BG32" s="177">
        <f t="shared" si="36"/>
        <v>1.2388420732042822</v>
      </c>
      <c r="BH32" s="177"/>
      <c r="BI32" s="538">
        <f t="shared" si="37"/>
        <v>5.5663623070487727E-3</v>
      </c>
      <c r="BJ32" s="538">
        <f t="shared" si="38"/>
        <v>6.9193345807237863E-2</v>
      </c>
      <c r="BK32" s="538">
        <f t="shared" si="39"/>
        <v>1.7499999999999998E-2</v>
      </c>
      <c r="BL32" s="538">
        <f t="shared" si="40"/>
        <v>9.4494456000000004E-2</v>
      </c>
      <c r="BM32">
        <f t="shared" si="41"/>
        <v>6.96E-3</v>
      </c>
      <c r="BN32">
        <f t="shared" si="42"/>
        <v>6.6500000000000004E-5</v>
      </c>
      <c r="BO32" s="538">
        <f t="shared" si="43"/>
        <v>0.19473211170601082</v>
      </c>
      <c r="BP32" s="469">
        <f t="shared" si="60"/>
        <v>194.73211170601081</v>
      </c>
      <c r="BQ32" s="538">
        <f t="shared" si="44"/>
        <v>0.22039334773085886</v>
      </c>
      <c r="BR32" s="538"/>
      <c r="BT32" s="469">
        <f t="shared" si="61"/>
        <v>220.39334773085886</v>
      </c>
      <c r="BU32" s="538">
        <f t="shared" si="45"/>
        <v>5.0603293700443395E-3</v>
      </c>
      <c r="BV32" s="538">
        <f t="shared" si="46"/>
        <v>4.6041890470232522E-2</v>
      </c>
      <c r="BW32" s="538">
        <f t="shared" si="47"/>
        <v>0</v>
      </c>
      <c r="BX32" s="538">
        <f t="shared" si="48"/>
        <v>5.7469431462766569E-2</v>
      </c>
      <c r="BY32" s="538">
        <f t="shared" si="49"/>
        <v>2.2800000000000001E-2</v>
      </c>
      <c r="BZ32" s="469">
        <f t="shared" si="62"/>
        <v>80.269431462766576</v>
      </c>
      <c r="CA32" s="177">
        <f t="shared" si="63"/>
        <v>0.49539489089963623</v>
      </c>
      <c r="CB32" s="5">
        <f t="shared" si="64"/>
        <v>1.35</v>
      </c>
      <c r="CC32" s="177">
        <f t="shared" si="65"/>
        <v>0.73155074106760454</v>
      </c>
      <c r="CD32" s="5">
        <f t="shared" si="66"/>
        <v>73.155074106760452</v>
      </c>
      <c r="CG32" s="571">
        <f t="shared" si="50"/>
        <v>-50</v>
      </c>
      <c r="CH32">
        <f t="shared" si="51"/>
        <v>-50</v>
      </c>
    </row>
    <row r="33" spans="5:86" x14ac:dyDescent="0.2">
      <c r="E33" s="174">
        <v>28</v>
      </c>
      <c r="F33" s="221">
        <f t="shared" si="52"/>
        <v>0.28000000000000003</v>
      </c>
      <c r="G33" s="221"/>
      <c r="H33" s="221">
        <f t="shared" si="0"/>
        <v>1.4000000000000001</v>
      </c>
      <c r="I33" s="551">
        <f t="shared" si="1"/>
        <v>24</v>
      </c>
      <c r="J33" s="176">
        <f t="shared" si="2"/>
        <v>10.64</v>
      </c>
      <c r="K33" s="451">
        <f t="shared" si="3"/>
        <v>34.64</v>
      </c>
      <c r="L33" s="451"/>
      <c r="M33" s="221">
        <f t="shared" si="4"/>
        <v>0.30715935334872979</v>
      </c>
      <c r="N33" s="176">
        <f t="shared" si="5"/>
        <v>13.601016166281754</v>
      </c>
      <c r="O33" s="176">
        <f t="shared" si="53"/>
        <v>1.4000000000000001</v>
      </c>
      <c r="P33" s="221">
        <f t="shared" si="6"/>
        <v>2.7202032332563508</v>
      </c>
      <c r="Q33" s="221">
        <f t="shared" si="7"/>
        <v>5</v>
      </c>
      <c r="R33" s="221">
        <f t="shared" si="8"/>
        <v>3.0224480369515008</v>
      </c>
      <c r="S33" s="176">
        <f t="shared" si="9"/>
        <v>146.16907070255536</v>
      </c>
      <c r="T33" s="176">
        <f t="shared" si="10"/>
        <v>5</v>
      </c>
      <c r="U33" s="221">
        <f t="shared" si="11"/>
        <v>0.42202729044834308</v>
      </c>
      <c r="V33" s="221">
        <f t="shared" si="12"/>
        <v>0.12309129304743339</v>
      </c>
      <c r="W33" s="221">
        <f t="shared" si="13"/>
        <v>0.27764953318969937</v>
      </c>
      <c r="X33" s="201">
        <f t="shared" si="14"/>
        <v>350</v>
      </c>
      <c r="Y33" s="451">
        <f t="shared" si="54"/>
        <v>350</v>
      </c>
      <c r="AA33" s="221">
        <f t="shared" si="15"/>
        <v>3.0089079511712309</v>
      </c>
      <c r="AB33" s="177">
        <f t="shared" si="16"/>
        <v>1.9795447047179149</v>
      </c>
      <c r="AC33" s="177">
        <f t="shared" si="17"/>
        <v>2.0846937306036244</v>
      </c>
      <c r="AD33" s="177"/>
      <c r="AE33" s="177">
        <f t="shared" si="18"/>
        <v>0.53947368421052622</v>
      </c>
      <c r="AF33" s="555">
        <f t="shared" si="19"/>
        <v>632.95657346817381</v>
      </c>
      <c r="AG33" s="538">
        <f t="shared" si="20"/>
        <v>0.15482894736842101</v>
      </c>
      <c r="AI33" s="177">
        <f t="shared" si="21"/>
        <v>1.1623730516108464</v>
      </c>
      <c r="AJ33" s="177">
        <f t="shared" si="22"/>
        <v>1.1623730516108464</v>
      </c>
      <c r="AK33" s="177">
        <f t="shared" si="23"/>
        <v>1.4282487010738976</v>
      </c>
      <c r="AM33" s="555">
        <f t="shared" si="24"/>
        <v>280</v>
      </c>
      <c r="AN33" s="469">
        <f t="shared" si="25"/>
        <v>350</v>
      </c>
      <c r="AP33">
        <f t="shared" si="26"/>
        <v>280</v>
      </c>
      <c r="AQ33" s="469">
        <f t="shared" si="27"/>
        <v>350</v>
      </c>
      <c r="AR33" s="469"/>
      <c r="AS33" s="5">
        <f t="shared" si="55"/>
        <v>2.8571428571428572</v>
      </c>
      <c r="AT33" s="5">
        <f t="shared" si="28"/>
        <v>0.33902547338649686</v>
      </c>
      <c r="AU33" s="5">
        <f t="shared" si="56"/>
        <v>2.5181173837563602</v>
      </c>
      <c r="AV33" s="5">
        <f t="shared" si="29"/>
        <v>0.76471911290187256</v>
      </c>
      <c r="AW33" s="177">
        <f t="shared" si="57"/>
        <v>0.1186589156852739</v>
      </c>
      <c r="AX33" s="177">
        <f t="shared" si="30"/>
        <v>1.6551111111111116</v>
      </c>
      <c r="AY33" s="177">
        <f t="shared" si="31"/>
        <v>1.0244471256849204</v>
      </c>
      <c r="AZ33" s="177">
        <f t="shared" si="58"/>
        <v>1.6156139927715105</v>
      </c>
      <c r="BA33" s="469">
        <f t="shared" si="32"/>
        <v>100.52933910789432</v>
      </c>
      <c r="BB33" s="469">
        <f t="shared" si="33"/>
        <v>1.3283649244444444</v>
      </c>
      <c r="BC33" s="5">
        <f t="shared" si="34"/>
        <v>0.13600942659177867</v>
      </c>
      <c r="BD33" s="469">
        <f t="shared" si="35"/>
        <v>16.515575635457896</v>
      </c>
      <c r="BE33" s="5"/>
      <c r="BF33" s="177">
        <f t="shared" si="59"/>
        <v>0.23117192693950397</v>
      </c>
      <c r="BG33" s="177">
        <f t="shared" si="36"/>
        <v>1.2600474761935712</v>
      </c>
      <c r="BH33" s="177"/>
      <c r="BI33" s="538">
        <f t="shared" si="37"/>
        <v>5.87845057854157E-3</v>
      </c>
      <c r="BJ33" s="538">
        <f t="shared" si="38"/>
        <v>7.0463054388649499E-2</v>
      </c>
      <c r="BK33" s="538">
        <f t="shared" si="39"/>
        <v>1.7499999999999998E-2</v>
      </c>
      <c r="BL33" s="538">
        <f t="shared" si="40"/>
        <v>9.4494456000000004E-2</v>
      </c>
      <c r="BM33">
        <f t="shared" si="41"/>
        <v>6.96E-3</v>
      </c>
      <c r="BN33">
        <f t="shared" si="42"/>
        <v>6.6500000000000004E-5</v>
      </c>
      <c r="BO33" s="538">
        <f t="shared" si="43"/>
        <v>0.19636902856394972</v>
      </c>
      <c r="BP33" s="469">
        <f t="shared" si="60"/>
        <v>196.36902856394971</v>
      </c>
      <c r="BQ33" s="538">
        <f t="shared" si="44"/>
        <v>0.22826178066880065</v>
      </c>
      <c r="BR33" s="538"/>
      <c r="BT33" s="469">
        <f t="shared" si="61"/>
        <v>228.26178066880064</v>
      </c>
      <c r="BU33" s="538">
        <f t="shared" si="45"/>
        <v>5.344045980492337E-3</v>
      </c>
      <c r="BV33" s="538">
        <f t="shared" si="46"/>
        <v>4.7631589267853644E-2</v>
      </c>
      <c r="BW33" s="538">
        <f t="shared" si="47"/>
        <v>0</v>
      </c>
      <c r="BX33" s="538">
        <f t="shared" si="48"/>
        <v>5.9585236739563625E-2</v>
      </c>
      <c r="BY33" s="538">
        <f t="shared" si="49"/>
        <v>2.3644444444444451E-2</v>
      </c>
      <c r="BZ33" s="469">
        <f t="shared" si="62"/>
        <v>83.229681184008072</v>
      </c>
      <c r="CA33" s="177">
        <f t="shared" si="63"/>
        <v>0.5078604904167584</v>
      </c>
      <c r="CB33" s="5">
        <f t="shared" si="64"/>
        <v>1.4000000000000001</v>
      </c>
      <c r="CC33" s="177">
        <f t="shared" si="65"/>
        <v>0.73380627516123054</v>
      </c>
      <c r="CD33" s="5">
        <f t="shared" si="66"/>
        <v>73.380627516123056</v>
      </c>
      <c r="CG33" s="571">
        <f t="shared" si="50"/>
        <v>-50</v>
      </c>
      <c r="CH33">
        <f t="shared" si="51"/>
        <v>-50</v>
      </c>
    </row>
    <row r="34" spans="5:86" x14ac:dyDescent="0.2">
      <c r="E34" s="174">
        <v>29</v>
      </c>
      <c r="F34" s="221">
        <f t="shared" si="52"/>
        <v>0.28999999999999998</v>
      </c>
      <c r="G34" s="221"/>
      <c r="H34" s="221">
        <f t="shared" si="0"/>
        <v>1.45</v>
      </c>
      <c r="I34" s="551">
        <f t="shared" si="1"/>
        <v>24</v>
      </c>
      <c r="J34" s="176">
        <f t="shared" si="2"/>
        <v>10.64</v>
      </c>
      <c r="K34" s="451">
        <f t="shared" si="3"/>
        <v>34.64</v>
      </c>
      <c r="L34" s="451"/>
      <c r="M34" s="221">
        <f t="shared" si="4"/>
        <v>0.30715935334872979</v>
      </c>
      <c r="N34" s="176">
        <f t="shared" si="5"/>
        <v>13.601016166281754</v>
      </c>
      <c r="O34" s="176">
        <f t="shared" si="53"/>
        <v>1.45</v>
      </c>
      <c r="P34" s="221">
        <f t="shared" si="6"/>
        <v>2.7202032332563508</v>
      </c>
      <c r="Q34" s="221">
        <f t="shared" si="7"/>
        <v>5</v>
      </c>
      <c r="R34" s="221">
        <f t="shared" si="8"/>
        <v>3.0224480369515008</v>
      </c>
      <c r="S34" s="176">
        <f t="shared" si="9"/>
        <v>140.71688209308172</v>
      </c>
      <c r="T34" s="176">
        <f t="shared" si="10"/>
        <v>5</v>
      </c>
      <c r="U34" s="221">
        <f t="shared" si="11"/>
        <v>0.43709969367864104</v>
      </c>
      <c r="V34" s="221">
        <f t="shared" si="12"/>
        <v>0.12748741065627031</v>
      </c>
      <c r="W34" s="221">
        <f t="shared" si="13"/>
        <v>0.28756558794647435</v>
      </c>
      <c r="X34" s="201">
        <f t="shared" si="14"/>
        <v>350</v>
      </c>
      <c r="Y34" s="451">
        <f t="shared" si="54"/>
        <v>350</v>
      </c>
      <c r="AA34" s="221">
        <f t="shared" si="15"/>
        <v>3.0089079511712309</v>
      </c>
      <c r="AB34" s="177">
        <f t="shared" si="16"/>
        <v>1.9795447047179149</v>
      </c>
      <c r="AC34" s="177">
        <f t="shared" si="17"/>
        <v>2.0846937306036244</v>
      </c>
      <c r="AD34" s="177"/>
      <c r="AE34" s="177">
        <f t="shared" si="18"/>
        <v>0.53947368421052622</v>
      </c>
      <c r="AF34" s="555">
        <f t="shared" si="19"/>
        <v>655.56216537775151</v>
      </c>
      <c r="AG34" s="538">
        <f t="shared" si="20"/>
        <v>0.15482894736842101</v>
      </c>
      <c r="AI34" s="177">
        <f t="shared" si="21"/>
        <v>1.1829476232551801</v>
      </c>
      <c r="AJ34" s="177">
        <f t="shared" si="22"/>
        <v>1.1829476232551801</v>
      </c>
      <c r="AK34" s="177">
        <f t="shared" si="23"/>
        <v>1.4419650821701202</v>
      </c>
      <c r="AM34" s="555">
        <f t="shared" si="24"/>
        <v>290</v>
      </c>
      <c r="AN34" s="469">
        <f t="shared" si="25"/>
        <v>350</v>
      </c>
      <c r="AP34">
        <f t="shared" si="26"/>
        <v>290</v>
      </c>
      <c r="AQ34" s="469">
        <f t="shared" si="27"/>
        <v>350</v>
      </c>
      <c r="AR34" s="469"/>
      <c r="AS34" s="5">
        <f t="shared" si="55"/>
        <v>2.8571428571428572</v>
      </c>
      <c r="AT34" s="5">
        <f t="shared" si="28"/>
        <v>0.34502639011609421</v>
      </c>
      <c r="AU34" s="5">
        <f t="shared" si="56"/>
        <v>2.5121164670267628</v>
      </c>
      <c r="AV34" s="5">
        <f t="shared" si="29"/>
        <v>0.77825501529946062</v>
      </c>
      <c r="AW34" s="177">
        <f t="shared" si="57"/>
        <v>0.12075923654063297</v>
      </c>
      <c r="AX34" s="177">
        <f t="shared" si="30"/>
        <v>1.7142222222222228</v>
      </c>
      <c r="AY34" s="177">
        <f t="shared" si="31"/>
        <v>1.0400957714033283</v>
      </c>
      <c r="AZ34" s="177">
        <f t="shared" si="58"/>
        <v>1.6481388246674082</v>
      </c>
      <c r="BA34" s="469">
        <f t="shared" si="32"/>
        <v>100.52933910789432</v>
      </c>
      <c r="BB34" s="469">
        <f t="shared" si="33"/>
        <v>1.3938710477777776</v>
      </c>
      <c r="BC34" s="5">
        <f t="shared" si="34"/>
        <v>0.14053120668166685</v>
      </c>
      <c r="BD34" s="469">
        <f t="shared" si="35"/>
        <v>17.065133690688917</v>
      </c>
      <c r="BE34" s="5"/>
      <c r="BF34" s="177">
        <f t="shared" si="59"/>
        <v>0.2373367920808945</v>
      </c>
      <c r="BG34" s="177">
        <f t="shared" si="36"/>
        <v>1.280822038504611</v>
      </c>
      <c r="BH34" s="177"/>
      <c r="BI34" s="538">
        <f t="shared" si="37"/>
        <v>6.1961628162774725E-3</v>
      </c>
      <c r="BJ34" s="538">
        <f t="shared" si="38"/>
        <v>7.1710284921729026E-2</v>
      </c>
      <c r="BK34" s="538">
        <f t="shared" si="39"/>
        <v>1.7499999999999998E-2</v>
      </c>
      <c r="BL34" s="538">
        <f t="shared" si="40"/>
        <v>9.4494456000000004E-2</v>
      </c>
      <c r="BM34">
        <f t="shared" si="41"/>
        <v>6.96E-3</v>
      </c>
      <c r="BN34">
        <f t="shared" si="42"/>
        <v>6.6500000000000004E-5</v>
      </c>
      <c r="BO34" s="538">
        <f t="shared" si="43"/>
        <v>0.19799022656913701</v>
      </c>
      <c r="BP34" s="469">
        <f t="shared" si="60"/>
        <v>197.99022656913701</v>
      </c>
      <c r="BQ34" s="538">
        <f t="shared" si="44"/>
        <v>0.2361145892059798</v>
      </c>
      <c r="BR34" s="538"/>
      <c r="BT34" s="469">
        <f t="shared" si="61"/>
        <v>236.1145892059798</v>
      </c>
      <c r="BU34" s="538">
        <f t="shared" si="45"/>
        <v>5.632875287524975E-3</v>
      </c>
      <c r="BV34" s="538">
        <f t="shared" si="46"/>
        <v>4.9215152829573207E-2</v>
      </c>
      <c r="BW34" s="538">
        <f t="shared" si="47"/>
        <v>0</v>
      </c>
      <c r="BX34" s="538">
        <f t="shared" si="48"/>
        <v>6.1700523655654371E-2</v>
      </c>
      <c r="BY34" s="538">
        <f t="shared" si="49"/>
        <v>2.4488888888888897E-2</v>
      </c>
      <c r="BZ34" s="469">
        <f t="shared" si="62"/>
        <v>86.189412544543259</v>
      </c>
      <c r="CA34" s="177">
        <f t="shared" si="63"/>
        <v>0.5202942283196601</v>
      </c>
      <c r="CB34" s="5">
        <f t="shared" si="64"/>
        <v>1.45</v>
      </c>
      <c r="CC34" s="177">
        <f t="shared" si="65"/>
        <v>0.73593069459306781</v>
      </c>
      <c r="CD34" s="5">
        <f t="shared" si="66"/>
        <v>73.593069459306776</v>
      </c>
      <c r="CG34" s="571">
        <f t="shared" si="50"/>
        <v>-50</v>
      </c>
      <c r="CH34">
        <f t="shared" si="51"/>
        <v>-50</v>
      </c>
    </row>
    <row r="35" spans="5:86" x14ac:dyDescent="0.2">
      <c r="E35" s="174">
        <v>30</v>
      </c>
      <c r="F35" s="221">
        <f t="shared" si="52"/>
        <v>0.3</v>
      </c>
      <c r="G35" s="221"/>
      <c r="H35" s="221">
        <f t="shared" si="0"/>
        <v>1.5</v>
      </c>
      <c r="I35" s="551">
        <f t="shared" si="1"/>
        <v>24</v>
      </c>
      <c r="J35" s="176">
        <f t="shared" si="2"/>
        <v>10.64</v>
      </c>
      <c r="K35" s="451">
        <f t="shared" si="3"/>
        <v>34.64</v>
      </c>
      <c r="L35" s="451"/>
      <c r="M35" s="221">
        <f t="shared" si="4"/>
        <v>0.30715935334872979</v>
      </c>
      <c r="N35" s="176">
        <f t="shared" si="5"/>
        <v>13.601016166281754</v>
      </c>
      <c r="O35" s="176">
        <f t="shared" si="53"/>
        <v>1.5</v>
      </c>
      <c r="P35" s="221">
        <f t="shared" si="6"/>
        <v>2.7202032332563508</v>
      </c>
      <c r="Q35" s="221">
        <f t="shared" si="7"/>
        <v>5</v>
      </c>
      <c r="R35" s="221">
        <f t="shared" si="8"/>
        <v>3.0224480369515008</v>
      </c>
      <c r="S35" s="176">
        <f t="shared" si="9"/>
        <v>135.62824604297424</v>
      </c>
      <c r="T35" s="176">
        <f t="shared" si="10"/>
        <v>5</v>
      </c>
      <c r="U35" s="221">
        <f t="shared" si="11"/>
        <v>0.452172096908939</v>
      </c>
      <c r="V35" s="221">
        <f t="shared" si="12"/>
        <v>0.13188352826510721</v>
      </c>
      <c r="W35" s="221">
        <f t="shared" si="13"/>
        <v>0.29748164270324934</v>
      </c>
      <c r="X35" s="201">
        <f t="shared" si="14"/>
        <v>350</v>
      </c>
      <c r="Y35" s="451">
        <f t="shared" si="54"/>
        <v>350</v>
      </c>
      <c r="AA35" s="221">
        <f t="shared" si="15"/>
        <v>3.0089079511712309</v>
      </c>
      <c r="AB35" s="177">
        <f t="shared" si="16"/>
        <v>1.9795447047179149</v>
      </c>
      <c r="AC35" s="177">
        <f t="shared" si="17"/>
        <v>2.0846937306036244</v>
      </c>
      <c r="AD35" s="177"/>
      <c r="AE35" s="177">
        <f t="shared" si="18"/>
        <v>0.53947368421052622</v>
      </c>
      <c r="AF35" s="555">
        <f t="shared" si="19"/>
        <v>678.1677572873291</v>
      </c>
      <c r="AG35" s="538">
        <f t="shared" si="20"/>
        <v>0.15482894736842101</v>
      </c>
      <c r="AI35" s="177">
        <f t="shared" si="21"/>
        <v>1.2031704150364768</v>
      </c>
      <c r="AJ35" s="177">
        <f t="shared" si="22"/>
        <v>1.2031704150364768</v>
      </c>
      <c r="AK35" s="177">
        <f t="shared" si="23"/>
        <v>1.4554469433576513</v>
      </c>
      <c r="AM35" s="555">
        <f t="shared" si="24"/>
        <v>300</v>
      </c>
      <c r="AN35" s="469">
        <f t="shared" si="25"/>
        <v>350</v>
      </c>
      <c r="AP35">
        <f t="shared" si="26"/>
        <v>300</v>
      </c>
      <c r="AQ35" s="469">
        <f t="shared" si="27"/>
        <v>350</v>
      </c>
      <c r="AR35" s="469"/>
      <c r="AS35" s="5">
        <f t="shared" si="55"/>
        <v>2.8571428571428572</v>
      </c>
      <c r="AT35" s="5">
        <f t="shared" si="28"/>
        <v>0.35092470438563905</v>
      </c>
      <c r="AU35" s="5">
        <f t="shared" si="56"/>
        <v>2.506218152757218</v>
      </c>
      <c r="AV35" s="5">
        <f t="shared" si="29"/>
        <v>0.79155948357662953</v>
      </c>
      <c r="AW35" s="177">
        <f t="shared" si="57"/>
        <v>0.12282364653497367</v>
      </c>
      <c r="AX35" s="177">
        <f t="shared" si="30"/>
        <v>1.7733333333333337</v>
      </c>
      <c r="AY35" s="177">
        <f t="shared" si="31"/>
        <v>1.055392637258699</v>
      </c>
      <c r="AZ35" s="177">
        <f t="shared" si="58"/>
        <v>1.6802593373584926</v>
      </c>
      <c r="BA35" s="469">
        <f t="shared" si="32"/>
        <v>100.52933910789432</v>
      </c>
      <c r="BB35" s="469">
        <f t="shared" si="33"/>
        <v>1.460623</v>
      </c>
      <c r="BC35" s="5">
        <f t="shared" si="34"/>
        <v>0.14503577272900561</v>
      </c>
      <c r="BD35" s="469">
        <f t="shared" si="35"/>
        <v>17.612626060814016</v>
      </c>
      <c r="BE35" s="5"/>
      <c r="BF35" s="177">
        <f t="shared" si="59"/>
        <v>0.24344872849812216</v>
      </c>
      <c r="BG35" s="177">
        <f t="shared" si="36"/>
        <v>1.3011877637486917</v>
      </c>
      <c r="BH35" s="177"/>
      <c r="BI35" s="538">
        <f t="shared" si="37"/>
        <v>6.519401174808764E-3</v>
      </c>
      <c r="BJ35" s="538">
        <f t="shared" si="38"/>
        <v>7.2936190559511227E-2</v>
      </c>
      <c r="BK35" s="538">
        <f t="shared" si="39"/>
        <v>1.7499999999999998E-2</v>
      </c>
      <c r="BL35" s="538">
        <f t="shared" si="40"/>
        <v>9.4494456000000004E-2</v>
      </c>
      <c r="BM35">
        <f t="shared" si="41"/>
        <v>6.96E-3</v>
      </c>
      <c r="BN35">
        <f t="shared" si="42"/>
        <v>6.6500000000000004E-5</v>
      </c>
      <c r="BO35" s="538">
        <f t="shared" si="43"/>
        <v>0.19959674775256372</v>
      </c>
      <c r="BP35" s="469">
        <f t="shared" si="60"/>
        <v>199.59674775256372</v>
      </c>
      <c r="BQ35" s="538">
        <f t="shared" si="44"/>
        <v>0.24395204517484015</v>
      </c>
      <c r="BR35" s="538"/>
      <c r="BT35" s="469">
        <f t="shared" si="61"/>
        <v>243.95204517484015</v>
      </c>
      <c r="BU35" s="538">
        <f t="shared" si="45"/>
        <v>5.9267283407352404E-3</v>
      </c>
      <c r="BV35" s="538">
        <f t="shared" si="46"/>
        <v>5.079268789587963E-2</v>
      </c>
      <c r="BW35" s="538">
        <f t="shared" si="47"/>
        <v>0</v>
      </c>
      <c r="BX35" s="538">
        <f t="shared" si="48"/>
        <v>6.3815311562511329E-2</v>
      </c>
      <c r="BY35" s="538">
        <f t="shared" si="49"/>
        <v>2.5333333333333336E-2</v>
      </c>
      <c r="BZ35" s="469">
        <f t="shared" si="62"/>
        <v>89.148644895844654</v>
      </c>
      <c r="CA35" s="177">
        <f t="shared" si="63"/>
        <v>0.53269743782324852</v>
      </c>
      <c r="CB35" s="5">
        <f t="shared" si="64"/>
        <v>1.5</v>
      </c>
      <c r="CC35" s="177">
        <f t="shared" si="65"/>
        <v>0.73793569671947967</v>
      </c>
      <c r="CD35" s="5">
        <f t="shared" si="66"/>
        <v>73.793569671947964</v>
      </c>
      <c r="CG35" s="571">
        <f t="shared" si="50"/>
        <v>-50</v>
      </c>
      <c r="CH35">
        <f t="shared" si="51"/>
        <v>-50</v>
      </c>
    </row>
    <row r="36" spans="5:86" x14ac:dyDescent="0.2">
      <c r="E36" s="174">
        <v>31</v>
      </c>
      <c r="F36" s="221">
        <f t="shared" si="52"/>
        <v>0.31</v>
      </c>
      <c r="G36" s="221"/>
      <c r="H36" s="221">
        <f t="shared" si="0"/>
        <v>1.55</v>
      </c>
      <c r="I36" s="551">
        <f t="shared" si="1"/>
        <v>24</v>
      </c>
      <c r="J36" s="176">
        <f t="shared" si="2"/>
        <v>10.64</v>
      </c>
      <c r="K36" s="451">
        <f t="shared" si="3"/>
        <v>34.64</v>
      </c>
      <c r="L36" s="451"/>
      <c r="M36" s="221">
        <f t="shared" si="4"/>
        <v>0.30715935334872979</v>
      </c>
      <c r="N36" s="176">
        <f t="shared" si="5"/>
        <v>13.601016166281754</v>
      </c>
      <c r="O36" s="176">
        <f t="shared" si="53"/>
        <v>1.55</v>
      </c>
      <c r="P36" s="221">
        <f t="shared" si="6"/>
        <v>2.7202032332563508</v>
      </c>
      <c r="Q36" s="221">
        <f t="shared" si="7"/>
        <v>5</v>
      </c>
      <c r="R36" s="221">
        <f t="shared" si="8"/>
        <v>3.0224480369515008</v>
      </c>
      <c r="S36" s="176">
        <f t="shared" si="9"/>
        <v>130.8679806516422</v>
      </c>
      <c r="T36" s="176">
        <f t="shared" si="10"/>
        <v>5</v>
      </c>
      <c r="U36" s="221">
        <f t="shared" si="11"/>
        <v>0.46724450013923696</v>
      </c>
      <c r="V36" s="221">
        <f t="shared" si="12"/>
        <v>0.13627964587394412</v>
      </c>
      <c r="W36" s="221">
        <f t="shared" si="13"/>
        <v>0.30739769746002432</v>
      </c>
      <c r="X36" s="201">
        <f t="shared" si="14"/>
        <v>350</v>
      </c>
      <c r="Y36" s="451">
        <f t="shared" si="54"/>
        <v>350</v>
      </c>
      <c r="AA36" s="221">
        <f t="shared" si="15"/>
        <v>3.0089079511712309</v>
      </c>
      <c r="AB36" s="177">
        <f t="shared" si="16"/>
        <v>1.9795447047179149</v>
      </c>
      <c r="AC36" s="177">
        <f t="shared" si="17"/>
        <v>2.0846937306036244</v>
      </c>
      <c r="AD36" s="177"/>
      <c r="AE36" s="177">
        <f t="shared" si="18"/>
        <v>0.53947368421052622</v>
      </c>
      <c r="AF36" s="555">
        <f t="shared" si="19"/>
        <v>700.77334919690668</v>
      </c>
      <c r="AG36" s="538">
        <f t="shared" si="20"/>
        <v>0.15482894736842101</v>
      </c>
      <c r="AI36" s="177">
        <f t="shared" si="21"/>
        <v>1.2230588766993256</v>
      </c>
      <c r="AJ36" s="177">
        <f t="shared" si="22"/>
        <v>1.2230588766993256</v>
      </c>
      <c r="AK36" s="177">
        <f t="shared" si="23"/>
        <v>1.4687059177995505</v>
      </c>
      <c r="AM36" s="555">
        <f t="shared" si="24"/>
        <v>310</v>
      </c>
      <c r="AN36" s="469">
        <f t="shared" si="25"/>
        <v>350</v>
      </c>
      <c r="AP36">
        <f t="shared" si="26"/>
        <v>310</v>
      </c>
      <c r="AQ36" s="469">
        <f t="shared" si="27"/>
        <v>350</v>
      </c>
      <c r="AR36" s="469"/>
      <c r="AS36" s="5">
        <f t="shared" si="55"/>
        <v>2.8571428571428572</v>
      </c>
      <c r="AT36" s="5">
        <f t="shared" si="28"/>
        <v>0.35672550570396994</v>
      </c>
      <c r="AU36" s="5">
        <f t="shared" si="56"/>
        <v>2.5004173514388874</v>
      </c>
      <c r="AV36" s="5">
        <f t="shared" si="29"/>
        <v>0.80464399782850349</v>
      </c>
      <c r="AW36" s="177">
        <f t="shared" si="57"/>
        <v>0.12485392699638947</v>
      </c>
      <c r="AX36" s="177">
        <f t="shared" si="30"/>
        <v>1.8324444444444448</v>
      </c>
      <c r="AY36" s="177">
        <f t="shared" si="31"/>
        <v>1.0703551729956218</v>
      </c>
      <c r="AZ36" s="177">
        <f t="shared" si="58"/>
        <v>1.7119966256770174</v>
      </c>
      <c r="BA36" s="469">
        <f t="shared" si="32"/>
        <v>100.52933910789432</v>
      </c>
      <c r="BB36" s="469">
        <f t="shared" si="33"/>
        <v>1.528620781111111</v>
      </c>
      <c r="BC36" s="5">
        <f t="shared" si="34"/>
        <v>0.14952341414854456</v>
      </c>
      <c r="BD36" s="469">
        <f t="shared" si="35"/>
        <v>18.158087475603129</v>
      </c>
      <c r="BE36" s="5"/>
      <c r="BF36" s="177">
        <f t="shared" si="59"/>
        <v>0.2495099332155459</v>
      </c>
      <c r="BG36" s="177">
        <f t="shared" si="36"/>
        <v>1.3211648373327416</v>
      </c>
      <c r="BH36" s="177"/>
      <c r="BI36" s="538">
        <f t="shared" si="37"/>
        <v>6.84807274505488E-3</v>
      </c>
      <c r="BJ36" s="538">
        <f t="shared" si="38"/>
        <v>7.4141829105513118E-2</v>
      </c>
      <c r="BK36" s="538">
        <f t="shared" si="39"/>
        <v>1.7499999999999998E-2</v>
      </c>
      <c r="BL36" s="538">
        <f t="shared" si="40"/>
        <v>9.4494456000000004E-2</v>
      </c>
      <c r="BM36">
        <f t="shared" si="41"/>
        <v>6.96E-3</v>
      </c>
      <c r="BN36">
        <f t="shared" si="42"/>
        <v>6.6500000000000004E-5</v>
      </c>
      <c r="BO36" s="538">
        <f t="shared" si="43"/>
        <v>0.20118954450855495</v>
      </c>
      <c r="BP36" s="469">
        <f t="shared" si="60"/>
        <v>201.18954450855495</v>
      </c>
      <c r="BQ36" s="538">
        <f t="shared" si="44"/>
        <v>0.25177440669369994</v>
      </c>
      <c r="BR36" s="538"/>
      <c r="BT36" s="469">
        <f t="shared" si="61"/>
        <v>251.77440669369994</v>
      </c>
      <c r="BU36" s="538">
        <f t="shared" si="45"/>
        <v>6.2255206773226181E-3</v>
      </c>
      <c r="BV36" s="538">
        <f t="shared" si="46"/>
        <v>5.2364295822133484E-2</v>
      </c>
      <c r="BW36" s="538">
        <f t="shared" si="47"/>
        <v>0</v>
      </c>
      <c r="BX36" s="538">
        <f t="shared" si="48"/>
        <v>6.5929618820878388E-2</v>
      </c>
      <c r="BY36" s="538">
        <f t="shared" si="49"/>
        <v>2.6177777777777782E-2</v>
      </c>
      <c r="BZ36" s="469">
        <f t="shared" si="62"/>
        <v>92.10739659865618</v>
      </c>
      <c r="CA36" s="177">
        <f t="shared" si="63"/>
        <v>0.54507134780091093</v>
      </c>
      <c r="CB36" s="5">
        <f t="shared" si="64"/>
        <v>1.55</v>
      </c>
      <c r="CC36" s="177">
        <f t="shared" si="65"/>
        <v>0.73983160603430309</v>
      </c>
      <c r="CD36" s="5">
        <f t="shared" si="66"/>
        <v>73.983160603430306</v>
      </c>
      <c r="CG36" s="571">
        <f t="shared" si="50"/>
        <v>-50</v>
      </c>
      <c r="CH36">
        <f t="shared" si="51"/>
        <v>-50</v>
      </c>
    </row>
    <row r="37" spans="5:86" x14ac:dyDescent="0.2">
      <c r="E37" s="174">
        <v>32</v>
      </c>
      <c r="F37" s="221">
        <f t="shared" si="52"/>
        <v>0.32</v>
      </c>
      <c r="G37" s="221"/>
      <c r="H37" s="221">
        <f t="shared" ref="H37:H68" si="67">F37*Vout</f>
        <v>1.6</v>
      </c>
      <c r="I37" s="551">
        <f t="shared" ref="I37:I68" si="68">Vin</f>
        <v>24</v>
      </c>
      <c r="J37" s="176">
        <f t="shared" ref="J37:J68" si="69">(T37+Vfwd1)*Nps</f>
        <v>10.64</v>
      </c>
      <c r="K37" s="451">
        <f t="shared" ref="K37:K68" si="70">(Vout+Vfwd1)*Nps+I37</f>
        <v>34.64</v>
      </c>
      <c r="L37" s="451"/>
      <c r="M37" s="221">
        <f t="shared" ref="M37:M68" si="71">(Vout+Vfwd1)*Nps/((Vout+Vfwd1)*Nps+I37)</f>
        <v>0.30715935334872979</v>
      </c>
      <c r="N37" s="176">
        <f t="shared" ref="N37:N68" si="72">M37*I37*Isw_max*0.5*Efficiency</f>
        <v>13.601016166281754</v>
      </c>
      <c r="O37" s="176">
        <f t="shared" si="53"/>
        <v>1.6</v>
      </c>
      <c r="P37" s="221">
        <f t="shared" ref="P37:P68" si="73">N37/Vout</f>
        <v>2.7202032332563508</v>
      </c>
      <c r="Q37" s="221">
        <f t="shared" ref="Q37:Q68" si="74">MIN(Vout,N37/F37)</f>
        <v>5</v>
      </c>
      <c r="R37" s="221">
        <f t="shared" ref="R37:R68" si="75">Isw_max/2*I37*Nps*(Q37+Vfwd1)/Q37/(I37+Nps*(Q37+Vfwd1))</f>
        <v>3.0224480369515008</v>
      </c>
      <c r="S37" s="176">
        <f t="shared" ref="S37:S68" si="76">(SQRT(Isw_max^2*Nps^2*I37^2+4*Isw_max*F37/Efficiency*(Nps^2*Vfwd1*I37-Nps*I37^2)+4*(F37/Efficiency)^2*Nps^2*Vfwd1^2+8*(F37/Efficiency)^2*Nps*Vfwd1*I37+4*(F37/Efficiency)^2*I37^2)-2*F37/Efficiency*I37-2*F37/Efficiency*Nps*Vfwd1+Isw_max*Nps*I37)/(4*F37/Efficiency*Nps)</f>
        <v>126.40530176252565</v>
      </c>
      <c r="T37" s="176">
        <f t="shared" ref="T37:T68" si="77">MIN(Vout, S37)</f>
        <v>5</v>
      </c>
      <c r="U37" s="221">
        <f t="shared" ref="U37:U68" si="78">MIN(2*Vout*F37/(Efficiency*I37*M37), Isw_max)</f>
        <v>0.48231690336953498</v>
      </c>
      <c r="V37" s="221">
        <f t="shared" ref="V37:V68" si="79">L*U37/I37*1000000</f>
        <v>0.14067576348278105</v>
      </c>
      <c r="W37" s="221">
        <f t="shared" ref="W37:W68" si="80">L*U37/J37*1000000</f>
        <v>0.31731375221679931</v>
      </c>
      <c r="X37" s="201">
        <f t="shared" ref="X37:X68" si="81">IF(1/((350000*L)*(1/I37+1/J37))&gt;Isw_min, 350, 0.001/((Isw_min*L)*(1/I37+1/J37)))</f>
        <v>350</v>
      </c>
      <c r="Y37" s="451">
        <f t="shared" si="54"/>
        <v>350</v>
      </c>
      <c r="AA37" s="221">
        <f t="shared" ref="AA37:AA68" si="82">1/((X37*1000*L)*(1/I37+1/J37))</f>
        <v>3.0089079511712309</v>
      </c>
      <c r="AB37" s="177">
        <f t="shared" ref="AB37:AB68" si="83">L*AA37/J37*1000000</f>
        <v>1.9795447047179149</v>
      </c>
      <c r="AC37" s="177">
        <f t="shared" ref="AC37:AC68" si="84">0.5*AB37*AA37*Nps*X37/1000</f>
        <v>2.0846937306036244</v>
      </c>
      <c r="AD37" s="177"/>
      <c r="AE37" s="177">
        <f t="shared" ref="AE37:AE68" si="85">L*Isw_min/J37*1000000</f>
        <v>0.53947368421052622</v>
      </c>
      <c r="AF37" s="555">
        <f t="shared" ref="AF37:AF68" si="86">MAX(12, F37/(0.5*AE37/1000000*Isw_min*Nps)/1000)</f>
        <v>723.37894110648438</v>
      </c>
      <c r="AG37" s="538">
        <f t="shared" ref="AG37:AG68" si="87">0.5*AE37/1000000*Isw_min*Nps*X37*1000</f>
        <v>0.15482894736842101</v>
      </c>
      <c r="AI37" s="177">
        <f t="shared" ref="AI37:AI68" si="88">SQRT(F37/Efficiency/(0.5*L/J37*Fsw_DCM*Nps))</f>
        <v>1.2426290613561974</v>
      </c>
      <c r="AJ37" s="177">
        <f t="shared" ref="AJ37:AJ71" si="89">MAX(IF(F37&gt;AC37,U37,AI37),Isw_min)</f>
        <v>1.2426290613561974</v>
      </c>
      <c r="AK37" s="177">
        <f t="shared" ref="AK37:AK68" si="90">IF(F37&gt;AG37, (AJ37-Isw_min)/1.2*0.8+1.2, AF37*0.2/350+1)</f>
        <v>1.4817527075707984</v>
      </c>
      <c r="AM37" s="555">
        <f t="shared" ref="AM37:AM68" si="91">F37*1000</f>
        <v>320</v>
      </c>
      <c r="AN37" s="469">
        <f t="shared" ref="AN37:AN68" si="92">IF(F37&gt;AG37, Y37, AF37)</f>
        <v>350</v>
      </c>
      <c r="AP37">
        <f t="shared" ref="AP37:AP68" si="93">IF(H37&gt;N37, "",AM37)</f>
        <v>320</v>
      </c>
      <c r="AQ37" s="469">
        <f t="shared" ref="AQ37:AQ68" si="94">IF(H37&gt;N37, "",AN37)</f>
        <v>350</v>
      </c>
      <c r="AR37" s="469"/>
      <c r="AS37" s="5">
        <f t="shared" si="55"/>
        <v>2.8571428571428572</v>
      </c>
      <c r="AT37" s="5">
        <f t="shared" ref="AT37:AT68" si="95">L*AJ37/I37*1000000</f>
        <v>0.36243347622889094</v>
      </c>
      <c r="AU37" s="5">
        <f t="shared" si="56"/>
        <v>2.4947093809139664</v>
      </c>
      <c r="AV37" s="5">
        <f t="shared" ref="AV37:AV68" si="96">L*AJ37/J37*1000000</f>
        <v>0.81751911931328769</v>
      </c>
      <c r="AW37" s="177">
        <f t="shared" si="57"/>
        <v>0.12685171668011183</v>
      </c>
      <c r="AX37" s="177">
        <f t="shared" ref="AX37:AX68" si="97">0.5*L*AJ37^2*AN37*1000</f>
        <v>1.8915555555555559</v>
      </c>
      <c r="AY37" s="177">
        <f t="shared" ref="AY37:AY68" si="98">AJ37*Nps/2*(1-AW37)</f>
        <v>1.0849994317265677</v>
      </c>
      <c r="AZ37" s="177">
        <f t="shared" si="58"/>
        <v>1.743370088724848</v>
      </c>
      <c r="BA37" s="469">
        <f t="shared" ref="BA37:BA68" si="99">L*Isw_max^2/(2*Vout_ripple*Vout)*1000000000*((1+M37)/2)^2</f>
        <v>100.52933910789432</v>
      </c>
      <c r="BB37" s="469">
        <f t="shared" ref="BB37:BB68" si="100">L*F37^2/(2*Cout*Vout*Nps^2)*1000000000*((1+M37)/(1-M37))^2+F37*RCoutEsr</f>
        <v>1.597864391111111</v>
      </c>
      <c r="BC37" s="5">
        <f t="shared" ref="BC37:BC68" si="101">H37/Efficiency/I37*AU37/Vinripple1</f>
        <v>0.1539944062292572</v>
      </c>
      <c r="BD37" s="469">
        <f t="shared" ref="BD37:BD68" si="102">((CB37/I37/Efficiency)*AU37/Cin+(CB37/I37/Efficiency)*RCinEsr)*1000</f>
        <v>18.701550969733084</v>
      </c>
      <c r="BE37" s="5"/>
      <c r="BF37" s="177">
        <f t="shared" si="59"/>
        <v>0.25552244435573673</v>
      </c>
      <c r="BG37" s="177">
        <f t="shared" ref="BG37:BG68" si="103">AJ37*Nps*SQRT((1-AW37)/3)</f>
        <v>1.3407718301627076</v>
      </c>
      <c r="BH37" s="177"/>
      <c r="BI37" s="538">
        <f t="shared" ref="BI37:BI68" si="104">Rdson*BF37^2</f>
        <v>7.1820891526483627E-3</v>
      </c>
      <c r="BJ37" s="538">
        <f t="shared" ref="BJ37:BJ68" si="105">0.5*K37*AJ37*AN37*1000*Trise</f>
        <v>7.5328173699412679E-2</v>
      </c>
      <c r="BK37" s="538">
        <f t="shared" ref="BK37:BK68" si="106">Qg*Vdd*AN37*1000</f>
        <v>1.7499999999999998E-2</v>
      </c>
      <c r="BL37" s="538">
        <f t="shared" ref="BL37:BL68" si="107">0.5*(Coss+Csw)*K37^2*AN37*1000</f>
        <v>9.4494456000000004E-2</v>
      </c>
      <c r="BM37">
        <f t="shared" ref="BM37:BM68" si="108">I37*IQ</f>
        <v>6.96E-3</v>
      </c>
      <c r="BN37">
        <f t="shared" ref="BN37:BN68" si="109">(I37-Vdd)*Qg*AN37</f>
        <v>6.6500000000000004E-5</v>
      </c>
      <c r="BO37" s="538">
        <f t="shared" ref="BO37:BO68" si="110">(BJ37+BK37+BL37+BM37+BN37+BI37*(1+RdsonTC*(Ta-25)))/(1-BI37*RdsonTC*ThetaJA)</f>
        <v>0.20276948981575127</v>
      </c>
      <c r="BP37" s="469">
        <f t="shared" si="60"/>
        <v>202.76948981575126</v>
      </c>
      <c r="BQ37" s="538">
        <f t="shared" ref="BQ37:BQ68" si="111">(Vfwd2*F37+BG37^2*Rdiode)*(1+Diode_TC/1000*(Ta-25))</f>
        <v>0.25958191928262025</v>
      </c>
      <c r="BR37" s="538"/>
      <c r="BT37" s="469">
        <f t="shared" si="61"/>
        <v>259.58191928262028</v>
      </c>
      <c r="BU37" s="538">
        <f t="shared" ref="BU37:BU68" si="112">Rdcr_pri*BF37^2</f>
        <v>6.5291719569530579E-3</v>
      </c>
      <c r="BV37" s="538">
        <f t="shared" ref="BV37:BV68" si="113">Rdcr_sec*BG37^2</f>
        <v>5.3930073016735691E-2</v>
      </c>
      <c r="BW37" s="538">
        <f t="shared" ref="BW37:BW68" si="114">AJ37^2.5*AN37^2.5*k_core</f>
        <v>0</v>
      </c>
      <c r="BX37" s="538">
        <f t="shared" ref="BX37:BX68" si="115">(BW37+(BU37+BV37)*(1+Ltc*(Ta-25)))/(1-(BU37+BV37)*Ltc*ThetaCa)</f>
        <v>6.8043462881829858E-2</v>
      </c>
      <c r="BY37" s="538">
        <f t="shared" ref="BY37:BY68" si="116">0.5*Lleak*0.000000001*AJ37^2*AN37*1000</f>
        <v>2.7022222222222229E-2</v>
      </c>
      <c r="BZ37" s="469">
        <f t="shared" si="62"/>
        <v>95.065685104052079</v>
      </c>
      <c r="CA37" s="177">
        <f t="shared" si="63"/>
        <v>0.55741709420242369</v>
      </c>
      <c r="CB37" s="5">
        <f t="shared" si="64"/>
        <v>1.6</v>
      </c>
      <c r="CC37" s="177">
        <f t="shared" si="65"/>
        <v>0.74162757136746638</v>
      </c>
      <c r="CD37" s="5">
        <f t="shared" si="66"/>
        <v>74.162757136746635</v>
      </c>
      <c r="CG37" s="571">
        <f t="shared" ref="CG37:CG68" si="117">IF(ABS(F37-Ioutmax_Vinnom)&lt;Iout/200, AN37, -50)</f>
        <v>-50</v>
      </c>
      <c r="CH37">
        <f t="shared" ref="CH37:CH68" si="118">IF(ABS(F37-Ioutmax_Vinnom)&lt;Iout/200, N37*CC37, -50)</f>
        <v>-50</v>
      </c>
    </row>
    <row r="38" spans="5:86" x14ac:dyDescent="0.2">
      <c r="E38" s="174">
        <v>33</v>
      </c>
      <c r="F38" s="221">
        <f t="shared" ref="F38:F69" si="119">IF(PLOT_TYPE=1, E38/100*Iout_max, min_I*EXP(N38*rr/100))</f>
        <v>0.33</v>
      </c>
      <c r="G38" s="221"/>
      <c r="H38" s="221">
        <f t="shared" si="67"/>
        <v>1.6500000000000001</v>
      </c>
      <c r="I38" s="551">
        <f t="shared" si="68"/>
        <v>24</v>
      </c>
      <c r="J38" s="176">
        <f t="shared" si="69"/>
        <v>10.64</v>
      </c>
      <c r="K38" s="451">
        <f t="shared" si="70"/>
        <v>34.64</v>
      </c>
      <c r="L38" s="451"/>
      <c r="M38" s="221">
        <f t="shared" si="71"/>
        <v>0.30715935334872979</v>
      </c>
      <c r="N38" s="176">
        <f t="shared" si="72"/>
        <v>13.601016166281754</v>
      </c>
      <c r="O38" s="176">
        <f t="shared" si="53"/>
        <v>1.6500000000000001</v>
      </c>
      <c r="P38" s="221">
        <f t="shared" si="73"/>
        <v>2.7202032332563508</v>
      </c>
      <c r="Q38" s="221">
        <f t="shared" si="74"/>
        <v>5</v>
      </c>
      <c r="R38" s="221">
        <f t="shared" si="75"/>
        <v>3.0224480369515008</v>
      </c>
      <c r="S38" s="176">
        <f t="shared" si="76"/>
        <v>122.21315663832536</v>
      </c>
      <c r="T38" s="176">
        <f t="shared" si="77"/>
        <v>5</v>
      </c>
      <c r="U38" s="221">
        <f t="shared" si="78"/>
        <v>0.49738930659983294</v>
      </c>
      <c r="V38" s="221">
        <f t="shared" si="79"/>
        <v>0.14507188109161792</v>
      </c>
      <c r="W38" s="221">
        <f t="shared" si="80"/>
        <v>0.32722980697357423</v>
      </c>
      <c r="X38" s="201">
        <f t="shared" si="81"/>
        <v>350</v>
      </c>
      <c r="Y38" s="451">
        <f t="shared" si="54"/>
        <v>350</v>
      </c>
      <c r="AA38" s="221">
        <f t="shared" si="82"/>
        <v>3.0089079511712309</v>
      </c>
      <c r="AB38" s="177">
        <f t="shared" si="83"/>
        <v>1.9795447047179149</v>
      </c>
      <c r="AC38" s="177">
        <f t="shared" si="84"/>
        <v>2.0846937306036244</v>
      </c>
      <c r="AD38" s="177"/>
      <c r="AE38" s="177">
        <f t="shared" si="85"/>
        <v>0.53947368421052622</v>
      </c>
      <c r="AF38" s="555">
        <f t="shared" si="86"/>
        <v>745.98453301606196</v>
      </c>
      <c r="AG38" s="538">
        <f t="shared" si="87"/>
        <v>0.15482894736842101</v>
      </c>
      <c r="AI38" s="177">
        <f t="shared" si="88"/>
        <v>1.2618957771468104</v>
      </c>
      <c r="AJ38" s="177">
        <f t="shared" si="89"/>
        <v>1.2618957771468104</v>
      </c>
      <c r="AK38" s="177">
        <f t="shared" si="90"/>
        <v>1.4945971847645403</v>
      </c>
      <c r="AM38" s="555">
        <f t="shared" si="91"/>
        <v>330</v>
      </c>
      <c r="AN38" s="469">
        <f t="shared" si="92"/>
        <v>350</v>
      </c>
      <c r="AP38">
        <f t="shared" si="93"/>
        <v>330</v>
      </c>
      <c r="AQ38" s="469">
        <f t="shared" si="94"/>
        <v>350</v>
      </c>
      <c r="AR38" s="469"/>
      <c r="AS38" s="5">
        <f t="shared" si="55"/>
        <v>2.8571428571428572</v>
      </c>
      <c r="AT38" s="5">
        <f t="shared" si="95"/>
        <v>0.36805293500115305</v>
      </c>
      <c r="AU38" s="5">
        <f t="shared" si="56"/>
        <v>2.4890899221417042</v>
      </c>
      <c r="AV38" s="5">
        <f t="shared" si="96"/>
        <v>0.83019459022816477</v>
      </c>
      <c r="AW38" s="177">
        <f t="shared" si="57"/>
        <v>0.12881852725040357</v>
      </c>
      <c r="AX38" s="177">
        <f t="shared" si="97"/>
        <v>1.950666666666667</v>
      </c>
      <c r="AY38" s="177">
        <f t="shared" si="98"/>
        <v>1.0993402215912549</v>
      </c>
      <c r="AZ38" s="177">
        <f t="shared" si="58"/>
        <v>1.7743976144556488</v>
      </c>
      <c r="BA38" s="469">
        <f t="shared" si="99"/>
        <v>100.52933910789432</v>
      </c>
      <c r="BB38" s="469">
        <f t="shared" si="100"/>
        <v>1.66835383</v>
      </c>
      <c r="BC38" s="5">
        <f t="shared" si="101"/>
        <v>0.15844901124744645</v>
      </c>
      <c r="BD38" s="469">
        <f t="shared" si="102"/>
        <v>19.243048016360241</v>
      </c>
      <c r="BE38" s="5"/>
      <c r="BF38" s="177">
        <f t="shared" si="59"/>
        <v>0.26148815722533808</v>
      </c>
      <c r="BG38" s="177">
        <f t="shared" si="103"/>
        <v>1.3600258739076221</v>
      </c>
      <c r="BH38" s="177"/>
      <c r="BI38" s="538">
        <f t="shared" si="104"/>
        <v>7.5213662006013444E-3</v>
      </c>
      <c r="BJ38" s="538">
        <f t="shared" si="105"/>
        <v>7.6496122010639642E-2</v>
      </c>
      <c r="BK38" s="538">
        <f t="shared" si="106"/>
        <v>1.7499999999999998E-2</v>
      </c>
      <c r="BL38" s="538">
        <f t="shared" si="107"/>
        <v>9.4494456000000004E-2</v>
      </c>
      <c r="BM38">
        <f t="shared" si="108"/>
        <v>6.96E-3</v>
      </c>
      <c r="BN38">
        <f t="shared" si="109"/>
        <v>6.6500000000000004E-5</v>
      </c>
      <c r="BO38" s="538">
        <f t="shared" si="110"/>
        <v>0.20433738601727908</v>
      </c>
      <c r="BP38" s="469">
        <f t="shared" si="60"/>
        <v>204.33738601727907</v>
      </c>
      <c r="BQ38" s="538">
        <f t="shared" si="111"/>
        <v>0.26737481685614178</v>
      </c>
      <c r="BR38" s="538"/>
      <c r="BT38" s="469">
        <f t="shared" si="61"/>
        <v>267.37481685614176</v>
      </c>
      <c r="BU38" s="538">
        <f t="shared" si="112"/>
        <v>6.8376056369103128E-3</v>
      </c>
      <c r="BV38" s="538">
        <f t="shared" si="113"/>
        <v>5.5490111330945731E-2</v>
      </c>
      <c r="BW38" s="538">
        <f t="shared" si="114"/>
        <v>0</v>
      </c>
      <c r="BX38" s="538">
        <f t="shared" si="115"/>
        <v>7.0156860358862816E-2</v>
      </c>
      <c r="BY38" s="538">
        <f t="shared" si="116"/>
        <v>2.7866666666666675E-2</v>
      </c>
      <c r="BZ38" s="469">
        <f t="shared" si="62"/>
        <v>98.023527025529489</v>
      </c>
      <c r="CA38" s="177">
        <f t="shared" si="63"/>
        <v>0.56973572989895038</v>
      </c>
      <c r="CB38" s="5">
        <f t="shared" si="64"/>
        <v>1.6500000000000001</v>
      </c>
      <c r="CC38" s="177">
        <f t="shared" si="65"/>
        <v>0.74333172988800489</v>
      </c>
      <c r="CD38" s="5">
        <f t="shared" si="66"/>
        <v>74.333172988800484</v>
      </c>
      <c r="CG38" s="571">
        <f t="shared" si="117"/>
        <v>-50</v>
      </c>
      <c r="CH38">
        <f t="shared" si="118"/>
        <v>-50</v>
      </c>
    </row>
    <row r="39" spans="5:86" x14ac:dyDescent="0.2">
      <c r="E39" s="174">
        <v>34</v>
      </c>
      <c r="F39" s="221">
        <f t="shared" si="119"/>
        <v>0.34</v>
      </c>
      <c r="G39" s="221"/>
      <c r="H39" s="221">
        <f t="shared" si="67"/>
        <v>1.7000000000000002</v>
      </c>
      <c r="I39" s="551">
        <f t="shared" si="68"/>
        <v>24</v>
      </c>
      <c r="J39" s="176">
        <f t="shared" si="69"/>
        <v>10.64</v>
      </c>
      <c r="K39" s="451">
        <f t="shared" si="70"/>
        <v>34.64</v>
      </c>
      <c r="L39" s="451"/>
      <c r="M39" s="221">
        <f t="shared" si="71"/>
        <v>0.30715935334872979</v>
      </c>
      <c r="N39" s="176">
        <f t="shared" si="72"/>
        <v>13.601016166281754</v>
      </c>
      <c r="O39" s="176">
        <f t="shared" si="53"/>
        <v>1.7000000000000002</v>
      </c>
      <c r="P39" s="221">
        <f t="shared" si="73"/>
        <v>2.7202032332563508</v>
      </c>
      <c r="Q39" s="221">
        <f t="shared" si="74"/>
        <v>5</v>
      </c>
      <c r="R39" s="221">
        <f t="shared" si="75"/>
        <v>3.0224480369515008</v>
      </c>
      <c r="S39" s="176">
        <f t="shared" si="76"/>
        <v>118.2676752229582</v>
      </c>
      <c r="T39" s="176">
        <f t="shared" si="77"/>
        <v>5</v>
      </c>
      <c r="U39" s="221">
        <f t="shared" si="78"/>
        <v>0.51246170983013095</v>
      </c>
      <c r="V39" s="221">
        <f t="shared" si="79"/>
        <v>0.14946799870045488</v>
      </c>
      <c r="W39" s="221">
        <f t="shared" si="80"/>
        <v>0.33714586173034927</v>
      </c>
      <c r="X39" s="201">
        <f t="shared" si="81"/>
        <v>350</v>
      </c>
      <c r="Y39" s="451">
        <f t="shared" si="54"/>
        <v>350</v>
      </c>
      <c r="AA39" s="221">
        <f t="shared" si="82"/>
        <v>3.0089079511712309</v>
      </c>
      <c r="AB39" s="177">
        <f t="shared" si="83"/>
        <v>1.9795447047179149</v>
      </c>
      <c r="AC39" s="177">
        <f t="shared" si="84"/>
        <v>2.0846937306036244</v>
      </c>
      <c r="AD39" s="177"/>
      <c r="AE39" s="177">
        <f t="shared" si="85"/>
        <v>0.53947368421052622</v>
      </c>
      <c r="AF39" s="555">
        <f t="shared" si="86"/>
        <v>768.59012492563966</v>
      </c>
      <c r="AG39" s="538">
        <f t="shared" si="87"/>
        <v>0.15482894736842101</v>
      </c>
      <c r="AI39" s="177">
        <f t="shared" si="88"/>
        <v>1.2808727183584327</v>
      </c>
      <c r="AJ39" s="177">
        <f t="shared" si="89"/>
        <v>1.2808727183584327</v>
      </c>
      <c r="AK39" s="177">
        <f t="shared" si="90"/>
        <v>1.507248478905622</v>
      </c>
      <c r="AM39" s="555">
        <f t="shared" si="91"/>
        <v>340</v>
      </c>
      <c r="AN39" s="469">
        <f t="shared" si="92"/>
        <v>350</v>
      </c>
      <c r="AP39">
        <f t="shared" si="93"/>
        <v>340</v>
      </c>
      <c r="AQ39" s="469">
        <f t="shared" si="94"/>
        <v>350</v>
      </c>
      <c r="AR39" s="469"/>
      <c r="AS39" s="5">
        <f t="shared" si="55"/>
        <v>2.8571428571428572</v>
      </c>
      <c r="AT39" s="5">
        <f t="shared" si="95"/>
        <v>0.37358787618787614</v>
      </c>
      <c r="AU39" s="5">
        <f t="shared" si="56"/>
        <v>2.4835549809549811</v>
      </c>
      <c r="AV39" s="5">
        <f t="shared" si="96"/>
        <v>0.84267941997265294</v>
      </c>
      <c r="AW39" s="177">
        <f t="shared" si="57"/>
        <v>0.13075575666575665</v>
      </c>
      <c r="AX39" s="177">
        <f t="shared" si="97"/>
        <v>2.0097777777777779</v>
      </c>
      <c r="AY39" s="177">
        <f t="shared" si="98"/>
        <v>1.1133912368769512</v>
      </c>
      <c r="AZ39" s="177">
        <f t="shared" si="58"/>
        <v>1.8050957392256652</v>
      </c>
      <c r="BA39" s="469">
        <f t="shared" si="99"/>
        <v>100.52933910789432</v>
      </c>
      <c r="BB39" s="469">
        <f t="shared" si="100"/>
        <v>1.7400890977777779</v>
      </c>
      <c r="BC39" s="5">
        <f t="shared" si="101"/>
        <v>0.16288747946078191</v>
      </c>
      <c r="BD39" s="469">
        <f t="shared" si="102"/>
        <v>19.782608646404945</v>
      </c>
      <c r="BE39" s="5"/>
      <c r="BF39" s="177">
        <f t="shared" si="59"/>
        <v>0.26740883833553614</v>
      </c>
      <c r="BG39" s="177">
        <f t="shared" si="103"/>
        <v>1.3789428125318992</v>
      </c>
      <c r="BH39" s="177"/>
      <c r="BI39" s="538">
        <f t="shared" si="104"/>
        <v>7.865823550195699E-3</v>
      </c>
      <c r="BJ39" s="538">
        <f t="shared" si="105"/>
        <v>7.7646504186888204E-2</v>
      </c>
      <c r="BK39" s="538">
        <f t="shared" si="106"/>
        <v>1.7499999999999998E-2</v>
      </c>
      <c r="BL39" s="538">
        <f t="shared" si="107"/>
        <v>9.4494456000000004E-2</v>
      </c>
      <c r="BM39">
        <f t="shared" si="108"/>
        <v>6.96E-3</v>
      </c>
      <c r="BN39">
        <f t="shared" si="109"/>
        <v>6.6500000000000004E-5</v>
      </c>
      <c r="BO39" s="538">
        <f t="shared" si="110"/>
        <v>0.20589397240006718</v>
      </c>
      <c r="BP39" s="469">
        <f t="shared" si="60"/>
        <v>205.89397240006718</v>
      </c>
      <c r="BQ39" s="538">
        <f t="shared" si="111"/>
        <v>0.27515332260983061</v>
      </c>
      <c r="BR39" s="538"/>
      <c r="BT39" s="469">
        <f t="shared" si="61"/>
        <v>275.15332260983058</v>
      </c>
      <c r="BU39" s="538">
        <f t="shared" si="112"/>
        <v>7.15074868199609E-3</v>
      </c>
      <c r="BV39" s="538">
        <f t="shared" si="113"/>
        <v>5.7044498407001536E-2</v>
      </c>
      <c r="BW39" s="538">
        <f t="shared" si="114"/>
        <v>0</v>
      </c>
      <c r="BX39" s="538">
        <f t="shared" si="115"/>
        <v>7.2269827092258682E-2</v>
      </c>
      <c r="BY39" s="538">
        <f t="shared" si="116"/>
        <v>2.8711111111111114E-2</v>
      </c>
      <c r="BZ39" s="469">
        <f t="shared" si="62"/>
        <v>100.9809382033698</v>
      </c>
      <c r="CA39" s="177">
        <f t="shared" si="63"/>
        <v>0.58202823321326758</v>
      </c>
      <c r="CB39" s="5">
        <f t="shared" si="64"/>
        <v>1.7000000000000002</v>
      </c>
      <c r="CC39" s="177">
        <f t="shared" si="65"/>
        <v>0.74495134427249043</v>
      </c>
      <c r="CD39" s="5">
        <f t="shared" si="66"/>
        <v>74.495134427249042</v>
      </c>
      <c r="CG39" s="571">
        <f t="shared" si="117"/>
        <v>-50</v>
      </c>
      <c r="CH39">
        <f t="shared" si="118"/>
        <v>-50</v>
      </c>
    </row>
    <row r="40" spans="5:86" x14ac:dyDescent="0.2">
      <c r="E40" s="174">
        <v>35</v>
      </c>
      <c r="F40" s="221">
        <f t="shared" si="119"/>
        <v>0.35</v>
      </c>
      <c r="G40" s="221"/>
      <c r="H40" s="221">
        <f t="shared" si="67"/>
        <v>1.75</v>
      </c>
      <c r="I40" s="551">
        <f t="shared" si="68"/>
        <v>24</v>
      </c>
      <c r="J40" s="176">
        <f t="shared" si="69"/>
        <v>10.64</v>
      </c>
      <c r="K40" s="451">
        <f t="shared" si="70"/>
        <v>34.64</v>
      </c>
      <c r="L40" s="451"/>
      <c r="M40" s="221">
        <f t="shared" si="71"/>
        <v>0.30715935334872979</v>
      </c>
      <c r="N40" s="176">
        <f t="shared" si="72"/>
        <v>13.601016166281754</v>
      </c>
      <c r="O40" s="176">
        <f t="shared" si="53"/>
        <v>1.75</v>
      </c>
      <c r="P40" s="221">
        <f t="shared" si="73"/>
        <v>2.7202032332563508</v>
      </c>
      <c r="Q40" s="221">
        <f t="shared" si="74"/>
        <v>5</v>
      </c>
      <c r="R40" s="221">
        <f t="shared" si="75"/>
        <v>3.0224480369515008</v>
      </c>
      <c r="S40" s="176">
        <f t="shared" si="76"/>
        <v>114.54771547289278</v>
      </c>
      <c r="T40" s="176">
        <f t="shared" si="77"/>
        <v>5</v>
      </c>
      <c r="U40" s="221">
        <f t="shared" si="78"/>
        <v>0.52753411306042886</v>
      </c>
      <c r="V40" s="221">
        <f t="shared" si="79"/>
        <v>0.15386411630929175</v>
      </c>
      <c r="W40" s="221">
        <f t="shared" si="80"/>
        <v>0.3470619164871242</v>
      </c>
      <c r="X40" s="201">
        <f t="shared" si="81"/>
        <v>350</v>
      </c>
      <c r="Y40" s="451">
        <f t="shared" si="54"/>
        <v>350</v>
      </c>
      <c r="AA40" s="221">
        <f t="shared" si="82"/>
        <v>3.0089079511712309</v>
      </c>
      <c r="AB40" s="177">
        <f t="shared" si="83"/>
        <v>1.9795447047179149</v>
      </c>
      <c r="AC40" s="177">
        <f t="shared" si="84"/>
        <v>2.0846937306036244</v>
      </c>
      <c r="AD40" s="177"/>
      <c r="AE40" s="177">
        <f t="shared" si="85"/>
        <v>0.53947368421052622</v>
      </c>
      <c r="AF40" s="555">
        <f t="shared" si="86"/>
        <v>791.19571683521724</v>
      </c>
      <c r="AG40" s="538">
        <f t="shared" si="87"/>
        <v>0.15482894736842101</v>
      </c>
      <c r="AI40" s="177">
        <f t="shared" si="88"/>
        <v>1.2995725793078619</v>
      </c>
      <c r="AJ40" s="177">
        <f t="shared" si="89"/>
        <v>1.2995725793078619</v>
      </c>
      <c r="AK40" s="177">
        <f t="shared" si="90"/>
        <v>1.5197150528719079</v>
      </c>
      <c r="AM40" s="555">
        <f t="shared" si="91"/>
        <v>350</v>
      </c>
      <c r="AN40" s="469">
        <f t="shared" si="92"/>
        <v>350</v>
      </c>
      <c r="AP40">
        <f t="shared" si="93"/>
        <v>350</v>
      </c>
      <c r="AQ40" s="469">
        <f t="shared" si="94"/>
        <v>350</v>
      </c>
      <c r="AR40" s="469"/>
      <c r="AS40" s="5">
        <f t="shared" si="55"/>
        <v>2.8571428571428572</v>
      </c>
      <c r="AT40" s="5">
        <f t="shared" si="95"/>
        <v>0.37904200229812635</v>
      </c>
      <c r="AU40" s="5">
        <f t="shared" si="56"/>
        <v>2.478100854844731</v>
      </c>
      <c r="AV40" s="5">
        <f t="shared" si="96"/>
        <v>0.85498196007096172</v>
      </c>
      <c r="AW40" s="177">
        <f t="shared" si="57"/>
        <v>0.13266470080434423</v>
      </c>
      <c r="AX40" s="177">
        <f t="shared" si="97"/>
        <v>2.0688888888888886</v>
      </c>
      <c r="AY40" s="177">
        <f t="shared" si="98"/>
        <v>1.1271651719004545</v>
      </c>
      <c r="AZ40" s="177">
        <f t="shared" si="58"/>
        <v>1.8354797863392485</v>
      </c>
      <c r="BA40" s="469">
        <f t="shared" si="99"/>
        <v>100.52933910789432</v>
      </c>
      <c r="BB40" s="469">
        <f t="shared" si="100"/>
        <v>1.8130701944444443</v>
      </c>
      <c r="BC40" s="5">
        <f t="shared" si="101"/>
        <v>0.16731004999916199</v>
      </c>
      <c r="BD40" s="469">
        <f t="shared" si="102"/>
        <v>20.320261555454998</v>
      </c>
      <c r="BE40" s="5"/>
      <c r="BF40" s="177">
        <f t="shared" si="59"/>
        <v>0.27328613767516385</v>
      </c>
      <c r="BG40" s="177">
        <f t="shared" si="103"/>
        <v>1.3975373339092654</v>
      </c>
      <c r="BH40" s="177"/>
      <c r="BI40" s="538">
        <f t="shared" si="104"/>
        <v>8.2153844349949472E-3</v>
      </c>
      <c r="BJ40" s="538">
        <f t="shared" si="105"/>
        <v>7.8780089757642585E-2</v>
      </c>
      <c r="BK40" s="538">
        <f t="shared" si="106"/>
        <v>1.7499999999999998E-2</v>
      </c>
      <c r="BL40" s="538">
        <f t="shared" si="107"/>
        <v>9.4494456000000004E-2</v>
      </c>
      <c r="BM40">
        <f t="shared" si="108"/>
        <v>6.96E-3</v>
      </c>
      <c r="BN40">
        <f t="shared" si="109"/>
        <v>6.6500000000000004E-5</v>
      </c>
      <c r="BO40" s="538">
        <f t="shared" si="110"/>
        <v>0.20743993176749673</v>
      </c>
      <c r="BP40" s="469">
        <f t="shared" si="60"/>
        <v>207.43993176749672</v>
      </c>
      <c r="BQ40" s="538">
        <f t="shared" si="111"/>
        <v>0.28291764981480461</v>
      </c>
      <c r="BR40" s="538"/>
      <c r="BT40" s="469">
        <f t="shared" si="61"/>
        <v>282.91764981480463</v>
      </c>
      <c r="BU40" s="538">
        <f t="shared" si="112"/>
        <v>7.4685313045408618E-3</v>
      </c>
      <c r="BV40" s="538">
        <f t="shared" si="113"/>
        <v>5.8593317990106523E-2</v>
      </c>
      <c r="BW40" s="538">
        <f t="shared" si="114"/>
        <v>0</v>
      </c>
      <c r="BX40" s="538">
        <f t="shared" si="115"/>
        <v>7.4382378206746799E-2</v>
      </c>
      <c r="BY40" s="538">
        <f t="shared" si="116"/>
        <v>2.9555555555555561E-2</v>
      </c>
      <c r="BZ40" s="469">
        <f t="shared" si="62"/>
        <v>103.93793376230235</v>
      </c>
      <c r="CA40" s="177">
        <f t="shared" si="63"/>
        <v>0.59429551534460368</v>
      </c>
      <c r="CB40" s="5">
        <f t="shared" si="64"/>
        <v>1.75</v>
      </c>
      <c r="CC40" s="177">
        <f t="shared" si="65"/>
        <v>0.74649291804099016</v>
      </c>
      <c r="CD40" s="5">
        <f t="shared" si="66"/>
        <v>74.649291804099022</v>
      </c>
      <c r="CG40" s="571">
        <f t="shared" si="117"/>
        <v>-50</v>
      </c>
      <c r="CH40">
        <f t="shared" si="118"/>
        <v>-50</v>
      </c>
    </row>
    <row r="41" spans="5:86" x14ac:dyDescent="0.2">
      <c r="E41" s="174">
        <v>36</v>
      </c>
      <c r="F41" s="221">
        <f t="shared" si="119"/>
        <v>0.36</v>
      </c>
      <c r="G41" s="221"/>
      <c r="H41" s="221">
        <f t="shared" si="67"/>
        <v>1.7999999999999998</v>
      </c>
      <c r="I41" s="551">
        <f t="shared" si="68"/>
        <v>24</v>
      </c>
      <c r="J41" s="176">
        <f t="shared" si="69"/>
        <v>10.64</v>
      </c>
      <c r="K41" s="451">
        <f t="shared" si="70"/>
        <v>34.64</v>
      </c>
      <c r="L41" s="451"/>
      <c r="M41" s="221">
        <f t="shared" si="71"/>
        <v>0.30715935334872979</v>
      </c>
      <c r="N41" s="176">
        <f t="shared" si="72"/>
        <v>13.601016166281754</v>
      </c>
      <c r="O41" s="176">
        <f t="shared" si="53"/>
        <v>1.7999999999999998</v>
      </c>
      <c r="P41" s="221">
        <f t="shared" si="73"/>
        <v>2.7202032332563508</v>
      </c>
      <c r="Q41" s="221">
        <f t="shared" si="74"/>
        <v>5</v>
      </c>
      <c r="R41" s="221">
        <f t="shared" si="75"/>
        <v>3.0224480369515008</v>
      </c>
      <c r="S41" s="176">
        <f t="shared" si="76"/>
        <v>111.03448446659688</v>
      </c>
      <c r="T41" s="176">
        <f t="shared" si="77"/>
        <v>5</v>
      </c>
      <c r="U41" s="221">
        <f t="shared" si="78"/>
        <v>0.54260651629072676</v>
      </c>
      <c r="V41" s="221">
        <f t="shared" si="79"/>
        <v>0.15826023391812863</v>
      </c>
      <c r="W41" s="221">
        <f t="shared" si="80"/>
        <v>0.35697797124389913</v>
      </c>
      <c r="X41" s="201">
        <f t="shared" si="81"/>
        <v>350</v>
      </c>
      <c r="Y41" s="451">
        <f t="shared" si="54"/>
        <v>350</v>
      </c>
      <c r="AA41" s="221">
        <f t="shared" si="82"/>
        <v>3.0089079511712309</v>
      </c>
      <c r="AB41" s="177">
        <f t="shared" si="83"/>
        <v>1.9795447047179149</v>
      </c>
      <c r="AC41" s="177">
        <f t="shared" si="84"/>
        <v>2.0846937306036244</v>
      </c>
      <c r="AD41" s="177"/>
      <c r="AE41" s="177">
        <f t="shared" si="85"/>
        <v>0.53947368421052622</v>
      </c>
      <c r="AF41" s="555">
        <f t="shared" si="86"/>
        <v>813.80130874479494</v>
      </c>
      <c r="AG41" s="538">
        <f t="shared" si="87"/>
        <v>0.15482894736842101</v>
      </c>
      <c r="AI41" s="177">
        <f t="shared" si="88"/>
        <v>1.3180071536766624</v>
      </c>
      <c r="AJ41" s="177">
        <f t="shared" si="89"/>
        <v>1.3180071536766624</v>
      </c>
      <c r="AK41" s="177">
        <f t="shared" si="90"/>
        <v>1.5320047691177749</v>
      </c>
      <c r="AM41" s="555">
        <f t="shared" si="91"/>
        <v>360</v>
      </c>
      <c r="AN41" s="469">
        <f t="shared" si="92"/>
        <v>350</v>
      </c>
      <c r="AP41">
        <f t="shared" si="93"/>
        <v>360</v>
      </c>
      <c r="AQ41" s="469">
        <f t="shared" si="94"/>
        <v>350</v>
      </c>
      <c r="AR41" s="469"/>
      <c r="AS41" s="5">
        <f t="shared" si="55"/>
        <v>2.8571428571428572</v>
      </c>
      <c r="AT41" s="5">
        <f t="shared" si="95"/>
        <v>0.38441875315569318</v>
      </c>
      <c r="AU41" s="5">
        <f t="shared" si="56"/>
        <v>2.4727241039871641</v>
      </c>
      <c r="AV41" s="5">
        <f t="shared" si="96"/>
        <v>0.86710996952412001</v>
      </c>
      <c r="AW41" s="177">
        <f t="shared" si="57"/>
        <v>0.1345465636044926</v>
      </c>
      <c r="AX41" s="177">
        <f t="shared" si="97"/>
        <v>2.1280000000000001</v>
      </c>
      <c r="AY41" s="177">
        <f t="shared" si="98"/>
        <v>1.1406738203433291</v>
      </c>
      <c r="AZ41" s="177">
        <f t="shared" si="58"/>
        <v>1.8655639868718104</v>
      </c>
      <c r="BA41" s="469">
        <f t="shared" si="99"/>
        <v>100.52933910789432</v>
      </c>
      <c r="BB41" s="469">
        <f t="shared" si="100"/>
        <v>1.8872971199999999</v>
      </c>
      <c r="BC41" s="5">
        <f t="shared" si="101"/>
        <v>0.17171695166577525</v>
      </c>
      <c r="BD41" s="469">
        <f t="shared" si="102"/>
        <v>20.856034199893035</v>
      </c>
      <c r="BE41" s="5"/>
      <c r="BF41" s="177">
        <f t="shared" si="59"/>
        <v>0.27912159949781834</v>
      </c>
      <c r="BG41" s="177">
        <f t="shared" si="103"/>
        <v>1.4158230846280173</v>
      </c>
      <c r="BH41" s="177"/>
      <c r="BI41" s="538">
        <f t="shared" si="104"/>
        <v>8.5699754036842549E-3</v>
      </c>
      <c r="BJ41" s="538">
        <f t="shared" si="105"/>
        <v>7.9897593655879284E-2</v>
      </c>
      <c r="BK41" s="538">
        <f t="shared" si="106"/>
        <v>1.7499999999999998E-2</v>
      </c>
      <c r="BL41" s="538">
        <f t="shared" si="107"/>
        <v>9.4494456000000004E-2</v>
      </c>
      <c r="BM41">
        <f t="shared" si="108"/>
        <v>6.96E-3</v>
      </c>
      <c r="BN41">
        <f t="shared" si="109"/>
        <v>6.6500000000000004E-5</v>
      </c>
      <c r="BO41" s="538">
        <f t="shared" si="110"/>
        <v>0.20897589616358156</v>
      </c>
      <c r="BP41" s="469">
        <f t="shared" si="60"/>
        <v>208.97589616358155</v>
      </c>
      <c r="BQ41" s="538">
        <f t="shared" si="111"/>
        <v>0.2906680025321714</v>
      </c>
      <c r="BR41" s="538"/>
      <c r="BT41" s="469">
        <f t="shared" si="61"/>
        <v>290.66800253217139</v>
      </c>
      <c r="BU41" s="538">
        <f t="shared" si="112"/>
        <v>7.7908867306220502E-3</v>
      </c>
      <c r="BV41" s="538">
        <f t="shared" si="113"/>
        <v>6.0136650208967808E-2</v>
      </c>
      <c r="BW41" s="538">
        <f t="shared" si="114"/>
        <v>0</v>
      </c>
      <c r="BX41" s="538">
        <f t="shared" si="115"/>
        <v>7.6494528163339987E-2</v>
      </c>
      <c r="BY41" s="538">
        <f t="shared" si="116"/>
        <v>3.0400000000000007E-2</v>
      </c>
      <c r="BZ41" s="469">
        <f t="shared" si="62"/>
        <v>106.89452816334</v>
      </c>
      <c r="CA41" s="177">
        <f t="shared" si="63"/>
        <v>0.60653842685909298</v>
      </c>
      <c r="CB41" s="5">
        <f t="shared" si="64"/>
        <v>1.7999999999999998</v>
      </c>
      <c r="CC41" s="177">
        <f t="shared" si="65"/>
        <v>0.74796229302238071</v>
      </c>
      <c r="CD41" s="5">
        <f t="shared" si="66"/>
        <v>74.796229302238075</v>
      </c>
      <c r="CG41" s="571">
        <f t="shared" si="117"/>
        <v>-50</v>
      </c>
      <c r="CH41">
        <f t="shared" si="118"/>
        <v>-50</v>
      </c>
    </row>
    <row r="42" spans="5:86" x14ac:dyDescent="0.2">
      <c r="E42" s="174">
        <v>37</v>
      </c>
      <c r="F42" s="221">
        <f t="shared" si="119"/>
        <v>0.37</v>
      </c>
      <c r="G42" s="221"/>
      <c r="H42" s="221">
        <f t="shared" si="67"/>
        <v>1.85</v>
      </c>
      <c r="I42" s="551">
        <f t="shared" si="68"/>
        <v>24</v>
      </c>
      <c r="J42" s="176">
        <f t="shared" si="69"/>
        <v>10.64</v>
      </c>
      <c r="K42" s="451">
        <f t="shared" si="70"/>
        <v>34.64</v>
      </c>
      <c r="L42" s="451"/>
      <c r="M42" s="221">
        <f t="shared" si="71"/>
        <v>0.30715935334872979</v>
      </c>
      <c r="N42" s="176">
        <f t="shared" si="72"/>
        <v>13.601016166281754</v>
      </c>
      <c r="O42" s="176">
        <f t="shared" si="53"/>
        <v>1.85</v>
      </c>
      <c r="P42" s="221">
        <f t="shared" si="73"/>
        <v>2.7202032332563508</v>
      </c>
      <c r="Q42" s="221">
        <f t="shared" si="74"/>
        <v>5</v>
      </c>
      <c r="R42" s="221">
        <f t="shared" si="75"/>
        <v>3.0224480369515008</v>
      </c>
      <c r="S42" s="176">
        <f t="shared" si="76"/>
        <v>107.71122095569777</v>
      </c>
      <c r="T42" s="176">
        <f t="shared" si="77"/>
        <v>5</v>
      </c>
      <c r="U42" s="221">
        <f t="shared" si="78"/>
        <v>0.55767891952102477</v>
      </c>
      <c r="V42" s="221">
        <f t="shared" si="79"/>
        <v>0.16265635152696556</v>
      </c>
      <c r="W42" s="221">
        <f t="shared" si="80"/>
        <v>0.36689402600067422</v>
      </c>
      <c r="X42" s="201">
        <f t="shared" si="81"/>
        <v>350</v>
      </c>
      <c r="Y42" s="451">
        <f t="shared" si="54"/>
        <v>350</v>
      </c>
      <c r="AA42" s="221">
        <f t="shared" si="82"/>
        <v>3.0089079511712309</v>
      </c>
      <c r="AB42" s="177">
        <f t="shared" si="83"/>
        <v>1.9795447047179149</v>
      </c>
      <c r="AC42" s="177">
        <f t="shared" si="84"/>
        <v>2.0846937306036244</v>
      </c>
      <c r="AD42" s="177"/>
      <c r="AE42" s="177">
        <f t="shared" si="85"/>
        <v>0.53947368421052622</v>
      </c>
      <c r="AF42" s="555">
        <f t="shared" si="86"/>
        <v>836.40690065437252</v>
      </c>
      <c r="AG42" s="538">
        <f t="shared" si="87"/>
        <v>0.15482894736842101</v>
      </c>
      <c r="AI42" s="177">
        <f t="shared" si="88"/>
        <v>1.336187421508235</v>
      </c>
      <c r="AJ42" s="177">
        <f t="shared" si="89"/>
        <v>1.336187421508235</v>
      </c>
      <c r="AK42" s="177">
        <f t="shared" si="90"/>
        <v>1.5441249476721568</v>
      </c>
      <c r="AM42" s="555">
        <f t="shared" si="91"/>
        <v>370</v>
      </c>
      <c r="AN42" s="469">
        <f t="shared" si="92"/>
        <v>350</v>
      </c>
      <c r="AP42">
        <f t="shared" si="93"/>
        <v>370</v>
      </c>
      <c r="AQ42" s="469">
        <f t="shared" si="94"/>
        <v>350</v>
      </c>
      <c r="AR42" s="469"/>
      <c r="AS42" s="5">
        <f t="shared" si="55"/>
        <v>2.8571428571428572</v>
      </c>
      <c r="AT42" s="5">
        <f t="shared" si="95"/>
        <v>0.38972133127323522</v>
      </c>
      <c r="AU42" s="5">
        <f t="shared" si="56"/>
        <v>2.4674215258696219</v>
      </c>
      <c r="AV42" s="5">
        <f t="shared" si="96"/>
        <v>0.87907067204489142</v>
      </c>
      <c r="AW42" s="177">
        <f t="shared" si="57"/>
        <v>0.13640246594563232</v>
      </c>
      <c r="AX42" s="177">
        <f t="shared" si="97"/>
        <v>2.1871111111111117</v>
      </c>
      <c r="AY42" s="177">
        <f t="shared" si="98"/>
        <v>1.1539281622489757</v>
      </c>
      <c r="AZ42" s="177">
        <f t="shared" si="58"/>
        <v>1.8953615854634223</v>
      </c>
      <c r="BA42" s="469">
        <f t="shared" si="99"/>
        <v>100.52933910789432</v>
      </c>
      <c r="BB42" s="469">
        <f t="shared" si="100"/>
        <v>1.9627698744444444</v>
      </c>
      <c r="BC42" s="5">
        <f t="shared" si="101"/>
        <v>0.17610840365967595</v>
      </c>
      <c r="BD42" s="469">
        <f t="shared" si="102"/>
        <v>21.389952883605559</v>
      </c>
      <c r="BE42" s="5"/>
      <c r="BF42" s="177">
        <f t="shared" si="59"/>
        <v>0.28491667183911307</v>
      </c>
      <c r="BG42" s="177">
        <f t="shared" si="103"/>
        <v>1.4338127705393036</v>
      </c>
      <c r="BH42" s="177"/>
      <c r="BI42" s="538">
        <f t="shared" si="104"/>
        <v>8.9295260881064528E-3</v>
      </c>
      <c r="BJ42" s="538">
        <f t="shared" si="105"/>
        <v>8.099968149182922E-2</v>
      </c>
      <c r="BK42" s="538">
        <f t="shared" si="106"/>
        <v>1.7499999999999998E-2</v>
      </c>
      <c r="BL42" s="538">
        <f t="shared" si="107"/>
        <v>9.4494456000000004E-2</v>
      </c>
      <c r="BM42">
        <f t="shared" si="108"/>
        <v>6.96E-3</v>
      </c>
      <c r="BN42">
        <f t="shared" si="109"/>
        <v>6.6500000000000004E-5</v>
      </c>
      <c r="BO42" s="538">
        <f t="shared" si="110"/>
        <v>0.21050245187835898</v>
      </c>
      <c r="BP42" s="469">
        <f t="shared" si="60"/>
        <v>210.50245187835898</v>
      </c>
      <c r="BQ42" s="538">
        <f t="shared" si="111"/>
        <v>0.29840457625746575</v>
      </c>
      <c r="BR42" s="538"/>
      <c r="BT42" s="469">
        <f t="shared" si="61"/>
        <v>298.40457625746575</v>
      </c>
      <c r="BU42" s="538">
        <f t="shared" si="112"/>
        <v>8.1177509891876849E-3</v>
      </c>
      <c r="BV42" s="538">
        <f t="shared" si="113"/>
        <v>6.1674571828847807E-2</v>
      </c>
      <c r="BW42" s="538">
        <f t="shared" si="114"/>
        <v>0</v>
      </c>
      <c r="BX42" s="538">
        <f t="shared" si="115"/>
        <v>7.8606290806077034E-2</v>
      </c>
      <c r="BY42" s="538">
        <f t="shared" si="116"/>
        <v>3.124444444444445E-2</v>
      </c>
      <c r="BZ42" s="469">
        <f t="shared" si="62"/>
        <v>109.85073525052148</v>
      </c>
      <c r="CA42" s="177">
        <f t="shared" si="63"/>
        <v>0.61875776338634625</v>
      </c>
      <c r="CB42" s="5">
        <f t="shared" si="64"/>
        <v>1.85</v>
      </c>
      <c r="CC42" s="177">
        <f t="shared" si="65"/>
        <v>0.74936473210818044</v>
      </c>
      <c r="CD42" s="5">
        <f t="shared" si="66"/>
        <v>74.93647321081805</v>
      </c>
      <c r="CG42" s="571">
        <f t="shared" si="117"/>
        <v>-50</v>
      </c>
      <c r="CH42">
        <f t="shared" si="118"/>
        <v>-50</v>
      </c>
    </row>
    <row r="43" spans="5:86" x14ac:dyDescent="0.2">
      <c r="E43" s="174">
        <v>38</v>
      </c>
      <c r="F43" s="221">
        <f t="shared" si="119"/>
        <v>0.38</v>
      </c>
      <c r="G43" s="221"/>
      <c r="H43" s="221">
        <f t="shared" si="67"/>
        <v>1.9</v>
      </c>
      <c r="I43" s="551">
        <f t="shared" si="68"/>
        <v>24</v>
      </c>
      <c r="J43" s="176">
        <f t="shared" si="69"/>
        <v>10.64</v>
      </c>
      <c r="K43" s="451">
        <f t="shared" si="70"/>
        <v>34.64</v>
      </c>
      <c r="L43" s="451"/>
      <c r="M43" s="221">
        <f t="shared" si="71"/>
        <v>0.30715935334872979</v>
      </c>
      <c r="N43" s="176">
        <f t="shared" si="72"/>
        <v>13.601016166281754</v>
      </c>
      <c r="O43" s="176">
        <f t="shared" si="53"/>
        <v>1.9</v>
      </c>
      <c r="P43" s="221">
        <f t="shared" si="73"/>
        <v>2.7202032332563508</v>
      </c>
      <c r="Q43" s="221">
        <f t="shared" si="74"/>
        <v>5</v>
      </c>
      <c r="R43" s="221">
        <f t="shared" si="75"/>
        <v>3.0224480369515008</v>
      </c>
      <c r="S43" s="176">
        <f t="shared" si="76"/>
        <v>104.56292803964416</v>
      </c>
      <c r="T43" s="176">
        <f t="shared" si="77"/>
        <v>5</v>
      </c>
      <c r="U43" s="221">
        <f t="shared" si="78"/>
        <v>0.57275132275132268</v>
      </c>
      <c r="V43" s="221">
        <f t="shared" si="79"/>
        <v>0.16705246913580246</v>
      </c>
      <c r="W43" s="221">
        <f t="shared" si="80"/>
        <v>0.3768100807574491</v>
      </c>
      <c r="X43" s="201">
        <f t="shared" si="81"/>
        <v>350</v>
      </c>
      <c r="Y43" s="451">
        <f t="shared" si="54"/>
        <v>350</v>
      </c>
      <c r="AA43" s="221">
        <f t="shared" si="82"/>
        <v>3.0089079511712309</v>
      </c>
      <c r="AB43" s="177">
        <f t="shared" si="83"/>
        <v>1.9795447047179149</v>
      </c>
      <c r="AC43" s="177">
        <f t="shared" si="84"/>
        <v>2.0846937306036244</v>
      </c>
      <c r="AD43" s="177"/>
      <c r="AE43" s="177">
        <f t="shared" si="85"/>
        <v>0.53947368421052622</v>
      </c>
      <c r="AF43" s="555">
        <f t="shared" si="86"/>
        <v>859.0124925639501</v>
      </c>
      <c r="AG43" s="538">
        <f t="shared" si="87"/>
        <v>0.15482894736842101</v>
      </c>
      <c r="AI43" s="177">
        <f t="shared" si="88"/>
        <v>1.354123625689617</v>
      </c>
      <c r="AJ43" s="177">
        <f t="shared" si="89"/>
        <v>1.354123625689617</v>
      </c>
      <c r="AK43" s="177">
        <f t="shared" si="90"/>
        <v>1.5560824171264114</v>
      </c>
      <c r="AM43" s="555">
        <f t="shared" si="91"/>
        <v>380</v>
      </c>
      <c r="AN43" s="469">
        <f t="shared" si="92"/>
        <v>350</v>
      </c>
      <c r="AP43">
        <f t="shared" si="93"/>
        <v>380</v>
      </c>
      <c r="AQ43" s="469">
        <f t="shared" si="94"/>
        <v>350</v>
      </c>
      <c r="AR43" s="469"/>
      <c r="AS43" s="5">
        <f t="shared" si="55"/>
        <v>2.8571428571428572</v>
      </c>
      <c r="AT43" s="5">
        <f t="shared" si="95"/>
        <v>0.39495272415947158</v>
      </c>
      <c r="AU43" s="5">
        <f t="shared" si="56"/>
        <v>2.4621901329833857</v>
      </c>
      <c r="AV43" s="5">
        <f t="shared" si="96"/>
        <v>0.89087080637474791</v>
      </c>
      <c r="AW43" s="177">
        <f t="shared" si="57"/>
        <v>0.13823345345581506</v>
      </c>
      <c r="AX43" s="177">
        <f t="shared" si="97"/>
        <v>2.2462222222222223</v>
      </c>
      <c r="AY43" s="177">
        <f t="shared" si="98"/>
        <v>1.1669384405044319</v>
      </c>
      <c r="AZ43" s="177">
        <f t="shared" si="58"/>
        <v>1.9248849333056928</v>
      </c>
      <c r="BA43" s="469">
        <f t="shared" si="99"/>
        <v>100.52933910789432</v>
      </c>
      <c r="BB43" s="469">
        <f t="shared" si="100"/>
        <v>2.0394884577777779</v>
      </c>
      <c r="BC43" s="5">
        <f t="shared" si="101"/>
        <v>0.180484616229492</v>
      </c>
      <c r="BD43" s="469">
        <f t="shared" si="102"/>
        <v>21.922042836427931</v>
      </c>
      <c r="BE43" s="5"/>
      <c r="BF43" s="177">
        <f t="shared" si="59"/>
        <v>0.29067271494376934</v>
      </c>
      <c r="BG43" s="177">
        <f t="shared" si="103"/>
        <v>1.4515182451545685</v>
      </c>
      <c r="BH43" s="177"/>
      <c r="BI43" s="538">
        <f t="shared" si="104"/>
        <v>9.2939689934059978E-3</v>
      </c>
      <c r="BJ43" s="538">
        <f t="shared" si="105"/>
        <v>8.2086974189304579E-2</v>
      </c>
      <c r="BK43" s="538">
        <f t="shared" si="106"/>
        <v>1.7499999999999998E-2</v>
      </c>
      <c r="BL43" s="538">
        <f t="shared" si="107"/>
        <v>9.4494456000000004E-2</v>
      </c>
      <c r="BM43">
        <f t="shared" si="108"/>
        <v>6.96E-3</v>
      </c>
      <c r="BN43">
        <f t="shared" si="109"/>
        <v>6.6500000000000004E-5</v>
      </c>
      <c r="BO43" s="538">
        <f t="shared" si="110"/>
        <v>0.21202014384142429</v>
      </c>
      <c r="BP43" s="469">
        <f t="shared" si="60"/>
        <v>212.02014384142427</v>
      </c>
      <c r="BQ43" s="538">
        <f t="shared" si="111"/>
        <v>0.30612755850366813</v>
      </c>
      <c r="BR43" s="538"/>
      <c r="BT43" s="469">
        <f t="shared" si="61"/>
        <v>306.12755850366813</v>
      </c>
      <c r="BU43" s="538">
        <f t="shared" si="112"/>
        <v>8.4490627212781798E-3</v>
      </c>
      <c r="BV43" s="538">
        <f t="shared" si="113"/>
        <v>6.3207156480497947E-2</v>
      </c>
      <c r="BW43" s="538">
        <f t="shared" si="114"/>
        <v>0</v>
      </c>
      <c r="BX43" s="538">
        <f t="shared" si="115"/>
        <v>8.0717679404297527E-2</v>
      </c>
      <c r="BY43" s="538">
        <f t="shared" si="116"/>
        <v>3.2088888888888896E-2</v>
      </c>
      <c r="BZ43" s="469">
        <f t="shared" si="62"/>
        <v>112.80656829318642</v>
      </c>
      <c r="CA43" s="177">
        <f t="shared" si="63"/>
        <v>0.63095427063827891</v>
      </c>
      <c r="CB43" s="5">
        <f t="shared" si="64"/>
        <v>1.9</v>
      </c>
      <c r="CC43" s="177">
        <f t="shared" si="65"/>
        <v>0.7507049898301168</v>
      </c>
      <c r="CD43" s="5">
        <f t="shared" si="66"/>
        <v>75.070498983011674</v>
      </c>
      <c r="CG43" s="571">
        <f t="shared" si="117"/>
        <v>-50</v>
      </c>
      <c r="CH43">
        <f t="shared" si="118"/>
        <v>-50</v>
      </c>
    </row>
    <row r="44" spans="5:86" x14ac:dyDescent="0.2">
      <c r="E44" s="174">
        <v>39</v>
      </c>
      <c r="F44" s="221">
        <f t="shared" si="119"/>
        <v>0.39</v>
      </c>
      <c r="G44" s="221"/>
      <c r="H44" s="221">
        <f t="shared" si="67"/>
        <v>1.9500000000000002</v>
      </c>
      <c r="I44" s="551">
        <f t="shared" si="68"/>
        <v>24</v>
      </c>
      <c r="J44" s="176">
        <f t="shared" si="69"/>
        <v>10.64</v>
      </c>
      <c r="K44" s="451">
        <f t="shared" si="70"/>
        <v>34.64</v>
      </c>
      <c r="L44" s="451"/>
      <c r="M44" s="221">
        <f t="shared" si="71"/>
        <v>0.30715935334872979</v>
      </c>
      <c r="N44" s="176">
        <f t="shared" si="72"/>
        <v>13.601016166281754</v>
      </c>
      <c r="O44" s="176">
        <f t="shared" si="53"/>
        <v>1.9500000000000002</v>
      </c>
      <c r="P44" s="221">
        <f t="shared" si="73"/>
        <v>2.7202032332563508</v>
      </c>
      <c r="Q44" s="221">
        <f t="shared" si="74"/>
        <v>5</v>
      </c>
      <c r="R44" s="221">
        <f t="shared" si="75"/>
        <v>3.0224480369515008</v>
      </c>
      <c r="S44" s="176">
        <f t="shared" si="76"/>
        <v>101.57614696734463</v>
      </c>
      <c r="T44" s="176">
        <f t="shared" si="77"/>
        <v>5</v>
      </c>
      <c r="U44" s="221">
        <f t="shared" si="78"/>
        <v>0.5878237259816208</v>
      </c>
      <c r="V44" s="221">
        <f t="shared" si="79"/>
        <v>0.17144858674463939</v>
      </c>
      <c r="W44" s="221">
        <f t="shared" si="80"/>
        <v>0.38672613551422413</v>
      </c>
      <c r="X44" s="201">
        <f t="shared" si="81"/>
        <v>350</v>
      </c>
      <c r="Y44" s="451">
        <f t="shared" si="54"/>
        <v>350</v>
      </c>
      <c r="AA44" s="221">
        <f t="shared" si="82"/>
        <v>3.0089079511712309</v>
      </c>
      <c r="AB44" s="177">
        <f t="shared" si="83"/>
        <v>1.9795447047179149</v>
      </c>
      <c r="AC44" s="177">
        <f t="shared" si="84"/>
        <v>2.0846937306036244</v>
      </c>
      <c r="AD44" s="177"/>
      <c r="AE44" s="177">
        <f t="shared" si="85"/>
        <v>0.53947368421052622</v>
      </c>
      <c r="AF44" s="555">
        <f t="shared" si="86"/>
        <v>881.6180844735278</v>
      </c>
      <c r="AG44" s="538">
        <f t="shared" si="87"/>
        <v>0.15482894736842101</v>
      </c>
      <c r="AI44" s="177">
        <f t="shared" si="88"/>
        <v>1.3718253394309212</v>
      </c>
      <c r="AJ44" s="177">
        <f t="shared" si="89"/>
        <v>1.3718253394309212</v>
      </c>
      <c r="AK44" s="177">
        <f t="shared" si="90"/>
        <v>1.5678835596206142</v>
      </c>
      <c r="AM44" s="555">
        <f t="shared" si="91"/>
        <v>390</v>
      </c>
      <c r="AN44" s="469">
        <f t="shared" si="92"/>
        <v>350</v>
      </c>
      <c r="AP44">
        <f t="shared" si="93"/>
        <v>390</v>
      </c>
      <c r="AQ44" s="469">
        <f t="shared" si="94"/>
        <v>350</v>
      </c>
      <c r="AR44" s="469"/>
      <c r="AS44" s="5">
        <f t="shared" si="55"/>
        <v>2.8571428571428572</v>
      </c>
      <c r="AT44" s="5">
        <f t="shared" si="95"/>
        <v>0.40011572400068529</v>
      </c>
      <c r="AU44" s="5">
        <f t="shared" si="56"/>
        <v>2.457027133142172</v>
      </c>
      <c r="AV44" s="5">
        <f t="shared" si="96"/>
        <v>0.9025166706782376</v>
      </c>
      <c r="AW44" s="177">
        <f t="shared" si="57"/>
        <v>0.14004050340023985</v>
      </c>
      <c r="AX44" s="177">
        <f t="shared" si="97"/>
        <v>2.3053333333333339</v>
      </c>
      <c r="AY44" s="177">
        <f t="shared" si="98"/>
        <v>1.1797142283198101</v>
      </c>
      <c r="AZ44" s="177">
        <f t="shared" si="58"/>
        <v>1.9541455701663186</v>
      </c>
      <c r="BA44" s="469">
        <f t="shared" si="99"/>
        <v>100.52933910789432</v>
      </c>
      <c r="BB44" s="469">
        <f t="shared" si="100"/>
        <v>2.1174528700000002</v>
      </c>
      <c r="BC44" s="5">
        <f t="shared" si="101"/>
        <v>0.18484579126648285</v>
      </c>
      <c r="BD44" s="469">
        <f t="shared" si="102"/>
        <v>22.452328285311278</v>
      </c>
      <c r="BE44" s="5"/>
      <c r="BF44" s="177">
        <f t="shared" si="59"/>
        <v>0.29639100875276869</v>
      </c>
      <c r="BG44" s="177">
        <f t="shared" si="103"/>
        <v>1.4689505876401747</v>
      </c>
      <c r="BH44" s="177"/>
      <c r="BI44" s="538">
        <f t="shared" si="104"/>
        <v>9.6632393076432187E-3</v>
      </c>
      <c r="BJ44" s="538">
        <f t="shared" si="105"/>
        <v>8.3160052076302435E-2</v>
      </c>
      <c r="BK44" s="538">
        <f t="shared" si="106"/>
        <v>1.7499999999999998E-2</v>
      </c>
      <c r="BL44" s="538">
        <f t="shared" si="107"/>
        <v>9.4494456000000004E-2</v>
      </c>
      <c r="BM44">
        <f t="shared" si="108"/>
        <v>6.96E-3</v>
      </c>
      <c r="BN44">
        <f t="shared" si="109"/>
        <v>6.6500000000000004E-5</v>
      </c>
      <c r="BO44" s="538">
        <f t="shared" si="110"/>
        <v>0.21352947949226822</v>
      </c>
      <c r="BP44" s="469">
        <f t="shared" si="60"/>
        <v>213.52947949226822</v>
      </c>
      <c r="BQ44" s="538">
        <f t="shared" si="111"/>
        <v>0.31383712933013092</v>
      </c>
      <c r="BR44" s="538"/>
      <c r="BT44" s="469">
        <f t="shared" si="61"/>
        <v>313.83712933013089</v>
      </c>
      <c r="BU44" s="538">
        <f t="shared" si="112"/>
        <v>8.7847630069483804E-3</v>
      </c>
      <c r="BV44" s="538">
        <f t="shared" si="113"/>
        <v>6.4734474867852443E-2</v>
      </c>
      <c r="BW44" s="538">
        <f t="shared" si="114"/>
        <v>0</v>
      </c>
      <c r="BX44" s="538">
        <f t="shared" si="115"/>
        <v>8.2828706690983064E-2</v>
      </c>
      <c r="BY44" s="538">
        <f t="shared" si="116"/>
        <v>3.2933333333333342E-2</v>
      </c>
      <c r="BZ44" s="469">
        <f t="shared" si="62"/>
        <v>115.76204002431641</v>
      </c>
      <c r="CA44" s="177">
        <f t="shared" si="63"/>
        <v>0.64312864884671561</v>
      </c>
      <c r="CB44" s="5">
        <f t="shared" si="64"/>
        <v>1.9500000000000002</v>
      </c>
      <c r="CC44" s="177">
        <f t="shared" si="65"/>
        <v>0.75198737280823114</v>
      </c>
      <c r="CD44" s="5">
        <f t="shared" si="66"/>
        <v>75.19873728082311</v>
      </c>
      <c r="CG44" s="571">
        <f t="shared" si="117"/>
        <v>-50</v>
      </c>
      <c r="CH44">
        <f t="shared" si="118"/>
        <v>-50</v>
      </c>
    </row>
    <row r="45" spans="5:86" x14ac:dyDescent="0.2">
      <c r="E45" s="174">
        <v>40</v>
      </c>
      <c r="F45" s="221">
        <f t="shared" si="119"/>
        <v>0.4</v>
      </c>
      <c r="G45" s="221"/>
      <c r="H45" s="221">
        <f t="shared" si="67"/>
        <v>2</v>
      </c>
      <c r="I45" s="551">
        <f t="shared" si="68"/>
        <v>24</v>
      </c>
      <c r="J45" s="176">
        <f t="shared" si="69"/>
        <v>10.64</v>
      </c>
      <c r="K45" s="451">
        <f t="shared" si="70"/>
        <v>34.64</v>
      </c>
      <c r="L45" s="451"/>
      <c r="M45" s="221">
        <f t="shared" si="71"/>
        <v>0.30715935334872979</v>
      </c>
      <c r="N45" s="176">
        <f t="shared" si="72"/>
        <v>13.601016166281754</v>
      </c>
      <c r="O45" s="176">
        <f t="shared" si="53"/>
        <v>2</v>
      </c>
      <c r="P45" s="221">
        <f t="shared" si="73"/>
        <v>2.7202032332563508</v>
      </c>
      <c r="Q45" s="221">
        <f t="shared" si="74"/>
        <v>5</v>
      </c>
      <c r="R45" s="221">
        <f t="shared" si="75"/>
        <v>3.0224480369515008</v>
      </c>
      <c r="S45" s="176">
        <f t="shared" si="76"/>
        <v>98.738764868561546</v>
      </c>
      <c r="T45" s="176">
        <f t="shared" si="77"/>
        <v>5</v>
      </c>
      <c r="U45" s="221">
        <f t="shared" si="78"/>
        <v>0.60289612921191871</v>
      </c>
      <c r="V45" s="221">
        <f t="shared" si="79"/>
        <v>0.17584470435347629</v>
      </c>
      <c r="W45" s="221">
        <f t="shared" si="80"/>
        <v>0.39664219027099906</v>
      </c>
      <c r="X45" s="201">
        <f t="shared" si="81"/>
        <v>350</v>
      </c>
      <c r="Y45" s="451">
        <f t="shared" si="54"/>
        <v>350</v>
      </c>
      <c r="AA45" s="221">
        <f t="shared" si="82"/>
        <v>3.0089079511712309</v>
      </c>
      <c r="AB45" s="177">
        <f t="shared" si="83"/>
        <v>1.9795447047179149</v>
      </c>
      <c r="AC45" s="177">
        <f t="shared" si="84"/>
        <v>2.0846937306036244</v>
      </c>
      <c r="AD45" s="177"/>
      <c r="AE45" s="177">
        <f t="shared" si="85"/>
        <v>0.53947368421052622</v>
      </c>
      <c r="AF45" s="555">
        <f t="shared" si="86"/>
        <v>904.2236763831055</v>
      </c>
      <c r="AG45" s="538">
        <f t="shared" si="87"/>
        <v>0.15482894736842101</v>
      </c>
      <c r="AI45" s="177">
        <f t="shared" si="88"/>
        <v>1.3893015260046073</v>
      </c>
      <c r="AJ45" s="177">
        <f t="shared" si="89"/>
        <v>1.3893015260046073</v>
      </c>
      <c r="AK45" s="177">
        <f t="shared" si="90"/>
        <v>1.5795343506697384</v>
      </c>
      <c r="AM45" s="555">
        <f t="shared" si="91"/>
        <v>400</v>
      </c>
      <c r="AN45" s="469">
        <f t="shared" si="92"/>
        <v>350</v>
      </c>
      <c r="AP45">
        <f t="shared" si="93"/>
        <v>400</v>
      </c>
      <c r="AQ45" s="469">
        <f t="shared" si="94"/>
        <v>350</v>
      </c>
      <c r="AR45" s="469"/>
      <c r="AS45" s="5">
        <f t="shared" si="55"/>
        <v>2.8571428571428572</v>
      </c>
      <c r="AT45" s="5">
        <f t="shared" si="95"/>
        <v>0.40521294508467709</v>
      </c>
      <c r="AU45" s="5">
        <f t="shared" si="56"/>
        <v>2.4519299120581799</v>
      </c>
      <c r="AV45" s="5">
        <f t="shared" si="96"/>
        <v>0.91401416184513629</v>
      </c>
      <c r="AW45" s="177">
        <f t="shared" si="57"/>
        <v>0.14182453077963697</v>
      </c>
      <c r="AX45" s="177">
        <f t="shared" si="97"/>
        <v>2.364444444444445</v>
      </c>
      <c r="AY45" s="177">
        <f t="shared" si="98"/>
        <v>1.1922644889675702</v>
      </c>
      <c r="AZ45" s="177">
        <f t="shared" si="58"/>
        <v>1.9831542969898506</v>
      </c>
      <c r="BA45" s="469">
        <f t="shared" si="99"/>
        <v>100.52933910789432</v>
      </c>
      <c r="BB45" s="469">
        <f t="shared" si="100"/>
        <v>2.1966631111111115</v>
      </c>
      <c r="BC45" s="5">
        <f t="shared" si="101"/>
        <v>0.18919212284399536</v>
      </c>
      <c r="BD45" s="469">
        <f t="shared" si="102"/>
        <v>22.980832519057216</v>
      </c>
      <c r="BE45" s="5"/>
      <c r="BF45" s="177">
        <f t="shared" si="59"/>
        <v>0.30207275957677365</v>
      </c>
      <c r="BG45" s="177">
        <f t="shared" si="103"/>
        <v>1.4861201718675596</v>
      </c>
      <c r="BH45" s="177"/>
      <c r="BI45" s="538">
        <f t="shared" si="104"/>
        <v>1.0037274728616003E-2</v>
      </c>
      <c r="BJ45" s="538">
        <f t="shared" si="105"/>
        <v>8.4219458506399308E-2</v>
      </c>
      <c r="BK45" s="538">
        <f t="shared" si="106"/>
        <v>1.7499999999999998E-2</v>
      </c>
      <c r="BL45" s="538">
        <f t="shared" si="107"/>
        <v>9.4494456000000004E-2</v>
      </c>
      <c r="BM45">
        <f t="shared" si="108"/>
        <v>6.96E-3</v>
      </c>
      <c r="BN45">
        <f t="shared" si="109"/>
        <v>6.6500000000000004E-5</v>
      </c>
      <c r="BO45" s="538">
        <f t="shared" si="110"/>
        <v>0.21503093220131381</v>
      </c>
      <c r="BP45" s="469">
        <f t="shared" si="60"/>
        <v>215.03093220131382</v>
      </c>
      <c r="BQ45" s="538">
        <f t="shared" si="111"/>
        <v>0.32153346182369924</v>
      </c>
      <c r="BR45" s="538"/>
      <c r="BT45" s="469">
        <f t="shared" si="61"/>
        <v>321.53346182369921</v>
      </c>
      <c r="BU45" s="538">
        <f t="shared" si="112"/>
        <v>9.12479520783273E-3</v>
      </c>
      <c r="BV45" s="538">
        <f t="shared" si="113"/>
        <v>6.6256594956949952E-2</v>
      </c>
      <c r="BW45" s="538">
        <f t="shared" si="114"/>
        <v>0</v>
      </c>
      <c r="BX45" s="538">
        <f t="shared" si="115"/>
        <v>8.4939384897622552E-2</v>
      </c>
      <c r="BY45" s="538">
        <f t="shared" si="116"/>
        <v>3.3777777777777789E-2</v>
      </c>
      <c r="BZ45" s="469">
        <f t="shared" si="62"/>
        <v>118.71716267540033</v>
      </c>
      <c r="CA45" s="177">
        <f t="shared" si="63"/>
        <v>0.65528155670041344</v>
      </c>
      <c r="CB45" s="5">
        <f t="shared" si="64"/>
        <v>2</v>
      </c>
      <c r="CC45" s="177">
        <f t="shared" si="65"/>
        <v>0.75321579173144293</v>
      </c>
      <c r="CD45" s="5">
        <f t="shared" si="66"/>
        <v>75.321579173144286</v>
      </c>
      <c r="CG45" s="571">
        <f t="shared" si="117"/>
        <v>-50</v>
      </c>
      <c r="CH45">
        <f t="shared" si="118"/>
        <v>-50</v>
      </c>
    </row>
    <row r="46" spans="5:86" x14ac:dyDescent="0.2">
      <c r="E46" s="174">
        <v>41</v>
      </c>
      <c r="F46" s="221">
        <f t="shared" si="119"/>
        <v>0.41</v>
      </c>
      <c r="G46" s="221"/>
      <c r="H46" s="221">
        <f t="shared" si="67"/>
        <v>2.0499999999999998</v>
      </c>
      <c r="I46" s="551">
        <f t="shared" si="68"/>
        <v>24</v>
      </c>
      <c r="J46" s="176">
        <f t="shared" si="69"/>
        <v>10.64</v>
      </c>
      <c r="K46" s="451">
        <f t="shared" si="70"/>
        <v>34.64</v>
      </c>
      <c r="L46" s="451"/>
      <c r="M46" s="221">
        <f t="shared" si="71"/>
        <v>0.30715935334872979</v>
      </c>
      <c r="N46" s="176">
        <f t="shared" si="72"/>
        <v>13.601016166281754</v>
      </c>
      <c r="O46" s="176">
        <f t="shared" si="53"/>
        <v>2.0499999999999998</v>
      </c>
      <c r="P46" s="221">
        <f t="shared" si="73"/>
        <v>2.7202032332563508</v>
      </c>
      <c r="Q46" s="221">
        <f t="shared" si="74"/>
        <v>5</v>
      </c>
      <c r="R46" s="221">
        <f t="shared" si="75"/>
        <v>3.0224480369515008</v>
      </c>
      <c r="S46" s="176">
        <f t="shared" si="76"/>
        <v>96.039850622175166</v>
      </c>
      <c r="T46" s="176">
        <f t="shared" si="77"/>
        <v>5</v>
      </c>
      <c r="U46" s="221">
        <f t="shared" si="78"/>
        <v>0.61796853244221661</v>
      </c>
      <c r="V46" s="221">
        <f t="shared" si="79"/>
        <v>0.1802408219623132</v>
      </c>
      <c r="W46" s="221">
        <f t="shared" si="80"/>
        <v>0.4065582450277741</v>
      </c>
      <c r="X46" s="201">
        <f t="shared" si="81"/>
        <v>350</v>
      </c>
      <c r="Y46" s="451">
        <f t="shared" si="54"/>
        <v>350</v>
      </c>
      <c r="AA46" s="221">
        <f t="shared" si="82"/>
        <v>3.0089079511712309</v>
      </c>
      <c r="AB46" s="177">
        <f t="shared" si="83"/>
        <v>1.9795447047179149</v>
      </c>
      <c r="AC46" s="177">
        <f t="shared" si="84"/>
        <v>2.0846937306036244</v>
      </c>
      <c r="AD46" s="177"/>
      <c r="AE46" s="177">
        <f t="shared" si="85"/>
        <v>0.53947368421052622</v>
      </c>
      <c r="AF46" s="555">
        <f t="shared" si="86"/>
        <v>926.82926829268308</v>
      </c>
      <c r="AG46" s="538">
        <f t="shared" si="87"/>
        <v>0.15482894736842101</v>
      </c>
      <c r="AI46" s="177">
        <f t="shared" si="88"/>
        <v>1.4065605918028197</v>
      </c>
      <c r="AJ46" s="177">
        <f t="shared" si="89"/>
        <v>1.4065605918028197</v>
      </c>
      <c r="AK46" s="177">
        <f t="shared" si="90"/>
        <v>1.5910403945352132</v>
      </c>
      <c r="AM46" s="555">
        <f t="shared" si="91"/>
        <v>410</v>
      </c>
      <c r="AN46" s="469">
        <f t="shared" si="92"/>
        <v>350</v>
      </c>
      <c r="AP46">
        <f t="shared" si="93"/>
        <v>410</v>
      </c>
      <c r="AQ46" s="469">
        <f t="shared" si="94"/>
        <v>350</v>
      </c>
      <c r="AR46" s="469"/>
      <c r="AS46" s="5">
        <f t="shared" si="55"/>
        <v>2.8571428571428572</v>
      </c>
      <c r="AT46" s="5">
        <f t="shared" si="95"/>
        <v>0.41024683927582239</v>
      </c>
      <c r="AU46" s="5">
        <f t="shared" si="56"/>
        <v>2.4468960178670347</v>
      </c>
      <c r="AV46" s="5">
        <f t="shared" si="96"/>
        <v>0.9253688103965918</v>
      </c>
      <c r="AW46" s="177">
        <f t="shared" si="57"/>
        <v>0.14358639374653784</v>
      </c>
      <c r="AX46" s="177">
        <f t="shared" si="97"/>
        <v>2.4235555555555557</v>
      </c>
      <c r="AY46" s="177">
        <f t="shared" si="98"/>
        <v>1.2045976288398568</v>
      </c>
      <c r="AZ46" s="177">
        <f t="shared" si="58"/>
        <v>2.0119212403644462</v>
      </c>
      <c r="BA46" s="469">
        <f t="shared" si="99"/>
        <v>100.52933910789432</v>
      </c>
      <c r="BB46" s="469">
        <f t="shared" si="100"/>
        <v>2.2771191811111109</v>
      </c>
      <c r="BC46" s="5">
        <f t="shared" si="101"/>
        <v>0.19352379770939121</v>
      </c>
      <c r="BD46" s="469">
        <f t="shared" si="102"/>
        <v>23.507577947349166</v>
      </c>
      <c r="BE46" s="5"/>
      <c r="BF46" s="177">
        <f t="shared" si="59"/>
        <v>0.30771910606235037</v>
      </c>
      <c r="BG46" s="177">
        <f t="shared" si="103"/>
        <v>1.5030367277416576</v>
      </c>
      <c r="BH46" s="177"/>
      <c r="BI46" s="538">
        <f t="shared" si="104"/>
        <v>1.0416015305939325E-2</v>
      </c>
      <c r="BJ46" s="538">
        <f t="shared" si="105"/>
        <v>8.5265703075086921E-2</v>
      </c>
      <c r="BK46" s="538">
        <f t="shared" si="106"/>
        <v>1.7499999999999998E-2</v>
      </c>
      <c r="BL46" s="538">
        <f t="shared" si="107"/>
        <v>9.4494456000000004E-2</v>
      </c>
      <c r="BM46">
        <f t="shared" si="108"/>
        <v>6.96E-3</v>
      </c>
      <c r="BN46">
        <f t="shared" si="109"/>
        <v>6.6500000000000004E-5</v>
      </c>
      <c r="BO46" s="538">
        <f t="shared" si="110"/>
        <v>0.21652494430354802</v>
      </c>
      <c r="BP46" s="469">
        <f t="shared" si="60"/>
        <v>216.52494430354801</v>
      </c>
      <c r="BQ46" s="538">
        <f t="shared" si="111"/>
        <v>0.32921672253744277</v>
      </c>
      <c r="BR46" s="538"/>
      <c r="BT46" s="469">
        <f t="shared" si="61"/>
        <v>329.21672253744276</v>
      </c>
      <c r="BU46" s="538">
        <f t="shared" si="112"/>
        <v>9.469104823581204E-3</v>
      </c>
      <c r="BV46" s="538">
        <f t="shared" si="113"/>
        <v>6.7773582148210484E-2</v>
      </c>
      <c r="BW46" s="538">
        <f t="shared" si="114"/>
        <v>0</v>
      </c>
      <c r="BX46" s="538">
        <f t="shared" si="115"/>
        <v>8.7049725785996152E-2</v>
      </c>
      <c r="BY46" s="538">
        <f t="shared" si="116"/>
        <v>3.4622222222222228E-2</v>
      </c>
      <c r="BZ46" s="469">
        <f t="shared" si="62"/>
        <v>121.67194800821838</v>
      </c>
      <c r="CA46" s="177">
        <f t="shared" si="63"/>
        <v>0.66741361484920914</v>
      </c>
      <c r="CB46" s="5">
        <f t="shared" si="64"/>
        <v>2.0499999999999998</v>
      </c>
      <c r="CC46" s="177">
        <f t="shared" si="65"/>
        <v>0.7543938062273069</v>
      </c>
      <c r="CD46" s="5">
        <f t="shared" si="66"/>
        <v>75.439380622730695</v>
      </c>
      <c r="CG46" s="571">
        <f t="shared" si="117"/>
        <v>-50</v>
      </c>
      <c r="CH46">
        <f t="shared" si="118"/>
        <v>-50</v>
      </c>
    </row>
    <row r="47" spans="5:86" x14ac:dyDescent="0.2">
      <c r="E47" s="174">
        <v>42</v>
      </c>
      <c r="F47" s="221">
        <f t="shared" si="119"/>
        <v>0.42</v>
      </c>
      <c r="G47" s="221"/>
      <c r="H47" s="221">
        <f t="shared" si="67"/>
        <v>2.1</v>
      </c>
      <c r="I47" s="551">
        <f t="shared" si="68"/>
        <v>24</v>
      </c>
      <c r="J47" s="176">
        <f t="shared" si="69"/>
        <v>10.64</v>
      </c>
      <c r="K47" s="451">
        <f t="shared" si="70"/>
        <v>34.64</v>
      </c>
      <c r="L47" s="451"/>
      <c r="M47" s="221">
        <f t="shared" si="71"/>
        <v>0.30715935334872979</v>
      </c>
      <c r="N47" s="176">
        <f t="shared" si="72"/>
        <v>13.601016166281754</v>
      </c>
      <c r="O47" s="176">
        <f t="shared" si="53"/>
        <v>2.1</v>
      </c>
      <c r="P47" s="221">
        <f t="shared" si="73"/>
        <v>2.7202032332563508</v>
      </c>
      <c r="Q47" s="221">
        <f t="shared" si="74"/>
        <v>5</v>
      </c>
      <c r="R47" s="221">
        <f t="shared" si="75"/>
        <v>3.0224480369515008</v>
      </c>
      <c r="S47" s="176">
        <f t="shared" si="76"/>
        <v>93.469514171839762</v>
      </c>
      <c r="T47" s="176">
        <f t="shared" si="77"/>
        <v>5</v>
      </c>
      <c r="U47" s="221">
        <f t="shared" si="78"/>
        <v>0.63304093567251463</v>
      </c>
      <c r="V47" s="221">
        <f t="shared" si="79"/>
        <v>0.1846369395711501</v>
      </c>
      <c r="W47" s="221">
        <f t="shared" si="80"/>
        <v>0.41647429978454908</v>
      </c>
      <c r="X47" s="201">
        <f t="shared" si="81"/>
        <v>350</v>
      </c>
      <c r="Y47" s="451">
        <f t="shared" si="54"/>
        <v>350</v>
      </c>
      <c r="AA47" s="221">
        <f t="shared" si="82"/>
        <v>3.0089079511712309</v>
      </c>
      <c r="AB47" s="177">
        <f t="shared" si="83"/>
        <v>1.9795447047179149</v>
      </c>
      <c r="AC47" s="177">
        <f t="shared" si="84"/>
        <v>2.0846937306036244</v>
      </c>
      <c r="AD47" s="177"/>
      <c r="AE47" s="177">
        <f t="shared" si="85"/>
        <v>0.53947368421052622</v>
      </c>
      <c r="AF47" s="555">
        <f t="shared" si="86"/>
        <v>949.43486020226067</v>
      </c>
      <c r="AG47" s="538">
        <f t="shared" si="87"/>
        <v>0.15482894736842101</v>
      </c>
      <c r="AI47" s="177">
        <f t="shared" si="88"/>
        <v>1.4236104336041748</v>
      </c>
      <c r="AJ47" s="177">
        <f t="shared" si="89"/>
        <v>1.4236104336041748</v>
      </c>
      <c r="AK47" s="177">
        <f t="shared" si="90"/>
        <v>1.6024069557361167</v>
      </c>
      <c r="AM47" s="555">
        <f t="shared" si="91"/>
        <v>420</v>
      </c>
      <c r="AN47" s="469">
        <f t="shared" si="92"/>
        <v>350</v>
      </c>
      <c r="AP47">
        <f t="shared" si="93"/>
        <v>420</v>
      </c>
      <c r="AQ47" s="469">
        <f t="shared" si="94"/>
        <v>350</v>
      </c>
      <c r="AR47" s="469"/>
      <c r="AS47" s="5">
        <f t="shared" si="55"/>
        <v>2.8571428571428572</v>
      </c>
      <c r="AT47" s="5">
        <f t="shared" si="95"/>
        <v>0.41521970980121764</v>
      </c>
      <c r="AU47" s="5">
        <f t="shared" si="56"/>
        <v>2.4419231473416394</v>
      </c>
      <c r="AV47" s="5">
        <f t="shared" si="96"/>
        <v>0.93658581158169385</v>
      </c>
      <c r="AW47" s="177">
        <f t="shared" si="57"/>
        <v>0.14532689843042618</v>
      </c>
      <c r="AX47" s="177">
        <f t="shared" si="97"/>
        <v>2.4826666666666668</v>
      </c>
      <c r="AY47" s="177">
        <f t="shared" si="98"/>
        <v>1.2167215447152859</v>
      </c>
      <c r="AZ47" s="177">
        <f t="shared" si="58"/>
        <v>2.0404559099408512</v>
      </c>
      <c r="BA47" s="469">
        <f t="shared" si="99"/>
        <v>100.52933910789432</v>
      </c>
      <c r="BB47" s="469">
        <f t="shared" si="100"/>
        <v>2.3588210799999998</v>
      </c>
      <c r="BC47" s="5">
        <f t="shared" si="101"/>
        <v>0.19784099573369759</v>
      </c>
      <c r="BD47" s="469">
        <f t="shared" si="102"/>
        <v>24.03258615471038</v>
      </c>
      <c r="BE47" s="5"/>
      <c r="BF47" s="177">
        <f t="shared" si="59"/>
        <v>0.31333112454132661</v>
      </c>
      <c r="BG47" s="177">
        <f t="shared" si="103"/>
        <v>1.5197093958375374</v>
      </c>
      <c r="BH47" s="177"/>
      <c r="BI47" s="538">
        <f t="shared" si="104"/>
        <v>1.0799403296696557E-2</v>
      </c>
      <c r="BJ47" s="538">
        <f t="shared" si="105"/>
        <v>8.6299264485085084E-2</v>
      </c>
      <c r="BK47" s="538">
        <f t="shared" si="106"/>
        <v>1.7499999999999998E-2</v>
      </c>
      <c r="BL47" s="538">
        <f t="shared" si="107"/>
        <v>9.4494456000000004E-2</v>
      </c>
      <c r="BM47">
        <f t="shared" si="108"/>
        <v>6.96E-3</v>
      </c>
      <c r="BN47">
        <f t="shared" si="109"/>
        <v>6.6500000000000004E-5</v>
      </c>
      <c r="BO47" s="538">
        <f t="shared" si="110"/>
        <v>0.2180119297968319</v>
      </c>
      <c r="BP47" s="469">
        <f t="shared" si="60"/>
        <v>218.01192979683191</v>
      </c>
      <c r="BQ47" s="538">
        <f t="shared" si="111"/>
        <v>0.33688707189168265</v>
      </c>
      <c r="BR47" s="538"/>
      <c r="BT47" s="469">
        <f t="shared" si="61"/>
        <v>336.88707189168264</v>
      </c>
      <c r="BU47" s="538">
        <f t="shared" si="112"/>
        <v>9.8176393606332346E-3</v>
      </c>
      <c r="BV47" s="538">
        <f t="shared" si="113"/>
        <v>6.9285499433906786E-2</v>
      </c>
      <c r="BW47" s="538">
        <f t="shared" si="114"/>
        <v>0</v>
      </c>
      <c r="BX47" s="538">
        <f t="shared" si="115"/>
        <v>8.9159740677218852E-2</v>
      </c>
      <c r="BY47" s="538">
        <f t="shared" si="116"/>
        <v>3.5466666666666674E-2</v>
      </c>
      <c r="BZ47" s="469">
        <f t="shared" si="62"/>
        <v>124.62640734388553</v>
      </c>
      <c r="CA47" s="177">
        <f t="shared" si="63"/>
        <v>0.67952540903240011</v>
      </c>
      <c r="CB47" s="5">
        <f t="shared" si="64"/>
        <v>2.1</v>
      </c>
      <c r="CC47" s="177">
        <f t="shared" si="65"/>
        <v>0.7555246637342472</v>
      </c>
      <c r="CD47" s="5">
        <f t="shared" si="66"/>
        <v>75.552466373424721</v>
      </c>
      <c r="CG47" s="571">
        <f t="shared" si="117"/>
        <v>-50</v>
      </c>
      <c r="CH47">
        <f t="shared" si="118"/>
        <v>-50</v>
      </c>
    </row>
    <row r="48" spans="5:86" x14ac:dyDescent="0.2">
      <c r="E48" s="174">
        <v>43</v>
      </c>
      <c r="F48" s="221">
        <f t="shared" si="119"/>
        <v>0.43</v>
      </c>
      <c r="G48" s="221"/>
      <c r="H48" s="221">
        <f t="shared" si="67"/>
        <v>2.15</v>
      </c>
      <c r="I48" s="551">
        <f t="shared" si="68"/>
        <v>24</v>
      </c>
      <c r="J48" s="176">
        <f t="shared" si="69"/>
        <v>10.64</v>
      </c>
      <c r="K48" s="451">
        <f t="shared" si="70"/>
        <v>34.64</v>
      </c>
      <c r="L48" s="451"/>
      <c r="M48" s="221">
        <f t="shared" si="71"/>
        <v>0.30715935334872979</v>
      </c>
      <c r="N48" s="176">
        <f t="shared" si="72"/>
        <v>13.601016166281754</v>
      </c>
      <c r="O48" s="176">
        <f t="shared" si="53"/>
        <v>2.15</v>
      </c>
      <c r="P48" s="221">
        <f t="shared" si="73"/>
        <v>2.7202032332563508</v>
      </c>
      <c r="Q48" s="221">
        <f t="shared" si="74"/>
        <v>5</v>
      </c>
      <c r="R48" s="221">
        <f t="shared" si="75"/>
        <v>3.0224480369515008</v>
      </c>
      <c r="S48" s="176">
        <f t="shared" si="76"/>
        <v>91.018785472014514</v>
      </c>
      <c r="T48" s="176">
        <f t="shared" si="77"/>
        <v>5</v>
      </c>
      <c r="U48" s="221">
        <f t="shared" si="78"/>
        <v>0.64811333890281253</v>
      </c>
      <c r="V48" s="221">
        <f t="shared" si="79"/>
        <v>0.18903305717998697</v>
      </c>
      <c r="W48" s="221">
        <f t="shared" si="80"/>
        <v>0.42639035454132401</v>
      </c>
      <c r="X48" s="201">
        <f t="shared" si="81"/>
        <v>350</v>
      </c>
      <c r="Y48" s="451">
        <f t="shared" si="54"/>
        <v>350</v>
      </c>
      <c r="AA48" s="221">
        <f t="shared" si="82"/>
        <v>3.0089079511712309</v>
      </c>
      <c r="AB48" s="177">
        <f t="shared" si="83"/>
        <v>1.9795447047179149</v>
      </c>
      <c r="AC48" s="177">
        <f t="shared" si="84"/>
        <v>2.0846937306036244</v>
      </c>
      <c r="AD48" s="177"/>
      <c r="AE48" s="177">
        <f t="shared" si="85"/>
        <v>0.53947368421052622</v>
      </c>
      <c r="AF48" s="555">
        <f t="shared" si="86"/>
        <v>972.04045211183836</v>
      </c>
      <c r="AG48" s="538">
        <f t="shared" si="87"/>
        <v>0.15482894736842101</v>
      </c>
      <c r="AI48" s="177">
        <f t="shared" si="88"/>
        <v>1.4404584808041623</v>
      </c>
      <c r="AJ48" s="177">
        <f t="shared" si="89"/>
        <v>1.4404584808041623</v>
      </c>
      <c r="AK48" s="177">
        <f t="shared" si="90"/>
        <v>1.613638987202775</v>
      </c>
      <c r="AM48" s="555">
        <f t="shared" si="91"/>
        <v>430</v>
      </c>
      <c r="AN48" s="469">
        <f t="shared" si="92"/>
        <v>350</v>
      </c>
      <c r="AP48">
        <f t="shared" si="93"/>
        <v>430</v>
      </c>
      <c r="AQ48" s="469">
        <f t="shared" si="94"/>
        <v>350</v>
      </c>
      <c r="AR48" s="469"/>
      <c r="AS48" s="5">
        <f t="shared" si="55"/>
        <v>2.8571428571428572</v>
      </c>
      <c r="AT48" s="5">
        <f t="shared" si="95"/>
        <v>0.42013372356788065</v>
      </c>
      <c r="AU48" s="5">
        <f t="shared" si="56"/>
        <v>2.4370091335749766</v>
      </c>
      <c r="AV48" s="5">
        <f t="shared" si="96"/>
        <v>0.94767005316063302</v>
      </c>
      <c r="AW48" s="177">
        <f t="shared" si="57"/>
        <v>0.14704680324875821</v>
      </c>
      <c r="AX48" s="177">
        <f t="shared" si="97"/>
        <v>2.5417777777777784</v>
      </c>
      <c r="AY48" s="177">
        <f t="shared" si="98"/>
        <v>1.2286436659893476</v>
      </c>
      <c r="AZ48" s="177">
        <f t="shared" si="58"/>
        <v>2.0687672497225211</v>
      </c>
      <c r="BA48" s="469">
        <f t="shared" si="99"/>
        <v>100.52933910789432</v>
      </c>
      <c r="BB48" s="469">
        <f t="shared" si="100"/>
        <v>2.4417688077777777</v>
      </c>
      <c r="BC48" s="5">
        <f t="shared" si="101"/>
        <v>0.20214389032354163</v>
      </c>
      <c r="BD48" s="469">
        <f t="shared" si="102"/>
        <v>24.555877949936111</v>
      </c>
      <c r="BE48" s="5"/>
      <c r="BF48" s="177">
        <f t="shared" si="59"/>
        <v>0.31890983384020588</v>
      </c>
      <c r="BG48" s="177">
        <f t="shared" si="103"/>
        <v>1.5361467762166794</v>
      </c>
      <c r="BH48" s="177"/>
      <c r="BI48" s="538">
        <f t="shared" si="104"/>
        <v>1.1187383033198649E-2</v>
      </c>
      <c r="BJ48" s="538">
        <f t="shared" si="105"/>
        <v>8.7320593106348335E-2</v>
      </c>
      <c r="BK48" s="538">
        <f t="shared" si="106"/>
        <v>1.7499999999999998E-2</v>
      </c>
      <c r="BL48" s="538">
        <f t="shared" si="107"/>
        <v>9.4494456000000004E-2</v>
      </c>
      <c r="BM48">
        <f t="shared" si="108"/>
        <v>6.96E-3</v>
      </c>
      <c r="BN48">
        <f t="shared" si="109"/>
        <v>6.6500000000000004E-5</v>
      </c>
      <c r="BO48" s="538">
        <f t="shared" si="110"/>
        <v>0.21949227674891389</v>
      </c>
      <c r="BP48" s="469">
        <f t="shared" si="60"/>
        <v>219.49227674891389</v>
      </c>
      <c r="BQ48" s="538">
        <f t="shared" si="111"/>
        <v>0.34454466454138061</v>
      </c>
      <c r="BR48" s="538"/>
      <c r="BT48" s="469">
        <f t="shared" si="61"/>
        <v>344.5446645413806</v>
      </c>
      <c r="BU48" s="538">
        <f t="shared" si="112"/>
        <v>1.0170348211998774E-2</v>
      </c>
      <c r="BV48" s="538">
        <f t="shared" si="113"/>
        <v>7.0792407542426911E-2</v>
      </c>
      <c r="BW48" s="538">
        <f t="shared" si="114"/>
        <v>0</v>
      </c>
      <c r="BX48" s="538">
        <f t="shared" si="115"/>
        <v>9.1269440478340055E-2</v>
      </c>
      <c r="BY48" s="538">
        <f t="shared" si="116"/>
        <v>3.631111111111112E-2</v>
      </c>
      <c r="BZ48" s="469">
        <f t="shared" si="62"/>
        <v>127.58055158945118</v>
      </c>
      <c r="CA48" s="177">
        <f t="shared" si="63"/>
        <v>0.69161749287974561</v>
      </c>
      <c r="CB48" s="5">
        <f t="shared" si="64"/>
        <v>2.15</v>
      </c>
      <c r="CC48" s="177">
        <f t="shared" si="65"/>
        <v>0.75661133329424712</v>
      </c>
      <c r="CD48" s="5">
        <f t="shared" si="66"/>
        <v>75.661133329424715</v>
      </c>
      <c r="CG48" s="571">
        <f t="shared" si="117"/>
        <v>-50</v>
      </c>
      <c r="CH48">
        <f t="shared" si="118"/>
        <v>-50</v>
      </c>
    </row>
    <row r="49" spans="5:86" x14ac:dyDescent="0.2">
      <c r="E49" s="174">
        <v>44</v>
      </c>
      <c r="F49" s="221">
        <f t="shared" si="119"/>
        <v>0.44</v>
      </c>
      <c r="G49" s="221"/>
      <c r="H49" s="221">
        <f t="shared" si="67"/>
        <v>2.2000000000000002</v>
      </c>
      <c r="I49" s="551">
        <f t="shared" si="68"/>
        <v>24</v>
      </c>
      <c r="J49" s="176">
        <f t="shared" si="69"/>
        <v>10.64</v>
      </c>
      <c r="K49" s="451">
        <f t="shared" si="70"/>
        <v>34.64</v>
      </c>
      <c r="L49" s="451"/>
      <c r="M49" s="221">
        <f t="shared" si="71"/>
        <v>0.30715935334872979</v>
      </c>
      <c r="N49" s="176">
        <f t="shared" si="72"/>
        <v>13.601016166281754</v>
      </c>
      <c r="O49" s="176">
        <f t="shared" si="53"/>
        <v>2.2000000000000002</v>
      </c>
      <c r="P49" s="221">
        <f t="shared" si="73"/>
        <v>2.7202032332563508</v>
      </c>
      <c r="Q49" s="221">
        <f t="shared" si="74"/>
        <v>5</v>
      </c>
      <c r="R49" s="221">
        <f t="shared" si="75"/>
        <v>3.0224480369515008</v>
      </c>
      <c r="S49" s="176">
        <f t="shared" si="76"/>
        <v>88.679509941354866</v>
      </c>
      <c r="T49" s="176">
        <f t="shared" si="77"/>
        <v>5</v>
      </c>
      <c r="U49" s="221">
        <f t="shared" si="78"/>
        <v>0.66318574213311055</v>
      </c>
      <c r="V49" s="221">
        <f t="shared" si="79"/>
        <v>0.1934291747888239</v>
      </c>
      <c r="W49" s="221">
        <f t="shared" si="80"/>
        <v>0.436306409298099</v>
      </c>
      <c r="X49" s="201">
        <f t="shared" si="81"/>
        <v>350</v>
      </c>
      <c r="Y49" s="451">
        <f t="shared" si="54"/>
        <v>350</v>
      </c>
      <c r="AA49" s="221">
        <f t="shared" si="82"/>
        <v>3.0089079511712309</v>
      </c>
      <c r="AB49" s="177">
        <f t="shared" si="83"/>
        <v>1.9795447047179149</v>
      </c>
      <c r="AC49" s="177">
        <f t="shared" si="84"/>
        <v>2.0846937306036244</v>
      </c>
      <c r="AD49" s="177"/>
      <c r="AE49" s="177">
        <f t="shared" si="85"/>
        <v>0.53947368421052622</v>
      </c>
      <c r="AF49" s="555">
        <f t="shared" si="86"/>
        <v>994.64604402141595</v>
      </c>
      <c r="AG49" s="538">
        <f t="shared" si="87"/>
        <v>0.15482894736842101</v>
      </c>
      <c r="AI49" s="177">
        <f t="shared" si="88"/>
        <v>1.4571117332499259</v>
      </c>
      <c r="AJ49" s="177">
        <f t="shared" si="89"/>
        <v>1.4571117332499259</v>
      </c>
      <c r="AK49" s="177">
        <f t="shared" si="90"/>
        <v>1.6247411554999507</v>
      </c>
      <c r="AM49" s="555">
        <f t="shared" si="91"/>
        <v>440</v>
      </c>
      <c r="AN49" s="469">
        <f t="shared" si="92"/>
        <v>350</v>
      </c>
      <c r="AP49">
        <f t="shared" si="93"/>
        <v>440</v>
      </c>
      <c r="AQ49" s="469">
        <f t="shared" si="94"/>
        <v>350</v>
      </c>
      <c r="AR49" s="469"/>
      <c r="AS49" s="5">
        <f t="shared" si="55"/>
        <v>2.8571428571428572</v>
      </c>
      <c r="AT49" s="5">
        <f t="shared" si="95"/>
        <v>0.42499092219789508</v>
      </c>
      <c r="AU49" s="5">
        <f t="shared" si="56"/>
        <v>2.4321519349449621</v>
      </c>
      <c r="AV49" s="5">
        <f t="shared" si="96"/>
        <v>0.9586261402960039</v>
      </c>
      <c r="AW49" s="177">
        <f t="shared" si="57"/>
        <v>0.14874682276926326</v>
      </c>
      <c r="AX49" s="177">
        <f t="shared" si="97"/>
        <v>2.600888888888889</v>
      </c>
      <c r="AY49" s="177">
        <f t="shared" si="98"/>
        <v>1.2403709925091853</v>
      </c>
      <c r="AZ49" s="177">
        <f t="shared" si="58"/>
        <v>2.0968636840075319</v>
      </c>
      <c r="BA49" s="469">
        <f t="shared" si="99"/>
        <v>100.52933910789432</v>
      </c>
      <c r="BB49" s="469">
        <f t="shared" si="100"/>
        <v>2.5259623644444442</v>
      </c>
      <c r="BC49" s="5">
        <f t="shared" si="101"/>
        <v>0.2064326487993409</v>
      </c>
      <c r="BD49" s="469">
        <f t="shared" si="102"/>
        <v>25.077473411476468</v>
      </c>
      <c r="BE49" s="5"/>
      <c r="BF49" s="177">
        <f t="shared" si="59"/>
        <v>0.32445619961540451</v>
      </c>
      <c r="BG49" s="177">
        <f t="shared" si="103"/>
        <v>1.5523569721632928</v>
      </c>
      <c r="BH49" s="177"/>
      <c r="BI49" s="538">
        <f t="shared" si="104"/>
        <v>1.1579900801575834E-2</v>
      </c>
      <c r="BJ49" s="538">
        <f t="shared" si="105"/>
        <v>8.8330113269610502E-2</v>
      </c>
      <c r="BK49" s="538">
        <f t="shared" si="106"/>
        <v>1.7499999999999998E-2</v>
      </c>
      <c r="BL49" s="538">
        <f t="shared" si="107"/>
        <v>9.4494456000000004E-2</v>
      </c>
      <c r="BM49">
        <f t="shared" si="108"/>
        <v>6.96E-3</v>
      </c>
      <c r="BN49">
        <f t="shared" si="109"/>
        <v>6.6500000000000004E-5</v>
      </c>
      <c r="BO49" s="538">
        <f t="shared" si="110"/>
        <v>0.22096634945051333</v>
      </c>
      <c r="BP49" s="469">
        <f t="shared" si="60"/>
        <v>220.96634945051332</v>
      </c>
      <c r="BQ49" s="538">
        <f t="shared" si="111"/>
        <v>0.35218964971343258</v>
      </c>
      <c r="BR49" s="538"/>
      <c r="BT49" s="469">
        <f t="shared" si="61"/>
        <v>352.18964971343257</v>
      </c>
      <c r="BU49" s="538">
        <f t="shared" si="112"/>
        <v>1.0527182546887122E-2</v>
      </c>
      <c r="BV49" s="538">
        <f t="shared" si="113"/>
        <v>7.2294365070719596E-2</v>
      </c>
      <c r="BW49" s="538">
        <f t="shared" si="114"/>
        <v>0</v>
      </c>
      <c r="BX49" s="538">
        <f t="shared" si="115"/>
        <v>9.3378835706756619E-2</v>
      </c>
      <c r="BY49" s="538">
        <f t="shared" si="116"/>
        <v>3.715555555555556E-2</v>
      </c>
      <c r="BZ49" s="469">
        <f t="shared" si="62"/>
        <v>130.53439126231217</v>
      </c>
      <c r="CA49" s="177">
        <f t="shared" si="63"/>
        <v>0.70369039042625814</v>
      </c>
      <c r="CB49" s="5">
        <f t="shared" si="64"/>
        <v>2.2000000000000002</v>
      </c>
      <c r="CC49" s="177">
        <f t="shared" si="65"/>
        <v>0.75765653502646424</v>
      </c>
      <c r="CD49" s="5">
        <f t="shared" si="66"/>
        <v>75.76565350264643</v>
      </c>
      <c r="CG49" s="571">
        <f t="shared" si="117"/>
        <v>-50</v>
      </c>
      <c r="CH49">
        <f t="shared" si="118"/>
        <v>-50</v>
      </c>
    </row>
    <row r="50" spans="5:86" x14ac:dyDescent="0.2">
      <c r="E50" s="174">
        <v>45</v>
      </c>
      <c r="F50" s="221">
        <f t="shared" si="119"/>
        <v>0.45</v>
      </c>
      <c r="G50" s="221"/>
      <c r="H50" s="221">
        <f t="shared" si="67"/>
        <v>2.25</v>
      </c>
      <c r="I50" s="551">
        <f t="shared" si="68"/>
        <v>24</v>
      </c>
      <c r="J50" s="176">
        <f t="shared" si="69"/>
        <v>10.64</v>
      </c>
      <c r="K50" s="451">
        <f t="shared" si="70"/>
        <v>34.64</v>
      </c>
      <c r="L50" s="451"/>
      <c r="M50" s="221">
        <f t="shared" si="71"/>
        <v>0.30715935334872979</v>
      </c>
      <c r="N50" s="176">
        <f t="shared" si="72"/>
        <v>13.601016166281754</v>
      </c>
      <c r="O50" s="176">
        <f t="shared" si="53"/>
        <v>2.25</v>
      </c>
      <c r="P50" s="221">
        <f t="shared" si="73"/>
        <v>2.7202032332563508</v>
      </c>
      <c r="Q50" s="221">
        <f t="shared" si="74"/>
        <v>5</v>
      </c>
      <c r="R50" s="221">
        <f t="shared" si="75"/>
        <v>3.0224480369515008</v>
      </c>
      <c r="S50" s="176">
        <f t="shared" si="76"/>
        <v>86.444257855652822</v>
      </c>
      <c r="T50" s="176">
        <f t="shared" si="77"/>
        <v>5</v>
      </c>
      <c r="U50" s="221">
        <f t="shared" si="78"/>
        <v>0.67825814536340856</v>
      </c>
      <c r="V50" s="221">
        <f t="shared" si="79"/>
        <v>0.19782529239766081</v>
      </c>
      <c r="W50" s="221">
        <f t="shared" si="80"/>
        <v>0.44622246405487398</v>
      </c>
      <c r="X50" s="201">
        <f t="shared" si="81"/>
        <v>350</v>
      </c>
      <c r="Y50" s="451">
        <f t="shared" si="54"/>
        <v>350</v>
      </c>
      <c r="AA50" s="221">
        <f t="shared" si="82"/>
        <v>3.0089079511712309</v>
      </c>
      <c r="AB50" s="177">
        <f t="shared" si="83"/>
        <v>1.9795447047179149</v>
      </c>
      <c r="AC50" s="177">
        <f t="shared" si="84"/>
        <v>2.0846937306036244</v>
      </c>
      <c r="AD50" s="177"/>
      <c r="AE50" s="177">
        <f t="shared" si="85"/>
        <v>0.53947368421052622</v>
      </c>
      <c r="AF50" s="555">
        <f t="shared" si="86"/>
        <v>1017.2516359309938</v>
      </c>
      <c r="AG50" s="538">
        <f t="shared" si="87"/>
        <v>0.15482894736842101</v>
      </c>
      <c r="AI50" s="177">
        <f t="shared" si="88"/>
        <v>1.4735767952260146</v>
      </c>
      <c r="AJ50" s="177">
        <f t="shared" si="89"/>
        <v>1.4735767952260146</v>
      </c>
      <c r="AK50" s="177">
        <f t="shared" si="90"/>
        <v>1.6357178634840097</v>
      </c>
      <c r="AM50" s="555">
        <f t="shared" si="91"/>
        <v>450</v>
      </c>
      <c r="AN50" s="469">
        <f t="shared" si="92"/>
        <v>350</v>
      </c>
      <c r="AP50">
        <f t="shared" si="93"/>
        <v>450</v>
      </c>
      <c r="AQ50" s="469">
        <f t="shared" si="94"/>
        <v>350</v>
      </c>
      <c r="AR50" s="469"/>
      <c r="AS50" s="5">
        <f t="shared" si="55"/>
        <v>2.8571428571428572</v>
      </c>
      <c r="AT50" s="5">
        <f t="shared" si="95"/>
        <v>0.42979323194092089</v>
      </c>
      <c r="AU50" s="5">
        <f t="shared" si="56"/>
        <v>2.4273496252019364</v>
      </c>
      <c r="AV50" s="5">
        <f t="shared" si="96"/>
        <v>0.9694584179118515</v>
      </c>
      <c r="AW50" s="177">
        <f t="shared" si="57"/>
        <v>0.15042763117932231</v>
      </c>
      <c r="AX50" s="177">
        <f t="shared" si="97"/>
        <v>2.6600000000000006</v>
      </c>
      <c r="AY50" s="177">
        <f t="shared" si="98"/>
        <v>1.2519101285593479</v>
      </c>
      <c r="AZ50" s="177">
        <f t="shared" si="58"/>
        <v>2.1247531586480819</v>
      </c>
      <c r="BA50" s="469">
        <f t="shared" si="99"/>
        <v>100.52933910789432</v>
      </c>
      <c r="BB50" s="469">
        <f t="shared" si="100"/>
        <v>2.6114017499999997</v>
      </c>
      <c r="BC50" s="5">
        <f t="shared" si="101"/>
        <v>0.21070743274322362</v>
      </c>
      <c r="BD50" s="469">
        <f t="shared" si="102"/>
        <v>25.597391929186834</v>
      </c>
      <c r="BE50" s="5"/>
      <c r="BF50" s="177">
        <f t="shared" si="59"/>
        <v>0.32997113827075841</v>
      </c>
      <c r="BG50" s="177">
        <f t="shared" si="103"/>
        <v>1.568347629472272</v>
      </c>
      <c r="BH50" s="177"/>
      <c r="BI50" s="538">
        <f t="shared" si="104"/>
        <v>1.1976904730086996E-2</v>
      </c>
      <c r="BJ50" s="538">
        <f t="shared" si="105"/>
        <v>8.9328225326601007E-2</v>
      </c>
      <c r="BK50" s="538">
        <f t="shared" si="106"/>
        <v>1.7499999999999998E-2</v>
      </c>
      <c r="BL50" s="538">
        <f t="shared" si="107"/>
        <v>9.4494456000000004E-2</v>
      </c>
      <c r="BM50">
        <f t="shared" si="108"/>
        <v>6.96E-3</v>
      </c>
      <c r="BN50">
        <f t="shared" si="109"/>
        <v>6.6500000000000004E-5</v>
      </c>
      <c r="BO50" s="538">
        <f t="shared" si="110"/>
        <v>0.22243449034631918</v>
      </c>
      <c r="BP50" s="469">
        <f t="shared" si="60"/>
        <v>222.43449034631919</v>
      </c>
      <c r="BQ50" s="538">
        <f t="shared" si="111"/>
        <v>0.35982217151696699</v>
      </c>
      <c r="BR50" s="538"/>
      <c r="BT50" s="469">
        <f t="shared" si="61"/>
        <v>359.82217151696699</v>
      </c>
      <c r="BU50" s="538">
        <f t="shared" si="112"/>
        <v>1.0888095209169998E-2</v>
      </c>
      <c r="BV50" s="538">
        <f t="shared" si="113"/>
        <v>7.3791428606138854E-2</v>
      </c>
      <c r="BW50" s="538">
        <f t="shared" si="114"/>
        <v>0</v>
      </c>
      <c r="BX50" s="538">
        <f t="shared" si="115"/>
        <v>9.548793651266585E-2</v>
      </c>
      <c r="BY50" s="538">
        <f t="shared" si="116"/>
        <v>3.8000000000000006E-2</v>
      </c>
      <c r="BZ50" s="469">
        <f t="shared" si="62"/>
        <v>133.48793651266587</v>
      </c>
      <c r="CA50" s="177">
        <f t="shared" si="63"/>
        <v>0.71574459837595206</v>
      </c>
      <c r="CB50" s="5">
        <f t="shared" si="64"/>
        <v>2.25</v>
      </c>
      <c r="CC50" s="177">
        <f t="shared" si="65"/>
        <v>0.75866276591453785</v>
      </c>
      <c r="CD50" s="5">
        <f t="shared" si="66"/>
        <v>75.866276591453783</v>
      </c>
      <c r="CG50" s="571">
        <f t="shared" si="117"/>
        <v>-50</v>
      </c>
      <c r="CH50">
        <f t="shared" si="118"/>
        <v>-50</v>
      </c>
    </row>
    <row r="51" spans="5:86" x14ac:dyDescent="0.2">
      <c r="E51" s="174">
        <v>46</v>
      </c>
      <c r="F51" s="221">
        <f t="shared" si="119"/>
        <v>0.46</v>
      </c>
      <c r="G51" s="221"/>
      <c r="H51" s="221">
        <f t="shared" si="67"/>
        <v>2.3000000000000003</v>
      </c>
      <c r="I51" s="551">
        <f t="shared" si="68"/>
        <v>24</v>
      </c>
      <c r="J51" s="176">
        <f t="shared" si="69"/>
        <v>10.64</v>
      </c>
      <c r="K51" s="451">
        <f t="shared" si="70"/>
        <v>34.64</v>
      </c>
      <c r="L51" s="451"/>
      <c r="M51" s="221">
        <f t="shared" si="71"/>
        <v>0.30715935334872979</v>
      </c>
      <c r="N51" s="176">
        <f t="shared" si="72"/>
        <v>13.601016166281754</v>
      </c>
      <c r="O51" s="176">
        <f t="shared" si="53"/>
        <v>2.3000000000000003</v>
      </c>
      <c r="P51" s="221">
        <f t="shared" si="73"/>
        <v>2.7202032332563508</v>
      </c>
      <c r="Q51" s="221">
        <f t="shared" si="74"/>
        <v>5</v>
      </c>
      <c r="R51" s="221">
        <f t="shared" si="75"/>
        <v>3.0224480369515008</v>
      </c>
      <c r="S51" s="176">
        <f t="shared" si="76"/>
        <v>84.306245559090584</v>
      </c>
      <c r="T51" s="176">
        <f t="shared" si="77"/>
        <v>5</v>
      </c>
      <c r="U51" s="221">
        <f t="shared" si="78"/>
        <v>0.69333054859370657</v>
      </c>
      <c r="V51" s="221">
        <f t="shared" si="79"/>
        <v>0.20222141000649771</v>
      </c>
      <c r="W51" s="221">
        <f t="shared" si="80"/>
        <v>0.45613851881164896</v>
      </c>
      <c r="X51" s="201">
        <f t="shared" si="81"/>
        <v>350</v>
      </c>
      <c r="Y51" s="451">
        <f t="shared" si="54"/>
        <v>350</v>
      </c>
      <c r="AA51" s="221">
        <f t="shared" si="82"/>
        <v>3.0089079511712309</v>
      </c>
      <c r="AB51" s="177">
        <f t="shared" si="83"/>
        <v>1.9795447047179149</v>
      </c>
      <c r="AC51" s="177">
        <f t="shared" si="84"/>
        <v>2.0846937306036244</v>
      </c>
      <c r="AD51" s="177"/>
      <c r="AE51" s="177">
        <f t="shared" si="85"/>
        <v>0.53947368421052622</v>
      </c>
      <c r="AF51" s="555">
        <f t="shared" si="86"/>
        <v>1039.8572278405713</v>
      </c>
      <c r="AG51" s="538">
        <f t="shared" si="87"/>
        <v>0.15482894736842101</v>
      </c>
      <c r="AI51" s="177">
        <f t="shared" si="88"/>
        <v>1.4898599060591367</v>
      </c>
      <c r="AJ51" s="177">
        <f t="shared" si="89"/>
        <v>1.4898599060591367</v>
      </c>
      <c r="AK51" s="177">
        <f t="shared" si="90"/>
        <v>1.6465732707060912</v>
      </c>
      <c r="AM51" s="555">
        <f t="shared" si="91"/>
        <v>460</v>
      </c>
      <c r="AN51" s="469">
        <f t="shared" si="92"/>
        <v>350</v>
      </c>
      <c r="AP51">
        <f t="shared" si="93"/>
        <v>460</v>
      </c>
      <c r="AQ51" s="469">
        <f t="shared" si="94"/>
        <v>350</v>
      </c>
      <c r="AR51" s="469"/>
      <c r="AS51" s="5">
        <f t="shared" si="55"/>
        <v>2.8571428571428572</v>
      </c>
      <c r="AT51" s="5">
        <f t="shared" si="95"/>
        <v>0.43454247260058149</v>
      </c>
      <c r="AU51" s="5">
        <f t="shared" si="56"/>
        <v>2.4226003845422759</v>
      </c>
      <c r="AV51" s="5">
        <f t="shared" si="96"/>
        <v>0.98017099082837933</v>
      </c>
      <c r="AW51" s="177">
        <f t="shared" si="57"/>
        <v>0.15208986541020353</v>
      </c>
      <c r="AX51" s="177">
        <f t="shared" si="97"/>
        <v>2.7191111111111108</v>
      </c>
      <c r="AY51" s="177">
        <f t="shared" si="98"/>
        <v>1.2632673134665442</v>
      </c>
      <c r="AZ51" s="177">
        <f t="shared" si="58"/>
        <v>2.1524431781976308</v>
      </c>
      <c r="BA51" s="469">
        <f t="shared" si="99"/>
        <v>100.52933910789432</v>
      </c>
      <c r="BB51" s="469">
        <f t="shared" si="100"/>
        <v>2.6980869644444443</v>
      </c>
      <c r="BC51" s="5">
        <f t="shared" si="101"/>
        <v>0.21496839831972359</v>
      </c>
      <c r="BD51" s="469">
        <f t="shared" si="102"/>
        <v>26.115652242811272</v>
      </c>
      <c r="BE51" s="5"/>
      <c r="BF51" s="177">
        <f t="shared" si="59"/>
        <v>0.33545552050592148</v>
      </c>
      <c r="BG51" s="177">
        <f t="shared" si="103"/>
        <v>1.5841259718296157</v>
      </c>
      <c r="BH51" s="177"/>
      <c r="BI51" s="538">
        <f t="shared" si="104"/>
        <v>1.2378344686168857E-2</v>
      </c>
      <c r="BJ51" s="538">
        <f t="shared" si="105"/>
        <v>9.0315307505304865E-2</v>
      </c>
      <c r="BK51" s="538">
        <f t="shared" si="106"/>
        <v>1.7499999999999998E-2</v>
      </c>
      <c r="BL51" s="538">
        <f t="shared" si="107"/>
        <v>9.4494456000000004E-2</v>
      </c>
      <c r="BM51">
        <f t="shared" si="108"/>
        <v>6.96E-3</v>
      </c>
      <c r="BN51">
        <f t="shared" si="109"/>
        <v>6.6500000000000004E-5</v>
      </c>
      <c r="BO51" s="538">
        <f t="shared" si="110"/>
        <v>0.22389702177114432</v>
      </c>
      <c r="BP51" s="469">
        <f t="shared" si="60"/>
        <v>223.89702177114432</v>
      </c>
      <c r="BQ51" s="538">
        <f t="shared" si="111"/>
        <v>0.36744236922935952</v>
      </c>
      <c r="BR51" s="538"/>
      <c r="BT51" s="469">
        <f t="shared" si="61"/>
        <v>367.44236922935954</v>
      </c>
      <c r="BU51" s="538">
        <f t="shared" si="112"/>
        <v>1.1253040623789871E-2</v>
      </c>
      <c r="BV51" s="538">
        <f t="shared" si="113"/>
        <v>7.5283652838753726E-2</v>
      </c>
      <c r="BW51" s="538">
        <f t="shared" si="114"/>
        <v>0</v>
      </c>
      <c r="BX51" s="538">
        <f t="shared" si="115"/>
        <v>9.7596752699754305E-2</v>
      </c>
      <c r="BY51" s="538">
        <f t="shared" si="116"/>
        <v>3.8844444444444445E-2</v>
      </c>
      <c r="BZ51" s="469">
        <f t="shared" si="62"/>
        <v>136.44119714419875</v>
      </c>
      <c r="CA51" s="177">
        <f t="shared" si="63"/>
        <v>0.72778058814470259</v>
      </c>
      <c r="CB51" s="5">
        <f t="shared" si="64"/>
        <v>2.3000000000000003</v>
      </c>
      <c r="CC51" s="177">
        <f t="shared" si="65"/>
        <v>0.75963232243633083</v>
      </c>
      <c r="CD51" s="5">
        <f t="shared" si="66"/>
        <v>75.963232243633087</v>
      </c>
      <c r="CG51" s="571">
        <f t="shared" si="117"/>
        <v>-50</v>
      </c>
      <c r="CH51">
        <f t="shared" si="118"/>
        <v>-50</v>
      </c>
    </row>
    <row r="52" spans="5:86" x14ac:dyDescent="0.2">
      <c r="E52" s="174">
        <v>47</v>
      </c>
      <c r="F52" s="221">
        <f t="shared" si="119"/>
        <v>0.47</v>
      </c>
      <c r="G52" s="221"/>
      <c r="H52" s="221">
        <f t="shared" si="67"/>
        <v>2.3499999999999996</v>
      </c>
      <c r="I52" s="551">
        <f t="shared" si="68"/>
        <v>24</v>
      </c>
      <c r="J52" s="176">
        <f t="shared" si="69"/>
        <v>10.64</v>
      </c>
      <c r="K52" s="451">
        <f t="shared" si="70"/>
        <v>34.64</v>
      </c>
      <c r="L52" s="451"/>
      <c r="M52" s="221">
        <f t="shared" si="71"/>
        <v>0.30715935334872979</v>
      </c>
      <c r="N52" s="176">
        <f t="shared" si="72"/>
        <v>13.601016166281754</v>
      </c>
      <c r="O52" s="176">
        <f t="shared" si="53"/>
        <v>2.3499999999999996</v>
      </c>
      <c r="P52" s="221">
        <f t="shared" si="73"/>
        <v>2.7202032332563508</v>
      </c>
      <c r="Q52" s="221">
        <f t="shared" si="74"/>
        <v>5</v>
      </c>
      <c r="R52" s="221">
        <f t="shared" si="75"/>
        <v>3.0224480369515008</v>
      </c>
      <c r="S52" s="176">
        <f t="shared" si="76"/>
        <v>82.259266733632998</v>
      </c>
      <c r="T52" s="176">
        <f t="shared" si="77"/>
        <v>5</v>
      </c>
      <c r="U52" s="221">
        <f t="shared" si="78"/>
        <v>0.70840295182400437</v>
      </c>
      <c r="V52" s="221">
        <f t="shared" si="79"/>
        <v>0.20661752761533461</v>
      </c>
      <c r="W52" s="221">
        <f t="shared" si="80"/>
        <v>0.46605457356842389</v>
      </c>
      <c r="X52" s="201">
        <f t="shared" si="81"/>
        <v>350</v>
      </c>
      <c r="Y52" s="451">
        <f t="shared" si="54"/>
        <v>350</v>
      </c>
      <c r="AA52" s="221">
        <f t="shared" si="82"/>
        <v>3.0089079511712309</v>
      </c>
      <c r="AB52" s="177">
        <f t="shared" si="83"/>
        <v>1.9795447047179149</v>
      </c>
      <c r="AC52" s="177">
        <f t="shared" si="84"/>
        <v>2.0846937306036244</v>
      </c>
      <c r="AD52" s="177"/>
      <c r="AE52" s="177">
        <f t="shared" si="85"/>
        <v>0.53947368421052622</v>
      </c>
      <c r="AF52" s="555">
        <f t="shared" si="86"/>
        <v>1062.4628197501488</v>
      </c>
      <c r="AG52" s="538">
        <f t="shared" si="87"/>
        <v>0.15482894736842101</v>
      </c>
      <c r="AI52" s="177">
        <f t="shared" si="88"/>
        <v>1.5059669677441494</v>
      </c>
      <c r="AJ52" s="177">
        <f t="shared" si="89"/>
        <v>1.5059669677441494</v>
      </c>
      <c r="AK52" s="177">
        <f t="shared" si="90"/>
        <v>1.6573113118294329</v>
      </c>
      <c r="AM52" s="555">
        <f t="shared" si="91"/>
        <v>470</v>
      </c>
      <c r="AN52" s="469">
        <f t="shared" si="92"/>
        <v>350</v>
      </c>
      <c r="AP52">
        <f t="shared" si="93"/>
        <v>470</v>
      </c>
      <c r="AQ52" s="469">
        <f t="shared" si="94"/>
        <v>350</v>
      </c>
      <c r="AR52" s="469"/>
      <c r="AS52" s="5">
        <f t="shared" si="55"/>
        <v>2.8571428571428572</v>
      </c>
      <c r="AT52" s="5">
        <f t="shared" si="95"/>
        <v>0.4392403655920436</v>
      </c>
      <c r="AU52" s="5">
        <f t="shared" si="56"/>
        <v>2.4179024915508136</v>
      </c>
      <c r="AV52" s="5">
        <f t="shared" si="96"/>
        <v>0.99076774193694028</v>
      </c>
      <c r="AW52" s="177">
        <f t="shared" si="57"/>
        <v>0.15373412795721525</v>
      </c>
      <c r="AX52" s="177">
        <f t="shared" si="97"/>
        <v>2.7782222222222224</v>
      </c>
      <c r="AY52" s="177">
        <f t="shared" si="98"/>
        <v>1.2744484492256307</v>
      </c>
      <c r="AZ52" s="177">
        <f t="shared" si="58"/>
        <v>2.1799408394355235</v>
      </c>
      <c r="BA52" s="469">
        <f t="shared" si="99"/>
        <v>100.52933910789432</v>
      </c>
      <c r="BB52" s="469">
        <f t="shared" si="100"/>
        <v>2.7860180077777779</v>
      </c>
      <c r="BC52" s="5">
        <f t="shared" si="101"/>
        <v>0.21921569657192941</v>
      </c>
      <c r="BD52" s="469">
        <f t="shared" si="102"/>
        <v>26.632272477520424</v>
      </c>
      <c r="BE52" s="5"/>
      <c r="BF52" s="177">
        <f t="shared" si="59"/>
        <v>0.34091017453768818</v>
      </c>
      <c r="BG52" s="177">
        <f t="shared" si="103"/>
        <v>1.5996988327501134</v>
      </c>
      <c r="BH52" s="177"/>
      <c r="BI52" s="538">
        <f t="shared" si="104"/>
        <v>1.2784172181364873E-2</v>
      </c>
      <c r="BJ52" s="538">
        <f t="shared" si="105"/>
        <v>9.129171758465035E-2</v>
      </c>
      <c r="BK52" s="538">
        <f t="shared" si="106"/>
        <v>1.7499999999999998E-2</v>
      </c>
      <c r="BL52" s="538">
        <f t="shared" si="107"/>
        <v>9.4494456000000004E-2</v>
      </c>
      <c r="BM52">
        <f t="shared" si="108"/>
        <v>6.96E-3</v>
      </c>
      <c r="BN52">
        <f t="shared" si="109"/>
        <v>6.6500000000000004E-5</v>
      </c>
      <c r="BO52" s="538">
        <f t="shared" si="110"/>
        <v>0.2253542475146238</v>
      </c>
      <c r="BP52" s="469">
        <f t="shared" si="60"/>
        <v>225.35424751462381</v>
      </c>
      <c r="BQ52" s="538">
        <f t="shared" si="111"/>
        <v>0.37505037756035858</v>
      </c>
      <c r="BR52" s="538"/>
      <c r="BT52" s="469">
        <f t="shared" si="61"/>
        <v>375.05037756035858</v>
      </c>
      <c r="BU52" s="538">
        <f t="shared" si="112"/>
        <v>1.1621974710331703E-2</v>
      </c>
      <c r="BV52" s="538">
        <f t="shared" si="113"/>
        <v>7.6771090665062255E-2</v>
      </c>
      <c r="BW52" s="538">
        <f t="shared" si="114"/>
        <v>0</v>
      </c>
      <c r="BX52" s="538">
        <f t="shared" si="115"/>
        <v>9.9705293744298248E-2</v>
      </c>
      <c r="BY52" s="538">
        <f t="shared" si="116"/>
        <v>3.9688888888888892E-2</v>
      </c>
      <c r="BZ52" s="469">
        <f t="shared" si="62"/>
        <v>139.39418263318714</v>
      </c>
      <c r="CA52" s="177">
        <f t="shared" si="63"/>
        <v>0.73979880770816953</v>
      </c>
      <c r="CB52" s="5">
        <f t="shared" si="64"/>
        <v>2.3499999999999996</v>
      </c>
      <c r="CC52" s="177">
        <f t="shared" si="65"/>
        <v>0.76056732047970821</v>
      </c>
      <c r="CD52" s="5">
        <f t="shared" si="66"/>
        <v>76.056732047970826</v>
      </c>
      <c r="CG52" s="571">
        <f t="shared" si="117"/>
        <v>-50</v>
      </c>
      <c r="CH52">
        <f t="shared" si="118"/>
        <v>-50</v>
      </c>
    </row>
    <row r="53" spans="5:86" x14ac:dyDescent="0.2">
      <c r="E53" s="174">
        <v>48</v>
      </c>
      <c r="F53" s="221">
        <f t="shared" si="119"/>
        <v>0.48</v>
      </c>
      <c r="G53" s="221"/>
      <c r="H53" s="221">
        <f t="shared" si="67"/>
        <v>2.4</v>
      </c>
      <c r="I53" s="551">
        <f t="shared" si="68"/>
        <v>24</v>
      </c>
      <c r="J53" s="176">
        <f t="shared" si="69"/>
        <v>10.64</v>
      </c>
      <c r="K53" s="451">
        <f t="shared" si="70"/>
        <v>34.64</v>
      </c>
      <c r="L53" s="451"/>
      <c r="M53" s="221">
        <f t="shared" si="71"/>
        <v>0.30715935334872979</v>
      </c>
      <c r="N53" s="176">
        <f t="shared" si="72"/>
        <v>13.601016166281754</v>
      </c>
      <c r="O53" s="176">
        <f t="shared" si="53"/>
        <v>2.4</v>
      </c>
      <c r="P53" s="221">
        <f t="shared" si="73"/>
        <v>2.7202032332563508</v>
      </c>
      <c r="Q53" s="221">
        <f t="shared" si="74"/>
        <v>5</v>
      </c>
      <c r="R53" s="221">
        <f t="shared" si="75"/>
        <v>3.0224480369515008</v>
      </c>
      <c r="S53" s="176">
        <f t="shared" si="76"/>
        <v>80.297632259747175</v>
      </c>
      <c r="T53" s="176">
        <f t="shared" si="77"/>
        <v>5</v>
      </c>
      <c r="U53" s="221">
        <f t="shared" si="78"/>
        <v>0.72347535505430238</v>
      </c>
      <c r="V53" s="221">
        <f t="shared" si="79"/>
        <v>0.21101364522417151</v>
      </c>
      <c r="W53" s="221">
        <f t="shared" si="80"/>
        <v>0.47597062832519893</v>
      </c>
      <c r="X53" s="201">
        <f t="shared" si="81"/>
        <v>350</v>
      </c>
      <c r="Y53" s="451">
        <f t="shared" si="54"/>
        <v>350</v>
      </c>
      <c r="AA53" s="221">
        <f t="shared" si="82"/>
        <v>3.0089079511712309</v>
      </c>
      <c r="AB53" s="177">
        <f t="shared" si="83"/>
        <v>1.9795447047179149</v>
      </c>
      <c r="AC53" s="177">
        <f t="shared" si="84"/>
        <v>2.0846937306036244</v>
      </c>
      <c r="AD53" s="177"/>
      <c r="AE53" s="177">
        <f t="shared" si="85"/>
        <v>0.53947368421052622</v>
      </c>
      <c r="AF53" s="555">
        <f t="shared" si="86"/>
        <v>1085.0684116597265</v>
      </c>
      <c r="AG53" s="538">
        <f t="shared" si="87"/>
        <v>0.15482894736842101</v>
      </c>
      <c r="AI53" s="177">
        <f t="shared" si="88"/>
        <v>1.5219035699381471</v>
      </c>
      <c r="AJ53" s="177">
        <f t="shared" si="89"/>
        <v>1.5219035699381471</v>
      </c>
      <c r="AK53" s="177">
        <f t="shared" si="90"/>
        <v>1.6679357132920982</v>
      </c>
      <c r="AM53" s="555">
        <f t="shared" si="91"/>
        <v>480</v>
      </c>
      <c r="AN53" s="469">
        <f t="shared" si="92"/>
        <v>350</v>
      </c>
      <c r="AP53">
        <f t="shared" si="93"/>
        <v>480</v>
      </c>
      <c r="AQ53" s="469">
        <f t="shared" si="94"/>
        <v>350</v>
      </c>
      <c r="AR53" s="469"/>
      <c r="AS53" s="5">
        <f t="shared" si="55"/>
        <v>2.8571428571428572</v>
      </c>
      <c r="AT53" s="5">
        <f t="shared" si="95"/>
        <v>0.44388854123195953</v>
      </c>
      <c r="AU53" s="5">
        <f t="shared" si="56"/>
        <v>2.4132543159108977</v>
      </c>
      <c r="AV53" s="5">
        <f t="shared" si="96"/>
        <v>1.0012523486435179</v>
      </c>
      <c r="AW53" s="177">
        <f t="shared" si="57"/>
        <v>0.15536098943118584</v>
      </c>
      <c r="AX53" s="177">
        <f t="shared" si="97"/>
        <v>2.8373333333333335</v>
      </c>
      <c r="AY53" s="177">
        <f t="shared" si="98"/>
        <v>1.2854591254937027</v>
      </c>
      <c r="AZ53" s="177">
        <f t="shared" si="58"/>
        <v>2.2072528616914262</v>
      </c>
      <c r="BA53" s="469">
        <f t="shared" si="99"/>
        <v>100.52933910789432</v>
      </c>
      <c r="BB53" s="469">
        <f t="shared" si="100"/>
        <v>2.8751948799999996</v>
      </c>
      <c r="BC53" s="5">
        <f t="shared" si="101"/>
        <v>0.22344947369545343</v>
      </c>
      <c r="BD53" s="469">
        <f t="shared" si="102"/>
        <v>27.147270176787753</v>
      </c>
      <c r="BE53" s="5"/>
      <c r="BF53" s="177">
        <f t="shared" si="59"/>
        <v>0.34633588903069323</v>
      </c>
      <c r="BG53" s="177">
        <f t="shared" si="103"/>
        <v>1.6150726844731313</v>
      </c>
      <c r="BH53" s="177"/>
      <c r="BI53" s="538">
        <f t="shared" si="104"/>
        <v>1.3194340283374873E-2</v>
      </c>
      <c r="BJ53" s="538">
        <f t="shared" si="105"/>
        <v>9.2257794409650498E-2</v>
      </c>
      <c r="BK53" s="538">
        <f t="shared" si="106"/>
        <v>1.7499999999999998E-2</v>
      </c>
      <c r="BL53" s="538">
        <f t="shared" si="107"/>
        <v>9.4494456000000004E-2</v>
      </c>
      <c r="BM53">
        <f t="shared" si="108"/>
        <v>6.96E-3</v>
      </c>
      <c r="BN53">
        <f t="shared" si="109"/>
        <v>6.6500000000000004E-5</v>
      </c>
      <c r="BO53" s="538">
        <f t="shared" si="110"/>
        <v>0.22680645423460602</v>
      </c>
      <c r="BP53" s="469">
        <f t="shared" si="60"/>
        <v>226.80645423460601</v>
      </c>
      <c r="BQ53" s="538">
        <f t="shared" si="111"/>
        <v>0.3826463268964273</v>
      </c>
      <c r="BR53" s="538"/>
      <c r="BT53" s="469">
        <f t="shared" si="61"/>
        <v>382.6463268964273</v>
      </c>
      <c r="BU53" s="538">
        <f t="shared" si="112"/>
        <v>1.1994854803068066E-2</v>
      </c>
      <c r="BV53" s="538">
        <f t="shared" si="113"/>
        <v>7.8253793283937403E-2</v>
      </c>
      <c r="BW53" s="538">
        <f t="shared" si="114"/>
        <v>0</v>
      </c>
      <c r="BX53" s="538">
        <f t="shared" si="115"/>
        <v>0.10181356881282783</v>
      </c>
      <c r="BY53" s="538">
        <f t="shared" si="116"/>
        <v>4.0533333333333338E-2</v>
      </c>
      <c r="BZ53" s="469">
        <f t="shared" si="62"/>
        <v>142.34690214616117</v>
      </c>
      <c r="CA53" s="177">
        <f t="shared" si="63"/>
        <v>0.75179968327719449</v>
      </c>
      <c r="CB53" s="5">
        <f t="shared" si="64"/>
        <v>2.4</v>
      </c>
      <c r="CC53" s="177">
        <f t="shared" si="65"/>
        <v>0.76146971291795917</v>
      </c>
      <c r="CD53" s="5">
        <f t="shared" si="66"/>
        <v>76.146971291795921</v>
      </c>
      <c r="CG53" s="571">
        <f t="shared" si="117"/>
        <v>-50</v>
      </c>
      <c r="CH53">
        <f t="shared" si="118"/>
        <v>-50</v>
      </c>
    </row>
    <row r="54" spans="5:86" x14ac:dyDescent="0.2">
      <c r="E54" s="174">
        <v>49</v>
      </c>
      <c r="F54" s="221">
        <f t="shared" si="119"/>
        <v>0.49</v>
      </c>
      <c r="G54" s="221"/>
      <c r="H54" s="221">
        <f t="shared" si="67"/>
        <v>2.4500000000000002</v>
      </c>
      <c r="I54" s="551">
        <f t="shared" si="68"/>
        <v>24</v>
      </c>
      <c r="J54" s="176">
        <f t="shared" si="69"/>
        <v>10.64</v>
      </c>
      <c r="K54" s="451">
        <f t="shared" si="70"/>
        <v>34.64</v>
      </c>
      <c r="L54" s="451"/>
      <c r="M54" s="221">
        <f t="shared" si="71"/>
        <v>0.30715935334872979</v>
      </c>
      <c r="N54" s="176">
        <f t="shared" si="72"/>
        <v>13.601016166281754</v>
      </c>
      <c r="O54" s="176">
        <f t="shared" si="53"/>
        <v>2.4500000000000002</v>
      </c>
      <c r="P54" s="221">
        <f t="shared" si="73"/>
        <v>2.7202032332563508</v>
      </c>
      <c r="Q54" s="221">
        <f t="shared" si="74"/>
        <v>5</v>
      </c>
      <c r="R54" s="221">
        <f t="shared" si="75"/>
        <v>3.0224480369515008</v>
      </c>
      <c r="S54" s="176">
        <f t="shared" si="76"/>
        <v>78.416117441116725</v>
      </c>
      <c r="T54" s="176">
        <f t="shared" si="77"/>
        <v>5</v>
      </c>
      <c r="U54" s="221">
        <f t="shared" si="78"/>
        <v>0.7385477582846004</v>
      </c>
      <c r="V54" s="221">
        <f t="shared" si="79"/>
        <v>0.21540976283300844</v>
      </c>
      <c r="W54" s="221">
        <f t="shared" si="80"/>
        <v>0.48588668308197391</v>
      </c>
      <c r="X54" s="201">
        <f t="shared" si="81"/>
        <v>350</v>
      </c>
      <c r="Y54" s="451">
        <f t="shared" si="54"/>
        <v>350</v>
      </c>
      <c r="AA54" s="221">
        <f t="shared" si="82"/>
        <v>3.0089079511712309</v>
      </c>
      <c r="AB54" s="177">
        <f t="shared" si="83"/>
        <v>1.9795447047179149</v>
      </c>
      <c r="AC54" s="177">
        <f t="shared" si="84"/>
        <v>2.0846937306036244</v>
      </c>
      <c r="AD54" s="177"/>
      <c r="AE54" s="177">
        <f t="shared" si="85"/>
        <v>0.53947368421052622</v>
      </c>
      <c r="AF54" s="555">
        <f t="shared" si="86"/>
        <v>1107.6740035693042</v>
      </c>
      <c r="AG54" s="538">
        <f t="shared" si="87"/>
        <v>0.15482894736842101</v>
      </c>
      <c r="AI54" s="177">
        <f t="shared" si="88"/>
        <v>1.5376750126227727</v>
      </c>
      <c r="AJ54" s="177">
        <f t="shared" si="89"/>
        <v>1.5376750126227727</v>
      </c>
      <c r="AK54" s="177">
        <f t="shared" si="90"/>
        <v>1.6784500084151819</v>
      </c>
      <c r="AM54" s="555">
        <f t="shared" si="91"/>
        <v>490</v>
      </c>
      <c r="AN54" s="469">
        <f t="shared" si="92"/>
        <v>350</v>
      </c>
      <c r="AP54">
        <f t="shared" si="93"/>
        <v>490</v>
      </c>
      <c r="AQ54" s="469">
        <f t="shared" si="94"/>
        <v>350</v>
      </c>
      <c r="AR54" s="469"/>
      <c r="AS54" s="5">
        <f t="shared" si="55"/>
        <v>2.8571428571428572</v>
      </c>
      <c r="AT54" s="5">
        <f t="shared" si="95"/>
        <v>0.44848854534830873</v>
      </c>
      <c r="AU54" s="5">
        <f t="shared" si="56"/>
        <v>2.4086543117945487</v>
      </c>
      <c r="AV54" s="5">
        <f t="shared" si="96"/>
        <v>1.0116282977781399</v>
      </c>
      <c r="AW54" s="177">
        <f t="shared" si="57"/>
        <v>0.15697099087190805</v>
      </c>
      <c r="AX54" s="177">
        <f t="shared" si="97"/>
        <v>2.8964444444444437</v>
      </c>
      <c r="AY54" s="177">
        <f t="shared" si="98"/>
        <v>1.2963046422524025</v>
      </c>
      <c r="AZ54" s="177">
        <f t="shared" si="58"/>
        <v>2.2343856143349976</v>
      </c>
      <c r="BA54" s="469">
        <f t="shared" si="99"/>
        <v>100.52933910789432</v>
      </c>
      <c r="BB54" s="469">
        <f t="shared" si="100"/>
        <v>2.9656175811111112</v>
      </c>
      <c r="BC54" s="5">
        <f t="shared" si="101"/>
        <v>0.22766987129230878</v>
      </c>
      <c r="BD54" s="469">
        <f t="shared" si="102"/>
        <v>27.660662332854837</v>
      </c>
      <c r="BE54" s="5"/>
      <c r="BF54" s="177">
        <f t="shared" si="59"/>
        <v>0.35173341576920747</v>
      </c>
      <c r="BG54" s="177">
        <f t="shared" si="103"/>
        <v>1.630253664163309</v>
      </c>
      <c r="BH54" s="177"/>
      <c r="BI54" s="538">
        <f t="shared" si="104"/>
        <v>1.3608803534554157E-2</v>
      </c>
      <c r="BJ54" s="538">
        <f t="shared" si="105"/>
        <v>9.3213859265192489E-2</v>
      </c>
      <c r="BK54" s="538">
        <f t="shared" si="106"/>
        <v>1.7499999999999998E-2</v>
      </c>
      <c r="BL54" s="538">
        <f t="shared" si="107"/>
        <v>9.4494456000000004E-2</v>
      </c>
      <c r="BM54">
        <f t="shared" si="108"/>
        <v>6.96E-3</v>
      </c>
      <c r="BN54">
        <f t="shared" si="109"/>
        <v>6.6500000000000004E-5</v>
      </c>
      <c r="BO54" s="538">
        <f t="shared" si="110"/>
        <v>0.22825391273665313</v>
      </c>
      <c r="BP54" s="469">
        <f t="shared" si="60"/>
        <v>228.25391273665312</v>
      </c>
      <c r="BQ54" s="538">
        <f t="shared" si="111"/>
        <v>0.39023034352716723</v>
      </c>
      <c r="BR54" s="538"/>
      <c r="BT54" s="469">
        <f t="shared" si="61"/>
        <v>390.23034352716724</v>
      </c>
      <c r="BU54" s="538">
        <f t="shared" si="112"/>
        <v>1.2371639576867417E-2</v>
      </c>
      <c r="BV54" s="538">
        <f t="shared" si="113"/>
        <v>7.9731810285536844E-2</v>
      </c>
      <c r="BW54" s="538">
        <f t="shared" si="114"/>
        <v>0</v>
      </c>
      <c r="BX54" s="538">
        <f t="shared" si="115"/>
        <v>0.10392158677849073</v>
      </c>
      <c r="BY54" s="538">
        <f t="shared" si="116"/>
        <v>4.1377777777777777E-2</v>
      </c>
      <c r="BZ54" s="469">
        <f t="shared" si="62"/>
        <v>145.29936455626853</v>
      </c>
      <c r="CA54" s="177">
        <f t="shared" si="63"/>
        <v>0.76378362082008888</v>
      </c>
      <c r="CB54" s="5">
        <f t="shared" si="64"/>
        <v>2.4500000000000002</v>
      </c>
      <c r="CC54" s="177">
        <f t="shared" si="65"/>
        <v>0.76234130516067922</v>
      </c>
      <c r="CD54" s="5">
        <f t="shared" si="66"/>
        <v>76.234130516067921</v>
      </c>
      <c r="CG54" s="571">
        <f t="shared" si="117"/>
        <v>-50</v>
      </c>
      <c r="CH54">
        <f t="shared" si="118"/>
        <v>-50</v>
      </c>
    </row>
    <row r="55" spans="5:86" x14ac:dyDescent="0.2">
      <c r="E55" s="174">
        <v>50</v>
      </c>
      <c r="F55" s="221">
        <f t="shared" si="119"/>
        <v>0.5</v>
      </c>
      <c r="G55" s="221"/>
      <c r="H55" s="221">
        <f t="shared" si="67"/>
        <v>2.5</v>
      </c>
      <c r="I55" s="551">
        <f t="shared" si="68"/>
        <v>24</v>
      </c>
      <c r="J55" s="176">
        <f t="shared" si="69"/>
        <v>10.64</v>
      </c>
      <c r="K55" s="451">
        <f t="shared" si="70"/>
        <v>34.64</v>
      </c>
      <c r="L55" s="451"/>
      <c r="M55" s="221">
        <f t="shared" si="71"/>
        <v>0.30715935334872979</v>
      </c>
      <c r="N55" s="176">
        <f t="shared" si="72"/>
        <v>13.601016166281754</v>
      </c>
      <c r="O55" s="176">
        <f t="shared" si="53"/>
        <v>2.5</v>
      </c>
      <c r="P55" s="221">
        <f t="shared" si="73"/>
        <v>2.7202032332563508</v>
      </c>
      <c r="Q55" s="221">
        <f t="shared" si="74"/>
        <v>5</v>
      </c>
      <c r="R55" s="221">
        <f t="shared" si="75"/>
        <v>3.0224480369515008</v>
      </c>
      <c r="S55" s="176">
        <f t="shared" si="76"/>
        <v>76.609915562391137</v>
      </c>
      <c r="T55" s="176">
        <f t="shared" si="77"/>
        <v>5</v>
      </c>
      <c r="U55" s="221">
        <f t="shared" si="78"/>
        <v>0.7536201615148983</v>
      </c>
      <c r="V55" s="221">
        <f t="shared" si="79"/>
        <v>0.21980588044184532</v>
      </c>
      <c r="W55" s="221">
        <f t="shared" si="80"/>
        <v>0.49580273783874884</v>
      </c>
      <c r="X55" s="201">
        <f t="shared" si="81"/>
        <v>350</v>
      </c>
      <c r="Y55" s="451">
        <f t="shared" si="54"/>
        <v>350</v>
      </c>
      <c r="AA55" s="221">
        <f t="shared" si="82"/>
        <v>3.0089079511712309</v>
      </c>
      <c r="AB55" s="177">
        <f t="shared" si="83"/>
        <v>1.9795447047179149</v>
      </c>
      <c r="AC55" s="177">
        <f t="shared" si="84"/>
        <v>2.0846937306036244</v>
      </c>
      <c r="AD55" s="177"/>
      <c r="AE55" s="177">
        <f t="shared" si="85"/>
        <v>0.53947368421052622</v>
      </c>
      <c r="AF55" s="555">
        <f t="shared" si="86"/>
        <v>1130.2795954788819</v>
      </c>
      <c r="AG55" s="538">
        <f t="shared" si="87"/>
        <v>0.15482894736842101</v>
      </c>
      <c r="AI55" s="177">
        <f t="shared" si="88"/>
        <v>1.5532863266952468</v>
      </c>
      <c r="AJ55" s="177">
        <f t="shared" si="89"/>
        <v>1.5532863266952468</v>
      </c>
      <c r="AK55" s="177">
        <f t="shared" si="90"/>
        <v>1.6888575511301647</v>
      </c>
      <c r="AM55" s="555">
        <f t="shared" si="91"/>
        <v>500</v>
      </c>
      <c r="AN55" s="469">
        <f t="shared" si="92"/>
        <v>350</v>
      </c>
      <c r="AP55">
        <f t="shared" si="93"/>
        <v>500</v>
      </c>
      <c r="AQ55" s="469">
        <f t="shared" si="94"/>
        <v>350</v>
      </c>
      <c r="AR55" s="469"/>
      <c r="AS55" s="5">
        <f t="shared" si="55"/>
        <v>2.8571428571428572</v>
      </c>
      <c r="AT55" s="5">
        <f t="shared" si="95"/>
        <v>0.45304184528611358</v>
      </c>
      <c r="AU55" s="5">
        <f t="shared" si="56"/>
        <v>2.4041010118567439</v>
      </c>
      <c r="AV55" s="5">
        <f t="shared" si="96"/>
        <v>1.0218988991416096</v>
      </c>
      <c r="AW55" s="177">
        <f t="shared" si="57"/>
        <v>0.15856464585013974</v>
      </c>
      <c r="AX55" s="177">
        <f t="shared" si="97"/>
        <v>2.9555555555555557</v>
      </c>
      <c r="AY55" s="177">
        <f t="shared" si="98"/>
        <v>1.3069900303989506</v>
      </c>
      <c r="AZ55" s="177">
        <f t="shared" si="58"/>
        <v>2.2613451417478609</v>
      </c>
      <c r="BA55" s="469">
        <f t="shared" si="99"/>
        <v>100.52933910789432</v>
      </c>
      <c r="BB55" s="469">
        <f t="shared" si="100"/>
        <v>3.0572861111111109</v>
      </c>
      <c r="BC55" s="5">
        <f t="shared" si="101"/>
        <v>0.23187702660655318</v>
      </c>
      <c r="BD55" s="469">
        <f t="shared" si="102"/>
        <v>28.17246541500861</v>
      </c>
      <c r="BE55" s="5"/>
      <c r="BF55" s="177">
        <f t="shared" si="59"/>
        <v>0.35710347209770921</v>
      </c>
      <c r="BG55" s="177">
        <f t="shared" si="103"/>
        <v>1.645247597717213</v>
      </c>
      <c r="BH55" s="177"/>
      <c r="BI55" s="538">
        <f t="shared" si="104"/>
        <v>1.402751787626633E-2</v>
      </c>
      <c r="BJ55" s="538">
        <f t="shared" si="105"/>
        <v>9.4160217124265866E-2</v>
      </c>
      <c r="BK55" s="538">
        <f t="shared" si="106"/>
        <v>1.7499999999999998E-2</v>
      </c>
      <c r="BL55" s="538">
        <f t="shared" si="107"/>
        <v>9.4494456000000004E-2</v>
      </c>
      <c r="BM55">
        <f t="shared" si="108"/>
        <v>6.96E-3</v>
      </c>
      <c r="BN55">
        <f t="shared" si="109"/>
        <v>6.6500000000000004E-5</v>
      </c>
      <c r="BO55" s="538">
        <f t="shared" si="110"/>
        <v>0.22969687913475334</v>
      </c>
      <c r="BP55" s="469">
        <f t="shared" si="60"/>
        <v>229.69687913475335</v>
      </c>
      <c r="BQ55" s="538">
        <f t="shared" si="111"/>
        <v>0.39780254985548152</v>
      </c>
      <c r="BR55" s="538"/>
      <c r="BT55" s="469">
        <f t="shared" si="61"/>
        <v>397.80254985548152</v>
      </c>
      <c r="BU55" s="538">
        <f t="shared" si="112"/>
        <v>1.2752288978423938E-2</v>
      </c>
      <c r="BV55" s="538">
        <f t="shared" si="113"/>
        <v>8.1205189733827815E-2</v>
      </c>
      <c r="BW55" s="538">
        <f t="shared" si="114"/>
        <v>0</v>
      </c>
      <c r="BX55" s="538">
        <f t="shared" si="115"/>
        <v>0.10602935623623717</v>
      </c>
      <c r="BY55" s="538">
        <f t="shared" si="116"/>
        <v>4.2222222222222237E-2</v>
      </c>
      <c r="BZ55" s="469">
        <f t="shared" si="62"/>
        <v>148.25157845845939</v>
      </c>
      <c r="CA55" s="177">
        <f t="shared" si="63"/>
        <v>0.77575100744869441</v>
      </c>
      <c r="CB55" s="5">
        <f t="shared" si="64"/>
        <v>2.5</v>
      </c>
      <c r="CC55" s="177">
        <f t="shared" si="65"/>
        <v>0.76318376894802964</v>
      </c>
      <c r="CD55" s="5">
        <f t="shared" si="66"/>
        <v>76.318376894802967</v>
      </c>
      <c r="CG55" s="571">
        <f t="shared" si="117"/>
        <v>-50</v>
      </c>
      <c r="CH55">
        <f t="shared" si="118"/>
        <v>-50</v>
      </c>
    </row>
    <row r="56" spans="5:86" x14ac:dyDescent="0.2">
      <c r="E56" s="174">
        <v>51</v>
      </c>
      <c r="F56" s="221">
        <f t="shared" si="119"/>
        <v>0.51</v>
      </c>
      <c r="G56" s="221"/>
      <c r="H56" s="221">
        <f t="shared" si="67"/>
        <v>2.5499999999999998</v>
      </c>
      <c r="I56" s="551">
        <f t="shared" si="68"/>
        <v>24</v>
      </c>
      <c r="J56" s="176">
        <f t="shared" si="69"/>
        <v>10.64</v>
      </c>
      <c r="K56" s="451">
        <f t="shared" si="70"/>
        <v>34.64</v>
      </c>
      <c r="L56" s="451"/>
      <c r="M56" s="221">
        <f t="shared" si="71"/>
        <v>0.30715935334872979</v>
      </c>
      <c r="N56" s="176">
        <f t="shared" si="72"/>
        <v>13.601016166281754</v>
      </c>
      <c r="O56" s="176">
        <f t="shared" si="53"/>
        <v>2.5499999999999998</v>
      </c>
      <c r="P56" s="221">
        <f t="shared" si="73"/>
        <v>2.7202032332563508</v>
      </c>
      <c r="Q56" s="221">
        <f t="shared" si="74"/>
        <v>5</v>
      </c>
      <c r="R56" s="221">
        <f t="shared" si="75"/>
        <v>3.0224480369515008</v>
      </c>
      <c r="S56" s="176">
        <f t="shared" si="76"/>
        <v>74.874596910730872</v>
      </c>
      <c r="T56" s="176">
        <f t="shared" si="77"/>
        <v>5</v>
      </c>
      <c r="U56" s="221">
        <f t="shared" si="78"/>
        <v>0.76869256474519621</v>
      </c>
      <c r="V56" s="221">
        <f t="shared" si="79"/>
        <v>0.22420199805068225</v>
      </c>
      <c r="W56" s="221">
        <f t="shared" si="80"/>
        <v>0.50571879259552388</v>
      </c>
      <c r="X56" s="201">
        <f t="shared" si="81"/>
        <v>350</v>
      </c>
      <c r="Y56" s="451">
        <f t="shared" si="54"/>
        <v>350</v>
      </c>
      <c r="AA56" s="221">
        <f t="shared" si="82"/>
        <v>3.0089079511712309</v>
      </c>
      <c r="AB56" s="177">
        <f t="shared" si="83"/>
        <v>1.9795447047179149</v>
      </c>
      <c r="AC56" s="177">
        <f t="shared" si="84"/>
        <v>2.0846937306036244</v>
      </c>
      <c r="AD56" s="177"/>
      <c r="AE56" s="177">
        <f t="shared" si="85"/>
        <v>0.53947368421052622</v>
      </c>
      <c r="AF56" s="555">
        <f t="shared" si="86"/>
        <v>1152.8851873884594</v>
      </c>
      <c r="AG56" s="538">
        <f t="shared" si="87"/>
        <v>0.15482894736842101</v>
      </c>
      <c r="AI56" s="177">
        <f t="shared" si="88"/>
        <v>1.5687422927148937</v>
      </c>
      <c r="AJ56" s="177">
        <f t="shared" si="89"/>
        <v>1.5687422927148937</v>
      </c>
      <c r="AK56" s="177">
        <f t="shared" si="90"/>
        <v>1.699161528476596</v>
      </c>
      <c r="AM56" s="555">
        <f t="shared" si="91"/>
        <v>510</v>
      </c>
      <c r="AN56" s="469">
        <f t="shared" si="92"/>
        <v>350</v>
      </c>
      <c r="AP56">
        <f t="shared" si="93"/>
        <v>510</v>
      </c>
      <c r="AQ56" s="469">
        <f t="shared" si="94"/>
        <v>350</v>
      </c>
      <c r="AR56" s="469"/>
      <c r="AS56" s="5">
        <f t="shared" si="55"/>
        <v>2.8571428571428572</v>
      </c>
      <c r="AT56" s="5">
        <f t="shared" si="95"/>
        <v>0.45754983537517729</v>
      </c>
      <c r="AU56" s="5">
        <f t="shared" si="56"/>
        <v>2.39959302176768</v>
      </c>
      <c r="AV56" s="5">
        <f t="shared" si="96"/>
        <v>1.032067297838746</v>
      </c>
      <c r="AW56" s="177">
        <f t="shared" si="57"/>
        <v>0.16014244238131206</v>
      </c>
      <c r="AX56" s="177">
        <f t="shared" si="97"/>
        <v>3.0146666666666673</v>
      </c>
      <c r="AY56" s="177">
        <f t="shared" si="98"/>
        <v>1.3175200704926715</v>
      </c>
      <c r="AZ56" s="177">
        <f t="shared" si="58"/>
        <v>2.2881371860539228</v>
      </c>
      <c r="BA56" s="469">
        <f t="shared" si="99"/>
        <v>100.52933910789432</v>
      </c>
      <c r="BB56" s="469">
        <f t="shared" si="100"/>
        <v>3.1502004699999997</v>
      </c>
      <c r="BC56" s="5">
        <f t="shared" si="101"/>
        <v>0.23607107274334807</v>
      </c>
      <c r="BD56" s="469">
        <f t="shared" si="102"/>
        <v>28.682695395868439</v>
      </c>
      <c r="BE56" s="5"/>
      <c r="BF56" s="177">
        <f t="shared" si="59"/>
        <v>0.36244674315445735</v>
      </c>
      <c r="BG56" s="177">
        <f t="shared" si="103"/>
        <v>1.6600600214380048</v>
      </c>
      <c r="BH56" s="177"/>
      <c r="BI56" s="538">
        <f t="shared" si="104"/>
        <v>1.4450440578560051E-2</v>
      </c>
      <c r="BJ56" s="538">
        <f t="shared" si="105"/>
        <v>9.5097157784376871E-2</v>
      </c>
      <c r="BK56" s="538">
        <f t="shared" si="106"/>
        <v>1.7499999999999998E-2</v>
      </c>
      <c r="BL56" s="538">
        <f t="shared" si="107"/>
        <v>9.4494456000000004E-2</v>
      </c>
      <c r="BM56">
        <f t="shared" si="108"/>
        <v>6.96E-3</v>
      </c>
      <c r="BN56">
        <f t="shared" si="109"/>
        <v>6.6500000000000004E-5</v>
      </c>
      <c r="BO56" s="538">
        <f t="shared" si="110"/>
        <v>0.23113559590637892</v>
      </c>
      <c r="BP56" s="469">
        <f t="shared" si="60"/>
        <v>231.13559590637891</v>
      </c>
      <c r="BQ56" s="538">
        <f t="shared" si="111"/>
        <v>0.40536306459294369</v>
      </c>
      <c r="BR56" s="538"/>
      <c r="BT56" s="469">
        <f t="shared" si="61"/>
        <v>405.36306459294372</v>
      </c>
      <c r="BU56" s="538">
        <f t="shared" si="112"/>
        <v>1.313676416232732E-2</v>
      </c>
      <c r="BV56" s="538">
        <f t="shared" si="113"/>
        <v>8.2673978243302471E-2</v>
      </c>
      <c r="BW56" s="538">
        <f t="shared" si="114"/>
        <v>0</v>
      </c>
      <c r="BX56" s="538">
        <f t="shared" si="115"/>
        <v>0.10813688551693015</v>
      </c>
      <c r="BY56" s="538">
        <f t="shared" si="116"/>
        <v>4.3066666666666677E-2</v>
      </c>
      <c r="BZ56" s="469">
        <f t="shared" si="62"/>
        <v>151.20355218359683</v>
      </c>
      <c r="CA56" s="177">
        <f t="shared" si="63"/>
        <v>0.7877022126829194</v>
      </c>
      <c r="CB56" s="5">
        <f t="shared" si="64"/>
        <v>2.5499999999999998</v>
      </c>
      <c r="CC56" s="177">
        <f t="shared" si="65"/>
        <v>0.76399865461642036</v>
      </c>
      <c r="CD56" s="5">
        <f t="shared" si="66"/>
        <v>76.399865461642037</v>
      </c>
      <c r="CG56" s="571">
        <f t="shared" si="117"/>
        <v>-50</v>
      </c>
      <c r="CH56">
        <f t="shared" si="118"/>
        <v>-50</v>
      </c>
    </row>
    <row r="57" spans="5:86" x14ac:dyDescent="0.2">
      <c r="E57" s="174">
        <v>52</v>
      </c>
      <c r="F57" s="221">
        <f t="shared" si="119"/>
        <v>0.52</v>
      </c>
      <c r="G57" s="221"/>
      <c r="H57" s="221">
        <f t="shared" si="67"/>
        <v>2.6</v>
      </c>
      <c r="I57" s="551">
        <f t="shared" si="68"/>
        <v>24</v>
      </c>
      <c r="J57" s="176">
        <f t="shared" si="69"/>
        <v>10.64</v>
      </c>
      <c r="K57" s="451">
        <f t="shared" si="70"/>
        <v>34.64</v>
      </c>
      <c r="L57" s="451"/>
      <c r="M57" s="221">
        <f t="shared" si="71"/>
        <v>0.30715935334872979</v>
      </c>
      <c r="N57" s="176">
        <f t="shared" si="72"/>
        <v>13.601016166281754</v>
      </c>
      <c r="O57" s="176">
        <f t="shared" si="53"/>
        <v>2.6</v>
      </c>
      <c r="P57" s="221">
        <f t="shared" si="73"/>
        <v>2.7202032332563508</v>
      </c>
      <c r="Q57" s="221">
        <f t="shared" si="74"/>
        <v>5</v>
      </c>
      <c r="R57" s="221">
        <f t="shared" si="75"/>
        <v>3.0224480369515008</v>
      </c>
      <c r="S57" s="176">
        <f t="shared" si="76"/>
        <v>73.206072525636372</v>
      </c>
      <c r="T57" s="176">
        <f t="shared" si="77"/>
        <v>5</v>
      </c>
      <c r="U57" s="221">
        <f t="shared" si="78"/>
        <v>0.78376496797549433</v>
      </c>
      <c r="V57" s="221">
        <f t="shared" si="79"/>
        <v>0.22859811565951918</v>
      </c>
      <c r="W57" s="221">
        <f t="shared" si="80"/>
        <v>0.51563484735229892</v>
      </c>
      <c r="X57" s="201">
        <f t="shared" si="81"/>
        <v>350</v>
      </c>
      <c r="Y57" s="451">
        <f t="shared" si="54"/>
        <v>350</v>
      </c>
      <c r="AA57" s="221">
        <f t="shared" si="82"/>
        <v>3.0089079511712309</v>
      </c>
      <c r="AB57" s="177">
        <f t="shared" si="83"/>
        <v>1.9795447047179149</v>
      </c>
      <c r="AC57" s="177">
        <f t="shared" si="84"/>
        <v>2.0846937306036244</v>
      </c>
      <c r="AD57" s="177"/>
      <c r="AE57" s="177">
        <f t="shared" si="85"/>
        <v>0.53947368421052622</v>
      </c>
      <c r="AF57" s="555">
        <f t="shared" si="86"/>
        <v>1175.4907792980371</v>
      </c>
      <c r="AG57" s="538">
        <f t="shared" si="87"/>
        <v>0.15482894736842101</v>
      </c>
      <c r="AI57" s="177">
        <f t="shared" si="88"/>
        <v>1.5840474580031842</v>
      </c>
      <c r="AJ57" s="177">
        <f t="shared" si="89"/>
        <v>1.5840474580031842</v>
      </c>
      <c r="AK57" s="177">
        <f t="shared" si="90"/>
        <v>1.7093649720021227</v>
      </c>
      <c r="AM57" s="555">
        <f t="shared" si="91"/>
        <v>520</v>
      </c>
      <c r="AN57" s="469">
        <f t="shared" si="92"/>
        <v>350</v>
      </c>
      <c r="AP57">
        <f t="shared" si="93"/>
        <v>520</v>
      </c>
      <c r="AQ57" s="469">
        <f t="shared" si="94"/>
        <v>350</v>
      </c>
      <c r="AR57" s="469"/>
      <c r="AS57" s="5">
        <f t="shared" si="55"/>
        <v>2.8571428571428572</v>
      </c>
      <c r="AT57" s="5">
        <f t="shared" si="95"/>
        <v>0.46201384191759542</v>
      </c>
      <c r="AU57" s="5">
        <f t="shared" si="56"/>
        <v>2.3951290152252618</v>
      </c>
      <c r="AV57" s="5">
        <f t="shared" si="96"/>
        <v>1.0421364855284108</v>
      </c>
      <c r="AW57" s="177">
        <f t="shared" si="57"/>
        <v>0.16170484467115839</v>
      </c>
      <c r="AX57" s="177">
        <f t="shared" si="97"/>
        <v>3.0737777777777784</v>
      </c>
      <c r="AY57" s="177">
        <f t="shared" si="98"/>
        <v>1.327899309855036</v>
      </c>
      <c r="AZ57" s="177">
        <f t="shared" si="58"/>
        <v>2.3147672078490169</v>
      </c>
      <c r="BA57" s="469">
        <f t="shared" si="99"/>
        <v>100.52933910789432</v>
      </c>
      <c r="BB57" s="469">
        <f t="shared" si="100"/>
        <v>3.2443606577777775</v>
      </c>
      <c r="BC57" s="5">
        <f t="shared" si="101"/>
        <v>0.24025213887290431</v>
      </c>
      <c r="BD57" s="469">
        <f t="shared" si="102"/>
        <v>29.191367775859632</v>
      </c>
      <c r="BE57" s="5"/>
      <c r="BF57" s="177">
        <f t="shared" si="59"/>
        <v>0.36776388391933268</v>
      </c>
      <c r="BG57" s="177">
        <f t="shared" si="103"/>
        <v>1.6746962018069835</v>
      </c>
      <c r="BH57" s="177"/>
      <c r="BI57" s="538">
        <f t="shared" si="104"/>
        <v>1.4877530174697565E-2</v>
      </c>
      <c r="BJ57" s="538">
        <f t="shared" si="105"/>
        <v>9.6024956904153039E-2</v>
      </c>
      <c r="BK57" s="538">
        <f t="shared" si="106"/>
        <v>1.7499999999999998E-2</v>
      </c>
      <c r="BL57" s="538">
        <f t="shared" si="107"/>
        <v>9.4494456000000004E-2</v>
      </c>
      <c r="BM57">
        <f t="shared" si="108"/>
        <v>6.96E-3</v>
      </c>
      <c r="BN57">
        <f t="shared" si="109"/>
        <v>6.6500000000000004E-5</v>
      </c>
      <c r="BO57" s="538">
        <f t="shared" si="110"/>
        <v>0.23257029285334777</v>
      </c>
      <c r="BP57" s="469">
        <f t="shared" si="60"/>
        <v>232.57029285334775</v>
      </c>
      <c r="BQ57" s="538">
        <f t="shared" si="111"/>
        <v>0.41291200294169078</v>
      </c>
      <c r="BR57" s="538"/>
      <c r="BT57" s="469">
        <f t="shared" si="61"/>
        <v>412.91200294169079</v>
      </c>
      <c r="BU57" s="538">
        <f t="shared" si="112"/>
        <v>1.3525027431543241E-2</v>
      </c>
      <c r="BV57" s="538">
        <f t="shared" si="113"/>
        <v>8.4138221050402112E-2</v>
      </c>
      <c r="BW57" s="538">
        <f t="shared" si="114"/>
        <v>0</v>
      </c>
      <c r="BX57" s="538">
        <f t="shared" si="115"/>
        <v>0.11024418270048009</v>
      </c>
      <c r="BY57" s="538">
        <f t="shared" si="116"/>
        <v>4.391111111111113E-2</v>
      </c>
      <c r="BZ57" s="469">
        <f t="shared" si="62"/>
        <v>154.15529381159121</v>
      </c>
      <c r="CA57" s="177">
        <f t="shared" si="63"/>
        <v>0.79963758960662978</v>
      </c>
      <c r="CB57" s="5">
        <f t="shared" si="64"/>
        <v>2.6</v>
      </c>
      <c r="CC57" s="177">
        <f t="shared" si="65"/>
        <v>0.76478740203035711</v>
      </c>
      <c r="CD57" s="5">
        <f t="shared" si="66"/>
        <v>76.478740203035713</v>
      </c>
      <c r="CG57" s="571">
        <f t="shared" si="117"/>
        <v>-50</v>
      </c>
      <c r="CH57">
        <f t="shared" si="118"/>
        <v>-50</v>
      </c>
    </row>
    <row r="58" spans="5:86" x14ac:dyDescent="0.2">
      <c r="E58" s="174">
        <v>53</v>
      </c>
      <c r="F58" s="221">
        <f t="shared" si="119"/>
        <v>0.53</v>
      </c>
      <c r="G58" s="221"/>
      <c r="H58" s="221">
        <f t="shared" si="67"/>
        <v>2.6500000000000004</v>
      </c>
      <c r="I58" s="551">
        <f t="shared" si="68"/>
        <v>24</v>
      </c>
      <c r="J58" s="176">
        <f t="shared" si="69"/>
        <v>10.64</v>
      </c>
      <c r="K58" s="451">
        <f t="shared" si="70"/>
        <v>34.64</v>
      </c>
      <c r="L58" s="451"/>
      <c r="M58" s="221">
        <f t="shared" si="71"/>
        <v>0.30715935334872979</v>
      </c>
      <c r="N58" s="176">
        <f t="shared" si="72"/>
        <v>13.601016166281754</v>
      </c>
      <c r="O58" s="176">
        <f t="shared" si="53"/>
        <v>2.6500000000000004</v>
      </c>
      <c r="P58" s="221">
        <f t="shared" si="73"/>
        <v>2.7202032332563508</v>
      </c>
      <c r="Q58" s="221">
        <f t="shared" si="74"/>
        <v>5</v>
      </c>
      <c r="R58" s="221">
        <f t="shared" si="75"/>
        <v>3.0224480369515008</v>
      </c>
      <c r="S58" s="176">
        <f t="shared" si="76"/>
        <v>71.60056205257149</v>
      </c>
      <c r="T58" s="176">
        <f t="shared" si="77"/>
        <v>5</v>
      </c>
      <c r="U58" s="221">
        <f t="shared" si="78"/>
        <v>0.79883737120579235</v>
      </c>
      <c r="V58" s="221">
        <f t="shared" si="79"/>
        <v>0.23299423326835611</v>
      </c>
      <c r="W58" s="221">
        <f t="shared" si="80"/>
        <v>0.52555090210907385</v>
      </c>
      <c r="X58" s="201">
        <f t="shared" si="81"/>
        <v>350</v>
      </c>
      <c r="Y58" s="451">
        <f t="shared" si="54"/>
        <v>350</v>
      </c>
      <c r="AA58" s="221">
        <f t="shared" si="82"/>
        <v>3.0089079511712309</v>
      </c>
      <c r="AB58" s="177">
        <f t="shared" si="83"/>
        <v>1.9795447047179149</v>
      </c>
      <c r="AC58" s="177">
        <f t="shared" si="84"/>
        <v>2.0846937306036244</v>
      </c>
      <c r="AD58" s="177"/>
      <c r="AE58" s="177">
        <f t="shared" si="85"/>
        <v>0.53947368421052622</v>
      </c>
      <c r="AF58" s="555">
        <f t="shared" si="86"/>
        <v>1198.096371207615</v>
      </c>
      <c r="AG58" s="538">
        <f t="shared" si="87"/>
        <v>0.15482894736842101</v>
      </c>
      <c r="AI58" s="177">
        <f t="shared" si="88"/>
        <v>1.5992061522706564</v>
      </c>
      <c r="AJ58" s="177">
        <f t="shared" si="89"/>
        <v>1.5992061522706564</v>
      </c>
      <c r="AK58" s="177">
        <f t="shared" si="90"/>
        <v>1.7194707681804378</v>
      </c>
      <c r="AM58" s="555">
        <f t="shared" si="91"/>
        <v>530</v>
      </c>
      <c r="AN58" s="469">
        <f t="shared" si="92"/>
        <v>350</v>
      </c>
      <c r="AP58">
        <f t="shared" si="93"/>
        <v>530</v>
      </c>
      <c r="AQ58" s="469">
        <f t="shared" si="94"/>
        <v>350</v>
      </c>
      <c r="AR58" s="469"/>
      <c r="AS58" s="5">
        <f t="shared" si="55"/>
        <v>2.8571428571428572</v>
      </c>
      <c r="AT58" s="5">
        <f t="shared" si="95"/>
        <v>0.46643512774560808</v>
      </c>
      <c r="AU58" s="5">
        <f t="shared" si="56"/>
        <v>2.3907077293972492</v>
      </c>
      <c r="AV58" s="5">
        <f t="shared" si="96"/>
        <v>1.0521093107043793</v>
      </c>
      <c r="AW58" s="177">
        <f t="shared" si="57"/>
        <v>0.16325229471096284</v>
      </c>
      <c r="AX58" s="177">
        <f t="shared" si="97"/>
        <v>3.1328888888888891</v>
      </c>
      <c r="AY58" s="177">
        <f t="shared" si="98"/>
        <v>1.3381320781965824</v>
      </c>
      <c r="AZ58" s="177">
        <f t="shared" si="58"/>
        <v>2.3412404051408164</v>
      </c>
      <c r="BA58" s="469">
        <f t="shared" si="99"/>
        <v>100.52933910789432</v>
      </c>
      <c r="BB58" s="469">
        <f t="shared" si="100"/>
        <v>3.3397666744444447</v>
      </c>
      <c r="BC58" s="5">
        <f t="shared" si="101"/>
        <v>0.24442035042062923</v>
      </c>
      <c r="BD58" s="469">
        <f t="shared" si="102"/>
        <v>29.698497606031069</v>
      </c>
      <c r="BE58" s="5"/>
      <c r="BF58" s="177">
        <f t="shared" si="59"/>
        <v>0.37305552109465978</v>
      </c>
      <c r="BG58" s="177">
        <f t="shared" si="103"/>
        <v>1.6891611535523361</v>
      </c>
      <c r="BH58" s="177"/>
      <c r="BI58" s="538">
        <f t="shared" si="104"/>
        <v>1.5308746400112897E-2</v>
      </c>
      <c r="BJ58" s="538">
        <f t="shared" si="105"/>
        <v>9.6943876950647198E-2</v>
      </c>
      <c r="BK58" s="538">
        <f t="shared" si="106"/>
        <v>1.7499999999999998E-2</v>
      </c>
      <c r="BL58" s="538">
        <f t="shared" si="107"/>
        <v>9.4494456000000004E-2</v>
      </c>
      <c r="BM58">
        <f t="shared" si="108"/>
        <v>6.96E-3</v>
      </c>
      <c r="BN58">
        <f t="shared" si="109"/>
        <v>6.6500000000000004E-5</v>
      </c>
      <c r="BO58" s="538">
        <f t="shared" si="110"/>
        <v>0.23400118797850958</v>
      </c>
      <c r="BP58" s="469">
        <f t="shared" si="60"/>
        <v>234.00118797850959</v>
      </c>
      <c r="BQ58" s="538">
        <f t="shared" si="111"/>
        <v>0.42044947676400785</v>
      </c>
      <c r="BR58" s="538"/>
      <c r="BT58" s="469">
        <f t="shared" si="61"/>
        <v>420.44947676400784</v>
      </c>
      <c r="BU58" s="538">
        <f t="shared" si="112"/>
        <v>1.3917042181920816E-2</v>
      </c>
      <c r="BV58" s="538">
        <f t="shared" si="113"/>
        <v>8.5597962080107767E-2</v>
      </c>
      <c r="BW58" s="538">
        <f t="shared" si="114"/>
        <v>0</v>
      </c>
      <c r="BX58" s="538">
        <f t="shared" si="115"/>
        <v>0.11235125562808589</v>
      </c>
      <c r="BY58" s="538">
        <f t="shared" si="116"/>
        <v>4.4755555555555562E-2</v>
      </c>
      <c r="BZ58" s="469">
        <f t="shared" si="62"/>
        <v>157.10681118364144</v>
      </c>
      <c r="CA58" s="177">
        <f t="shared" si="63"/>
        <v>0.8115574759261589</v>
      </c>
      <c r="CB58" s="5">
        <f t="shared" si="64"/>
        <v>2.6500000000000004</v>
      </c>
      <c r="CC58" s="177">
        <f t="shared" si="65"/>
        <v>0.76555135034728194</v>
      </c>
      <c r="CD58" s="5">
        <f t="shared" si="66"/>
        <v>76.555135034728195</v>
      </c>
      <c r="CG58" s="571">
        <f t="shared" si="117"/>
        <v>-50</v>
      </c>
      <c r="CH58">
        <f t="shared" si="118"/>
        <v>-50</v>
      </c>
    </row>
    <row r="59" spans="5:86" x14ac:dyDescent="0.2">
      <c r="E59" s="174">
        <v>54</v>
      </c>
      <c r="F59" s="221">
        <f t="shared" si="119"/>
        <v>0.54</v>
      </c>
      <c r="G59" s="221"/>
      <c r="H59" s="221">
        <f t="shared" si="67"/>
        <v>2.7</v>
      </c>
      <c r="I59" s="551">
        <f t="shared" si="68"/>
        <v>24</v>
      </c>
      <c r="J59" s="176">
        <f t="shared" si="69"/>
        <v>10.64</v>
      </c>
      <c r="K59" s="451">
        <f t="shared" si="70"/>
        <v>34.64</v>
      </c>
      <c r="L59" s="451"/>
      <c r="M59" s="221">
        <f t="shared" si="71"/>
        <v>0.30715935334872979</v>
      </c>
      <c r="N59" s="176">
        <f t="shared" si="72"/>
        <v>13.601016166281754</v>
      </c>
      <c r="O59" s="176">
        <f t="shared" si="53"/>
        <v>2.7</v>
      </c>
      <c r="P59" s="221">
        <f t="shared" si="73"/>
        <v>2.7202032332563508</v>
      </c>
      <c r="Q59" s="221">
        <f t="shared" si="74"/>
        <v>5</v>
      </c>
      <c r="R59" s="221">
        <f t="shared" si="75"/>
        <v>3.0224480369515008</v>
      </c>
      <c r="S59" s="176">
        <f t="shared" si="76"/>
        <v>70.054565168407223</v>
      </c>
      <c r="T59" s="176">
        <f t="shared" si="77"/>
        <v>5</v>
      </c>
      <c r="U59" s="221">
        <f t="shared" si="78"/>
        <v>0.81390977443609025</v>
      </c>
      <c r="V59" s="221">
        <f t="shared" si="79"/>
        <v>0.23739035087719298</v>
      </c>
      <c r="W59" s="221">
        <f t="shared" si="80"/>
        <v>0.53546695686584878</v>
      </c>
      <c r="X59" s="201">
        <f t="shared" si="81"/>
        <v>350</v>
      </c>
      <c r="Y59" s="451">
        <f t="shared" si="54"/>
        <v>350</v>
      </c>
      <c r="AA59" s="221">
        <f t="shared" si="82"/>
        <v>3.0089079511712309</v>
      </c>
      <c r="AB59" s="177">
        <f t="shared" si="83"/>
        <v>1.9795447047179149</v>
      </c>
      <c r="AC59" s="177">
        <f t="shared" si="84"/>
        <v>2.0846937306036244</v>
      </c>
      <c r="AD59" s="177"/>
      <c r="AE59" s="177">
        <f t="shared" si="85"/>
        <v>0.53947368421052622</v>
      </c>
      <c r="AF59" s="555">
        <f t="shared" si="86"/>
        <v>1220.7019631171925</v>
      </c>
      <c r="AG59" s="538">
        <f t="shared" si="87"/>
        <v>0.15482894736842101</v>
      </c>
      <c r="AI59" s="177">
        <f t="shared" si="88"/>
        <v>1.6142225019229182</v>
      </c>
      <c r="AJ59" s="177">
        <f t="shared" si="89"/>
        <v>1.6142225019229182</v>
      </c>
      <c r="AK59" s="177">
        <f t="shared" si="90"/>
        <v>1.7294816679486122</v>
      </c>
      <c r="AM59" s="555">
        <f t="shared" si="91"/>
        <v>540</v>
      </c>
      <c r="AN59" s="469">
        <f t="shared" si="92"/>
        <v>350</v>
      </c>
      <c r="AP59">
        <f t="shared" si="93"/>
        <v>540</v>
      </c>
      <c r="AQ59" s="469">
        <f t="shared" si="94"/>
        <v>350</v>
      </c>
      <c r="AR59" s="469"/>
      <c r="AS59" s="5">
        <f t="shared" si="55"/>
        <v>2.8571428571428572</v>
      </c>
      <c r="AT59" s="5">
        <f t="shared" si="95"/>
        <v>0.47081489639418445</v>
      </c>
      <c r="AU59" s="5">
        <f t="shared" si="56"/>
        <v>2.3863279607486727</v>
      </c>
      <c r="AV59" s="5">
        <f t="shared" si="96"/>
        <v>1.061988488107183</v>
      </c>
      <c r="AW59" s="177">
        <f t="shared" si="57"/>
        <v>0.16478521373796456</v>
      </c>
      <c r="AX59" s="177">
        <f t="shared" si="97"/>
        <v>3.1919999999999997</v>
      </c>
      <c r="AY59" s="177">
        <f t="shared" si="98"/>
        <v>1.3482225019229181</v>
      </c>
      <c r="AZ59" s="177">
        <f t="shared" si="58"/>
        <v>2.3675617306841952</v>
      </c>
      <c r="BA59" s="469">
        <f t="shared" si="99"/>
        <v>100.52933910789432</v>
      </c>
      <c r="BB59" s="469">
        <f t="shared" si="100"/>
        <v>3.4364185200000001</v>
      </c>
      <c r="BC59" s="5">
        <f t="shared" si="101"/>
        <v>0.24857582924465338</v>
      </c>
      <c r="BD59" s="469">
        <f t="shared" si="102"/>
        <v>30.204099509358407</v>
      </c>
      <c r="BE59" s="5"/>
      <c r="BF59" s="177">
        <f t="shared" si="59"/>
        <v>0.3783222548355199</v>
      </c>
      <c r="BG59" s="177">
        <f t="shared" si="103"/>
        <v>1.7034596561910076</v>
      </c>
      <c r="BH59" s="177"/>
      <c r="BI59" s="538">
        <f t="shared" si="104"/>
        <v>1.5744050135421527E-2</v>
      </c>
      <c r="BJ59" s="538">
        <f t="shared" si="105"/>
        <v>9.7854168066567312E-2</v>
      </c>
      <c r="BK59" s="538">
        <f t="shared" si="106"/>
        <v>1.7499999999999998E-2</v>
      </c>
      <c r="BL59" s="538">
        <f t="shared" si="107"/>
        <v>9.4494456000000004E-2</v>
      </c>
      <c r="BM59">
        <f t="shared" si="108"/>
        <v>6.96E-3</v>
      </c>
      <c r="BN59">
        <f t="shared" si="109"/>
        <v>6.6500000000000004E-5</v>
      </c>
      <c r="BO59" s="538">
        <f t="shared" si="110"/>
        <v>0.23542848828704538</v>
      </c>
      <c r="BP59" s="469">
        <f t="shared" si="60"/>
        <v>235.42848828704538</v>
      </c>
      <c r="BQ59" s="538">
        <f t="shared" si="111"/>
        <v>0.42797559474065749</v>
      </c>
      <c r="BR59" s="538"/>
      <c r="BT59" s="469">
        <f t="shared" si="61"/>
        <v>427.97559474065747</v>
      </c>
      <c r="BU59" s="538">
        <f t="shared" si="112"/>
        <v>1.4312772850383208E-2</v>
      </c>
      <c r="BV59" s="538">
        <f t="shared" si="113"/>
        <v>8.7053244008111569E-2</v>
      </c>
      <c r="BW59" s="538">
        <f t="shared" si="114"/>
        <v>0</v>
      </c>
      <c r="BX59" s="538">
        <f t="shared" si="115"/>
        <v>0.11445811191366069</v>
      </c>
      <c r="BY59" s="538">
        <f t="shared" si="116"/>
        <v>4.5599999999999995E-2</v>
      </c>
      <c r="BZ59" s="469">
        <f t="shared" si="62"/>
        <v>160.05811191366067</v>
      </c>
      <c r="CA59" s="177">
        <f t="shared" si="63"/>
        <v>0.82346219494136352</v>
      </c>
      <c r="CB59" s="5">
        <f t="shared" si="64"/>
        <v>2.7</v>
      </c>
      <c r="CC59" s="177">
        <f t="shared" si="65"/>
        <v>0.76629174675873957</v>
      </c>
      <c r="CD59" s="5">
        <f t="shared" si="66"/>
        <v>76.629174675873955</v>
      </c>
      <c r="CG59" s="571">
        <f t="shared" si="117"/>
        <v>-50</v>
      </c>
      <c r="CH59">
        <f t="shared" si="118"/>
        <v>-50</v>
      </c>
    </row>
    <row r="60" spans="5:86" x14ac:dyDescent="0.2">
      <c r="E60" s="174">
        <v>55</v>
      </c>
      <c r="F60" s="221">
        <f t="shared" si="119"/>
        <v>0.55000000000000004</v>
      </c>
      <c r="G60" s="221"/>
      <c r="H60" s="221">
        <f t="shared" si="67"/>
        <v>2.75</v>
      </c>
      <c r="I60" s="551">
        <f t="shared" si="68"/>
        <v>24</v>
      </c>
      <c r="J60" s="176">
        <f t="shared" si="69"/>
        <v>10.64</v>
      </c>
      <c r="K60" s="451">
        <f t="shared" si="70"/>
        <v>34.64</v>
      </c>
      <c r="L60" s="451"/>
      <c r="M60" s="221">
        <f t="shared" si="71"/>
        <v>0.30715935334872979</v>
      </c>
      <c r="N60" s="176">
        <f t="shared" si="72"/>
        <v>13.601016166281754</v>
      </c>
      <c r="O60" s="176">
        <f t="shared" si="53"/>
        <v>2.75</v>
      </c>
      <c r="P60" s="221">
        <f t="shared" si="73"/>
        <v>2.7202032332563508</v>
      </c>
      <c r="Q60" s="221">
        <f t="shared" si="74"/>
        <v>5</v>
      </c>
      <c r="R60" s="221">
        <f t="shared" si="75"/>
        <v>3.0224480369515008</v>
      </c>
      <c r="S60" s="176">
        <f t="shared" si="76"/>
        <v>68.564836124091229</v>
      </c>
      <c r="T60" s="176">
        <f t="shared" si="77"/>
        <v>5</v>
      </c>
      <c r="U60" s="221">
        <f t="shared" si="78"/>
        <v>0.82898217766638815</v>
      </c>
      <c r="V60" s="221">
        <f t="shared" si="79"/>
        <v>0.24178646848602989</v>
      </c>
      <c r="W60" s="221">
        <f t="shared" si="80"/>
        <v>0.5453830116226237</v>
      </c>
      <c r="X60" s="201">
        <f t="shared" si="81"/>
        <v>350</v>
      </c>
      <c r="Y60" s="451">
        <f t="shared" si="54"/>
        <v>350</v>
      </c>
      <c r="AA60" s="221">
        <f t="shared" si="82"/>
        <v>3.0089079511712309</v>
      </c>
      <c r="AB60" s="177">
        <f t="shared" si="83"/>
        <v>1.9795447047179149</v>
      </c>
      <c r="AC60" s="177">
        <f t="shared" si="84"/>
        <v>2.0846937306036244</v>
      </c>
      <c r="AD60" s="177"/>
      <c r="AE60" s="177">
        <f t="shared" si="85"/>
        <v>0.53947368421052622</v>
      </c>
      <c r="AF60" s="555">
        <f t="shared" si="86"/>
        <v>1243.3075550267702</v>
      </c>
      <c r="AG60" s="538">
        <f t="shared" si="87"/>
        <v>0.15482894736842101</v>
      </c>
      <c r="AI60" s="177">
        <f t="shared" si="88"/>
        <v>1.6291004431796876</v>
      </c>
      <c r="AJ60" s="177">
        <f t="shared" si="89"/>
        <v>1.6291004431796876</v>
      </c>
      <c r="AK60" s="177">
        <f t="shared" si="90"/>
        <v>1.7394002954531249</v>
      </c>
      <c r="AM60" s="555">
        <f t="shared" si="91"/>
        <v>550</v>
      </c>
      <c r="AN60" s="469">
        <f t="shared" si="92"/>
        <v>350</v>
      </c>
      <c r="AP60">
        <f t="shared" si="93"/>
        <v>550</v>
      </c>
      <c r="AQ60">
        <f t="shared" si="94"/>
        <v>350</v>
      </c>
      <c r="AS60" s="5">
        <f t="shared" si="55"/>
        <v>2.8571428571428572</v>
      </c>
      <c r="AT60" s="5">
        <f t="shared" si="95"/>
        <v>0.47515429592740882</v>
      </c>
      <c r="AU60" s="5">
        <f t="shared" si="56"/>
        <v>2.3819885612154486</v>
      </c>
      <c r="AV60" s="5">
        <f t="shared" si="96"/>
        <v>1.0717766073550576</v>
      </c>
      <c r="AW60" s="177">
        <f t="shared" si="57"/>
        <v>0.16630400357459307</v>
      </c>
      <c r="AX60" s="177">
        <f t="shared" si="97"/>
        <v>3.2511111111111117</v>
      </c>
      <c r="AY60" s="177">
        <f t="shared" si="98"/>
        <v>1.3581745172537616</v>
      </c>
      <c r="AZ60" s="177">
        <f t="shared" si="58"/>
        <v>2.393735907874992</v>
      </c>
      <c r="BA60" s="469">
        <f t="shared" si="99"/>
        <v>100.52933910789432</v>
      </c>
      <c r="BB60" s="469">
        <f t="shared" si="100"/>
        <v>3.534316194444445</v>
      </c>
      <c r="BC60" s="5">
        <f t="shared" si="101"/>
        <v>0.25271869380179324</v>
      </c>
      <c r="BD60" s="469">
        <f t="shared" si="102"/>
        <v>30.708187700659643</v>
      </c>
      <c r="BE60" s="5"/>
      <c r="BF60" s="177">
        <f t="shared" si="59"/>
        <v>0.38356466034416026</v>
      </c>
      <c r="BG60" s="177">
        <f t="shared" si="103"/>
        <v>1.7175962691985025</v>
      </c>
      <c r="BH60" s="177"/>
      <c r="BI60" s="538">
        <f t="shared" si="104"/>
        <v>1.6183403353142414E-2</v>
      </c>
      <c r="BJ60" s="538">
        <f t="shared" si="105"/>
        <v>9.875606886555266E-2</v>
      </c>
      <c r="BK60" s="538">
        <f t="shared" si="106"/>
        <v>1.7499999999999998E-2</v>
      </c>
      <c r="BL60" s="538">
        <f t="shared" si="107"/>
        <v>9.4494456000000004E-2</v>
      </c>
      <c r="BM60">
        <f t="shared" si="108"/>
        <v>6.96E-3</v>
      </c>
      <c r="BN60">
        <f t="shared" si="109"/>
        <v>6.6500000000000004E-5</v>
      </c>
      <c r="BO60" s="538">
        <f t="shared" si="110"/>
        <v>0.23685239052010829</v>
      </c>
      <c r="BP60" s="469">
        <f t="shared" si="60"/>
        <v>236.85239052010829</v>
      </c>
      <c r="BQ60" s="538">
        <f t="shared" si="111"/>
        <v>0.43549046251889661</v>
      </c>
      <c r="BR60" s="538"/>
      <c r="BT60" s="469">
        <f t="shared" si="61"/>
        <v>435.49046251889661</v>
      </c>
      <c r="BU60" s="538">
        <f t="shared" si="112"/>
        <v>1.4712184866493103E-2</v>
      </c>
      <c r="BV60" s="538">
        <f t="shared" si="113"/>
        <v>8.8504108318938429E-2</v>
      </c>
      <c r="BW60" s="538">
        <f t="shared" si="114"/>
        <v>0</v>
      </c>
      <c r="BX60" s="538">
        <f t="shared" si="115"/>
        <v>0.11656475895451036</v>
      </c>
      <c r="BY60" s="538">
        <f t="shared" si="116"/>
        <v>4.6444444444444469E-2</v>
      </c>
      <c r="BZ60" s="469">
        <f t="shared" si="62"/>
        <v>163.00920339895484</v>
      </c>
      <c r="CA60" s="177">
        <f t="shared" si="63"/>
        <v>0.83535205643795973</v>
      </c>
      <c r="CB60" s="5">
        <f t="shared" si="64"/>
        <v>2.75</v>
      </c>
      <c r="CC60" s="177">
        <f t="shared" si="65"/>
        <v>0.76700975433138352</v>
      </c>
      <c r="CD60" s="5">
        <f t="shared" si="66"/>
        <v>76.700975433138353</v>
      </c>
      <c r="CG60" s="571">
        <f t="shared" si="117"/>
        <v>-50</v>
      </c>
      <c r="CH60">
        <f t="shared" si="118"/>
        <v>-50</v>
      </c>
    </row>
    <row r="61" spans="5:86" x14ac:dyDescent="0.2">
      <c r="E61" s="174">
        <v>56</v>
      </c>
      <c r="F61" s="221">
        <f t="shared" si="119"/>
        <v>0.56000000000000005</v>
      </c>
      <c r="G61" s="221"/>
      <c r="H61" s="221">
        <f t="shared" si="67"/>
        <v>2.8000000000000003</v>
      </c>
      <c r="I61" s="551">
        <f t="shared" si="68"/>
        <v>24</v>
      </c>
      <c r="J61" s="176">
        <f t="shared" si="69"/>
        <v>10.64</v>
      </c>
      <c r="K61" s="451">
        <f t="shared" si="70"/>
        <v>34.64</v>
      </c>
      <c r="L61" s="451"/>
      <c r="M61" s="221">
        <f t="shared" si="71"/>
        <v>0.30715935334872979</v>
      </c>
      <c r="N61" s="176">
        <f t="shared" si="72"/>
        <v>13.601016166281754</v>
      </c>
      <c r="O61" s="176">
        <f t="shared" si="53"/>
        <v>2.8000000000000003</v>
      </c>
      <c r="P61" s="221">
        <f t="shared" si="73"/>
        <v>2.7202032332563508</v>
      </c>
      <c r="Q61" s="221">
        <f t="shared" si="74"/>
        <v>5</v>
      </c>
      <c r="R61" s="221">
        <f t="shared" si="75"/>
        <v>3.0224480369515008</v>
      </c>
      <c r="S61" s="176">
        <f t="shared" si="76"/>
        <v>67.128361014889308</v>
      </c>
      <c r="T61" s="176">
        <f t="shared" si="77"/>
        <v>5</v>
      </c>
      <c r="U61" s="221">
        <f t="shared" si="78"/>
        <v>0.84405458089668617</v>
      </c>
      <c r="V61" s="221">
        <f t="shared" si="79"/>
        <v>0.24618258609486679</v>
      </c>
      <c r="W61" s="221">
        <f t="shared" si="80"/>
        <v>0.55529906637939874</v>
      </c>
      <c r="X61" s="201">
        <f t="shared" si="81"/>
        <v>350</v>
      </c>
      <c r="Y61" s="451">
        <f t="shared" si="54"/>
        <v>350</v>
      </c>
      <c r="AA61" s="221">
        <f t="shared" si="82"/>
        <v>3.0089079511712309</v>
      </c>
      <c r="AB61" s="177">
        <f t="shared" si="83"/>
        <v>1.9795447047179149</v>
      </c>
      <c r="AC61" s="177">
        <f t="shared" si="84"/>
        <v>2.0846937306036244</v>
      </c>
      <c r="AD61" s="177"/>
      <c r="AE61" s="177">
        <f t="shared" si="85"/>
        <v>0.53947368421052622</v>
      </c>
      <c r="AF61" s="555">
        <f t="shared" si="86"/>
        <v>1265.9131469363476</v>
      </c>
      <c r="AG61" s="538">
        <f t="shared" si="87"/>
        <v>0.15482894736842101</v>
      </c>
      <c r="AI61" s="177">
        <f t="shared" si="88"/>
        <v>1.6438437341250605</v>
      </c>
      <c r="AJ61" s="177">
        <f t="shared" si="89"/>
        <v>1.6438437341250605</v>
      </c>
      <c r="AK61" s="177">
        <f t="shared" si="90"/>
        <v>1.7492291560833735</v>
      </c>
      <c r="AM61" s="555">
        <f t="shared" si="91"/>
        <v>560</v>
      </c>
      <c r="AN61" s="469">
        <f t="shared" si="92"/>
        <v>350</v>
      </c>
      <c r="AP61">
        <f t="shared" si="93"/>
        <v>560</v>
      </c>
      <c r="AQ61">
        <f t="shared" si="94"/>
        <v>350</v>
      </c>
      <c r="AS61" s="5">
        <f t="shared" si="55"/>
        <v>2.8571428571428572</v>
      </c>
      <c r="AT61" s="5">
        <f t="shared" si="95"/>
        <v>0.47945442245314268</v>
      </c>
      <c r="AU61" s="5">
        <f t="shared" si="56"/>
        <v>2.3776884346897145</v>
      </c>
      <c r="AV61" s="5">
        <f t="shared" si="96"/>
        <v>1.0814761408717501</v>
      </c>
      <c r="AW61" s="177">
        <f t="shared" si="57"/>
        <v>0.16780904785859993</v>
      </c>
      <c r="AX61" s="177">
        <f t="shared" si="97"/>
        <v>3.3102222222222224</v>
      </c>
      <c r="AY61" s="177">
        <f t="shared" si="98"/>
        <v>1.3679918822732084</v>
      </c>
      <c r="AZ61" s="177">
        <f t="shared" si="58"/>
        <v>2.4197674453459377</v>
      </c>
      <c r="BA61" s="469">
        <f t="shared" si="99"/>
        <v>100.52933910789432</v>
      </c>
      <c r="BB61" s="469">
        <f t="shared" si="100"/>
        <v>3.633459697777778</v>
      </c>
      <c r="BC61" s="5">
        <f t="shared" si="101"/>
        <v>0.25684905930290119</v>
      </c>
      <c r="BD61" s="469">
        <f t="shared" si="102"/>
        <v>31.210776005237047</v>
      </c>
      <c r="BE61" s="5"/>
      <c r="BF61" s="177">
        <f t="shared" si="59"/>
        <v>0.38878328934144502</v>
      </c>
      <c r="BG61" s="177">
        <f t="shared" si="103"/>
        <v>1.7315753459432104</v>
      </c>
      <c r="BH61" s="177"/>
      <c r="BI61" s="538">
        <f t="shared" si="104"/>
        <v>1.6626769067826914E-2</v>
      </c>
      <c r="BJ61" s="538">
        <f t="shared" si="105"/>
        <v>9.9649807162661169E-2</v>
      </c>
      <c r="BK61" s="538">
        <f t="shared" si="106"/>
        <v>1.7499999999999998E-2</v>
      </c>
      <c r="BL61" s="538">
        <f t="shared" si="107"/>
        <v>9.4494456000000004E-2</v>
      </c>
      <c r="BM61">
        <f t="shared" si="108"/>
        <v>6.96E-3</v>
      </c>
      <c r="BN61">
        <f t="shared" si="109"/>
        <v>6.6500000000000004E-5</v>
      </c>
      <c r="BO61" s="538">
        <f t="shared" si="110"/>
        <v>0.23827308182761742</v>
      </c>
      <c r="BP61" s="469">
        <f t="shared" si="60"/>
        <v>238.2730818276174</v>
      </c>
      <c r="BQ61" s="538">
        <f t="shared" si="111"/>
        <v>0.44299418285102588</v>
      </c>
      <c r="BR61" s="538"/>
      <c r="BT61" s="469">
        <f t="shared" si="61"/>
        <v>442.99418285102587</v>
      </c>
      <c r="BU61" s="538">
        <f t="shared" si="112"/>
        <v>1.5115244607115375E-2</v>
      </c>
      <c r="BV61" s="538">
        <f t="shared" si="113"/>
        <v>8.9950595360350466E-2</v>
      </c>
      <c r="BW61" s="538">
        <f t="shared" si="114"/>
        <v>0</v>
      </c>
      <c r="BX61" s="538">
        <f t="shared" si="115"/>
        <v>0.11867120394132542</v>
      </c>
      <c r="BY61" s="538">
        <f t="shared" si="116"/>
        <v>4.7288888888888901E-2</v>
      </c>
      <c r="BZ61" s="469">
        <f t="shared" si="62"/>
        <v>165.96009283021431</v>
      </c>
      <c r="CA61" s="177">
        <f t="shared" si="63"/>
        <v>0.84722735750885769</v>
      </c>
      <c r="CB61" s="5">
        <f t="shared" si="64"/>
        <v>2.8000000000000003</v>
      </c>
      <c r="CC61" s="177">
        <f t="shared" si="65"/>
        <v>0.76770645905454771</v>
      </c>
      <c r="CD61" s="5">
        <f t="shared" si="66"/>
        <v>76.770645905454771</v>
      </c>
      <c r="CG61" s="571">
        <f t="shared" si="117"/>
        <v>-50</v>
      </c>
      <c r="CH61">
        <f t="shared" si="118"/>
        <v>-50</v>
      </c>
    </row>
    <row r="62" spans="5:86" x14ac:dyDescent="0.2">
      <c r="E62" s="174">
        <v>57</v>
      </c>
      <c r="F62" s="221">
        <f t="shared" si="119"/>
        <v>0.56999999999999995</v>
      </c>
      <c r="G62" s="221"/>
      <c r="H62" s="221">
        <f t="shared" si="67"/>
        <v>2.8499999999999996</v>
      </c>
      <c r="I62" s="551">
        <f t="shared" si="68"/>
        <v>24</v>
      </c>
      <c r="J62" s="176">
        <f t="shared" si="69"/>
        <v>10.64</v>
      </c>
      <c r="K62" s="451">
        <f t="shared" si="70"/>
        <v>34.64</v>
      </c>
      <c r="L62" s="451"/>
      <c r="M62" s="221">
        <f t="shared" si="71"/>
        <v>0.30715935334872979</v>
      </c>
      <c r="N62" s="176">
        <f t="shared" si="72"/>
        <v>13.601016166281754</v>
      </c>
      <c r="O62" s="176">
        <f t="shared" si="53"/>
        <v>2.8499999999999996</v>
      </c>
      <c r="P62" s="221">
        <f t="shared" si="73"/>
        <v>2.7202032332563508</v>
      </c>
      <c r="Q62" s="221">
        <f t="shared" si="74"/>
        <v>5</v>
      </c>
      <c r="R62" s="221">
        <f t="shared" si="75"/>
        <v>3.0224480369515008</v>
      </c>
      <c r="S62" s="176">
        <f t="shared" si="76"/>
        <v>65.742337443234206</v>
      </c>
      <c r="T62" s="176">
        <f t="shared" si="77"/>
        <v>5</v>
      </c>
      <c r="U62" s="221">
        <f t="shared" si="78"/>
        <v>0.85912698412698396</v>
      </c>
      <c r="V62" s="221">
        <f t="shared" si="79"/>
        <v>0.25057870370370366</v>
      </c>
      <c r="W62" s="221">
        <f t="shared" si="80"/>
        <v>0.56521512113617367</v>
      </c>
      <c r="X62" s="201">
        <f t="shared" si="81"/>
        <v>350</v>
      </c>
      <c r="Y62" s="451">
        <f t="shared" si="54"/>
        <v>350</v>
      </c>
      <c r="AA62" s="221">
        <f t="shared" si="82"/>
        <v>3.0089079511712309</v>
      </c>
      <c r="AB62" s="177">
        <f t="shared" si="83"/>
        <v>1.9795447047179149</v>
      </c>
      <c r="AC62" s="177">
        <f t="shared" si="84"/>
        <v>2.0846937306036244</v>
      </c>
      <c r="AD62" s="177"/>
      <c r="AE62" s="177">
        <f t="shared" si="85"/>
        <v>0.53947368421052622</v>
      </c>
      <c r="AF62" s="555">
        <f t="shared" si="86"/>
        <v>1288.5187388459251</v>
      </c>
      <c r="AG62" s="538">
        <f t="shared" si="87"/>
        <v>0.15482894736842101</v>
      </c>
      <c r="AI62" s="177">
        <f t="shared" si="88"/>
        <v>1.6584559657935423</v>
      </c>
      <c r="AJ62" s="177">
        <f t="shared" si="89"/>
        <v>1.6584559657935423</v>
      </c>
      <c r="AK62" s="177">
        <f t="shared" si="90"/>
        <v>1.7589706438623613</v>
      </c>
      <c r="AM62" s="555">
        <f t="shared" si="91"/>
        <v>570</v>
      </c>
      <c r="AN62" s="469">
        <f t="shared" si="92"/>
        <v>350</v>
      </c>
      <c r="AP62">
        <f t="shared" si="93"/>
        <v>570</v>
      </c>
      <c r="AQ62">
        <f t="shared" si="94"/>
        <v>350</v>
      </c>
      <c r="AS62" s="5">
        <f t="shared" si="55"/>
        <v>2.8571428571428572</v>
      </c>
      <c r="AT62" s="5">
        <f t="shared" si="95"/>
        <v>0.48371632335644982</v>
      </c>
      <c r="AU62" s="5">
        <f t="shared" si="56"/>
        <v>2.3734265337864073</v>
      </c>
      <c r="AV62" s="5">
        <f t="shared" si="96"/>
        <v>1.0910894511799618</v>
      </c>
      <c r="AW62" s="177">
        <f t="shared" si="57"/>
        <v>0.16930071317475742</v>
      </c>
      <c r="AX62" s="177">
        <f t="shared" si="97"/>
        <v>3.369333333333334</v>
      </c>
      <c r="AY62" s="177">
        <f t="shared" si="98"/>
        <v>1.3776781880157645</v>
      </c>
      <c r="AZ62" s="177">
        <f t="shared" si="58"/>
        <v>2.4456606503918747</v>
      </c>
      <c r="BA62" s="469">
        <f t="shared" si="99"/>
        <v>100.52933910789432</v>
      </c>
      <c r="BB62" s="469">
        <f t="shared" si="100"/>
        <v>3.7338490299999991</v>
      </c>
      <c r="BC62" s="5">
        <f t="shared" si="101"/>
        <v>0.26096703785845904</v>
      </c>
      <c r="BD62" s="469">
        <f t="shared" si="102"/>
        <v>31.711877876348424</v>
      </c>
      <c r="BE62" s="5"/>
      <c r="BF62" s="177">
        <f t="shared" si="59"/>
        <v>0.39397867142685489</v>
      </c>
      <c r="BG62" s="177">
        <f t="shared" si="103"/>
        <v>1.7454010465060772</v>
      </c>
      <c r="BH62" s="177"/>
      <c r="BI62" s="538">
        <f t="shared" si="104"/>
        <v>1.7074111289319665E-2</v>
      </c>
      <c r="BJ62" s="538">
        <f t="shared" si="105"/>
        <v>0.10053560064640453</v>
      </c>
      <c r="BK62" s="538">
        <f t="shared" si="106"/>
        <v>1.7499999999999998E-2</v>
      </c>
      <c r="BL62" s="538">
        <f t="shared" si="107"/>
        <v>9.4494456000000004E-2</v>
      </c>
      <c r="BM62">
        <f t="shared" si="108"/>
        <v>6.96E-3</v>
      </c>
      <c r="BN62">
        <f t="shared" si="109"/>
        <v>6.6500000000000004E-5</v>
      </c>
      <c r="BO62" s="538">
        <f t="shared" si="110"/>
        <v>0.23969074038622332</v>
      </c>
      <c r="BP62" s="469">
        <f t="shared" si="60"/>
        <v>239.69074038622333</v>
      </c>
      <c r="BQ62" s="538">
        <f t="shared" si="111"/>
        <v>0.45048685572424058</v>
      </c>
      <c r="BR62" s="538"/>
      <c r="BT62" s="469">
        <f t="shared" si="61"/>
        <v>450.48685572424057</v>
      </c>
      <c r="BU62" s="538">
        <f t="shared" si="112"/>
        <v>1.552191935392697E-2</v>
      </c>
      <c r="BV62" s="538">
        <f t="shared" si="113"/>
        <v>9.1392744394335285E-2</v>
      </c>
      <c r="BW62" s="538">
        <f t="shared" si="114"/>
        <v>0</v>
      </c>
      <c r="BX62" s="538">
        <f t="shared" si="115"/>
        <v>0.12077745386754331</v>
      </c>
      <c r="BY62" s="538">
        <f t="shared" si="116"/>
        <v>4.8133333333333347E-2</v>
      </c>
      <c r="BZ62" s="469">
        <f t="shared" si="62"/>
        <v>168.91078720087665</v>
      </c>
      <c r="CA62" s="177">
        <f t="shared" si="63"/>
        <v>0.85908838331134063</v>
      </c>
      <c r="CB62" s="5">
        <f t="shared" si="64"/>
        <v>2.8499999999999996</v>
      </c>
      <c r="CC62" s="177">
        <f t="shared" si="65"/>
        <v>0.76838287618684953</v>
      </c>
      <c r="CD62" s="5">
        <f t="shared" si="66"/>
        <v>76.838287618684959</v>
      </c>
      <c r="CG62" s="571">
        <f t="shared" si="117"/>
        <v>-50</v>
      </c>
      <c r="CH62">
        <f t="shared" si="118"/>
        <v>-50</v>
      </c>
    </row>
    <row r="63" spans="5:86" x14ac:dyDescent="0.2">
      <c r="E63" s="174">
        <v>58</v>
      </c>
      <c r="F63" s="221">
        <f t="shared" si="119"/>
        <v>0.57999999999999996</v>
      </c>
      <c r="G63" s="221"/>
      <c r="H63" s="221">
        <f t="shared" si="67"/>
        <v>2.9</v>
      </c>
      <c r="I63" s="551">
        <f t="shared" si="68"/>
        <v>24</v>
      </c>
      <c r="J63" s="176">
        <f t="shared" si="69"/>
        <v>10.64</v>
      </c>
      <c r="K63" s="451">
        <f t="shared" si="70"/>
        <v>34.64</v>
      </c>
      <c r="L63" s="451"/>
      <c r="M63" s="221">
        <f t="shared" si="71"/>
        <v>0.30715935334872979</v>
      </c>
      <c r="N63" s="176">
        <f t="shared" si="72"/>
        <v>13.601016166281754</v>
      </c>
      <c r="O63" s="176">
        <f t="shared" si="53"/>
        <v>2.9</v>
      </c>
      <c r="P63" s="221">
        <f t="shared" si="73"/>
        <v>2.7202032332563508</v>
      </c>
      <c r="Q63" s="221">
        <f t="shared" si="74"/>
        <v>5</v>
      </c>
      <c r="R63" s="221">
        <f t="shared" si="75"/>
        <v>3.0224480369515008</v>
      </c>
      <c r="S63" s="176">
        <f t="shared" si="76"/>
        <v>64.404156285418779</v>
      </c>
      <c r="T63" s="176">
        <f t="shared" si="77"/>
        <v>5</v>
      </c>
      <c r="U63" s="221">
        <f t="shared" si="78"/>
        <v>0.87419938735728209</v>
      </c>
      <c r="V63" s="221">
        <f t="shared" si="79"/>
        <v>0.25497482131254062</v>
      </c>
      <c r="W63" s="221">
        <f t="shared" si="80"/>
        <v>0.57513117589294871</v>
      </c>
      <c r="X63" s="201">
        <f t="shared" si="81"/>
        <v>350</v>
      </c>
      <c r="Y63" s="451">
        <f t="shared" si="54"/>
        <v>350</v>
      </c>
      <c r="AA63" s="221">
        <f t="shared" si="82"/>
        <v>3.0089079511712309</v>
      </c>
      <c r="AB63" s="177">
        <f t="shared" si="83"/>
        <v>1.9795447047179149</v>
      </c>
      <c r="AC63" s="177">
        <f t="shared" si="84"/>
        <v>2.0846937306036244</v>
      </c>
      <c r="AD63" s="177"/>
      <c r="AE63" s="177">
        <f t="shared" si="85"/>
        <v>0.53947368421052622</v>
      </c>
      <c r="AF63" s="555">
        <f t="shared" si="86"/>
        <v>1311.124330755503</v>
      </c>
      <c r="AG63" s="538">
        <f t="shared" si="87"/>
        <v>0.15482894736842101</v>
      </c>
      <c r="AI63" s="177">
        <f t="shared" si="88"/>
        <v>1.6729405723844941</v>
      </c>
      <c r="AJ63" s="177">
        <f t="shared" si="89"/>
        <v>1.6729405723844941</v>
      </c>
      <c r="AK63" s="177">
        <f t="shared" si="90"/>
        <v>1.7686270482563295</v>
      </c>
      <c r="AM63" s="555">
        <f t="shared" si="91"/>
        <v>580</v>
      </c>
      <c r="AN63" s="469">
        <f t="shared" si="92"/>
        <v>350</v>
      </c>
      <c r="AP63">
        <f t="shared" si="93"/>
        <v>580</v>
      </c>
      <c r="AQ63">
        <f t="shared" si="94"/>
        <v>350</v>
      </c>
      <c r="AS63" s="5">
        <f t="shared" si="55"/>
        <v>2.8571428571428572</v>
      </c>
      <c r="AT63" s="5">
        <f t="shared" si="95"/>
        <v>0.48794100027881082</v>
      </c>
      <c r="AU63" s="5">
        <f t="shared" si="56"/>
        <v>2.3692018568640463</v>
      </c>
      <c r="AV63" s="5">
        <f t="shared" si="96"/>
        <v>1.1006187976213777</v>
      </c>
      <c r="AW63" s="177">
        <f t="shared" si="57"/>
        <v>0.17077935009758377</v>
      </c>
      <c r="AX63" s="177">
        <f t="shared" si="97"/>
        <v>3.4284444444444446</v>
      </c>
      <c r="AY63" s="177">
        <f t="shared" si="98"/>
        <v>1.3872368686807903</v>
      </c>
      <c r="AZ63" s="177">
        <f t="shared" si="58"/>
        <v>2.4714196413369298</v>
      </c>
      <c r="BA63" s="469">
        <f t="shared" si="99"/>
        <v>100.52933910789432</v>
      </c>
      <c r="BB63" s="469">
        <f t="shared" si="100"/>
        <v>3.8354841911111106</v>
      </c>
      <c r="BC63" s="5">
        <f t="shared" si="101"/>
        <v>0.26507273861519032</v>
      </c>
      <c r="BD63" s="469">
        <f t="shared" si="102"/>
        <v>32.211506411600624</v>
      </c>
      <c r="BE63" s="5"/>
      <c r="BF63" s="177">
        <f t="shared" si="59"/>
        <v>0.39915131533728077</v>
      </c>
      <c r="BG63" s="177">
        <f t="shared" si="103"/>
        <v>1.7590773494927066</v>
      </c>
      <c r="BH63" s="177"/>
      <c r="BI63" s="538">
        <f t="shared" si="104"/>
        <v>1.7525394978902948E-2</v>
      </c>
      <c r="BJ63" s="538">
        <f t="shared" si="105"/>
        <v>0.10141365749794803</v>
      </c>
      <c r="BK63" s="538">
        <f t="shared" si="106"/>
        <v>1.7499999999999998E-2</v>
      </c>
      <c r="BL63" s="538">
        <f t="shared" si="107"/>
        <v>9.4494456000000004E-2</v>
      </c>
      <c r="BM63">
        <f t="shared" si="108"/>
        <v>6.96E-3</v>
      </c>
      <c r="BN63">
        <f t="shared" si="109"/>
        <v>6.6500000000000004E-5</v>
      </c>
      <c r="BO63" s="538">
        <f t="shared" si="110"/>
        <v>0.24110553596777365</v>
      </c>
      <c r="BP63" s="469">
        <f t="shared" si="60"/>
        <v>241.10553596777365</v>
      </c>
      <c r="BQ63" s="538">
        <f t="shared" si="111"/>
        <v>0.45796857848246902</v>
      </c>
      <c r="BR63" s="538"/>
      <c r="BT63" s="469">
        <f t="shared" si="61"/>
        <v>457.96857848246901</v>
      </c>
      <c r="BU63" s="538">
        <f t="shared" si="112"/>
        <v>1.5932177253548136E-2</v>
      </c>
      <c r="BV63" s="538">
        <f t="shared" si="113"/>
        <v>9.283059364494857E-2</v>
      </c>
      <c r="BW63" s="538">
        <f t="shared" si="114"/>
        <v>0</v>
      </c>
      <c r="BX63" s="538">
        <f t="shared" si="115"/>
        <v>0.12288351553813034</v>
      </c>
      <c r="BY63" s="538">
        <f t="shared" si="116"/>
        <v>4.8977777777777787E-2</v>
      </c>
      <c r="BZ63" s="469">
        <f t="shared" si="62"/>
        <v>171.86129331590814</v>
      </c>
      <c r="CA63" s="177">
        <f t="shared" si="63"/>
        <v>0.87093540776615086</v>
      </c>
      <c r="CB63" s="5">
        <f t="shared" si="64"/>
        <v>2.9</v>
      </c>
      <c r="CC63" s="177">
        <f t="shared" si="65"/>
        <v>0.76903995598214692</v>
      </c>
      <c r="CD63" s="5">
        <f t="shared" si="66"/>
        <v>76.903995598214692</v>
      </c>
      <c r="CG63" s="571">
        <f t="shared" si="117"/>
        <v>-50</v>
      </c>
      <c r="CH63">
        <f t="shared" si="118"/>
        <v>-50</v>
      </c>
    </row>
    <row r="64" spans="5:86" x14ac:dyDescent="0.2">
      <c r="E64" s="174">
        <v>59</v>
      </c>
      <c r="F64" s="221">
        <f t="shared" si="119"/>
        <v>0.59</v>
      </c>
      <c r="G64" s="221"/>
      <c r="H64" s="221">
        <f t="shared" si="67"/>
        <v>2.9499999999999997</v>
      </c>
      <c r="I64" s="551">
        <f t="shared" si="68"/>
        <v>24</v>
      </c>
      <c r="J64" s="176">
        <f t="shared" si="69"/>
        <v>10.64</v>
      </c>
      <c r="K64" s="451">
        <f t="shared" si="70"/>
        <v>34.64</v>
      </c>
      <c r="L64" s="451"/>
      <c r="M64" s="221">
        <f t="shared" si="71"/>
        <v>0.30715935334872979</v>
      </c>
      <c r="N64" s="176">
        <f t="shared" si="72"/>
        <v>13.601016166281754</v>
      </c>
      <c r="O64" s="176">
        <f t="shared" si="53"/>
        <v>2.9499999999999997</v>
      </c>
      <c r="P64" s="221">
        <f t="shared" si="73"/>
        <v>2.7202032332563508</v>
      </c>
      <c r="Q64" s="221">
        <f t="shared" si="74"/>
        <v>5</v>
      </c>
      <c r="R64" s="221">
        <f t="shared" si="75"/>
        <v>3.0224480369515008</v>
      </c>
      <c r="S64" s="176">
        <f t="shared" si="76"/>
        <v>63.111385312524654</v>
      </c>
      <c r="T64" s="176">
        <f t="shared" si="77"/>
        <v>5</v>
      </c>
      <c r="U64" s="221">
        <f t="shared" si="78"/>
        <v>0.88927179058757999</v>
      </c>
      <c r="V64" s="221">
        <f t="shared" si="79"/>
        <v>0.25937093892137747</v>
      </c>
      <c r="W64" s="221">
        <f t="shared" si="80"/>
        <v>0.58504723064972364</v>
      </c>
      <c r="X64" s="201">
        <f t="shared" si="81"/>
        <v>350</v>
      </c>
      <c r="Y64" s="451">
        <f t="shared" si="54"/>
        <v>350</v>
      </c>
      <c r="AA64" s="221">
        <f t="shared" si="82"/>
        <v>3.0089079511712309</v>
      </c>
      <c r="AB64" s="177">
        <f t="shared" si="83"/>
        <v>1.9795447047179149</v>
      </c>
      <c r="AC64" s="177">
        <f t="shared" si="84"/>
        <v>2.0846937306036244</v>
      </c>
      <c r="AD64" s="177"/>
      <c r="AE64" s="177">
        <f t="shared" si="85"/>
        <v>0.53947368421052622</v>
      </c>
      <c r="AF64" s="555">
        <f t="shared" si="86"/>
        <v>1333.7299226650805</v>
      </c>
      <c r="AG64" s="538">
        <f t="shared" si="87"/>
        <v>0.15482894736842101</v>
      </c>
      <c r="AI64" s="177">
        <f t="shared" si="88"/>
        <v>1.6873008406873173</v>
      </c>
      <c r="AJ64" s="177">
        <f t="shared" si="89"/>
        <v>1.6873008406873173</v>
      </c>
      <c r="AK64" s="177">
        <f t="shared" si="90"/>
        <v>1.7782005604582114</v>
      </c>
      <c r="AM64" s="555">
        <f t="shared" si="91"/>
        <v>590</v>
      </c>
      <c r="AN64" s="469">
        <f t="shared" si="92"/>
        <v>350</v>
      </c>
      <c r="AP64">
        <f t="shared" si="93"/>
        <v>590</v>
      </c>
      <c r="AQ64">
        <f t="shared" si="94"/>
        <v>350</v>
      </c>
      <c r="AS64" s="5">
        <f t="shared" si="55"/>
        <v>2.8571428571428572</v>
      </c>
      <c r="AT64" s="5">
        <f t="shared" si="95"/>
        <v>0.49212941186713416</v>
      </c>
      <c r="AU64" s="5">
        <f t="shared" si="56"/>
        <v>2.3650134452757232</v>
      </c>
      <c r="AV64" s="5">
        <f t="shared" si="96"/>
        <v>1.1100663425574455</v>
      </c>
      <c r="AW64" s="177">
        <f t="shared" si="57"/>
        <v>0.17224529415349696</v>
      </c>
      <c r="AX64" s="177">
        <f t="shared" si="97"/>
        <v>3.4875555555555566</v>
      </c>
      <c r="AY64" s="177">
        <f t="shared" si="98"/>
        <v>1.3966712110576875</v>
      </c>
      <c r="AZ64" s="177">
        <f t="shared" si="58"/>
        <v>2.4970483589437342</v>
      </c>
      <c r="BA64" s="469">
        <f t="shared" si="99"/>
        <v>100.52933910789432</v>
      </c>
      <c r="BB64" s="469">
        <f t="shared" si="100"/>
        <v>3.9383651811111111</v>
      </c>
      <c r="BC64" s="5">
        <f t="shared" si="101"/>
        <v>0.26916626788438969</v>
      </c>
      <c r="BD64" s="469">
        <f t="shared" si="102"/>
        <v>32.709674368348999</v>
      </c>
      <c r="BE64" s="5"/>
      <c r="BF64" s="177">
        <f t="shared" si="59"/>
        <v>0.40430171011375393</v>
      </c>
      <c r="BG64" s="177">
        <f t="shared" si="103"/>
        <v>1.772608062933037</v>
      </c>
      <c r="BH64" s="177"/>
      <c r="BI64" s="538">
        <f t="shared" si="104"/>
        <v>1.7980586008099653E-2</v>
      </c>
      <c r="BJ64" s="538">
        <f t="shared" si="105"/>
        <v>0.1022841769624652</v>
      </c>
      <c r="BK64" s="538">
        <f t="shared" si="106"/>
        <v>1.7499999999999998E-2</v>
      </c>
      <c r="BL64" s="538">
        <f t="shared" si="107"/>
        <v>9.4494456000000004E-2</v>
      </c>
      <c r="BM64">
        <f t="shared" si="108"/>
        <v>6.96E-3</v>
      </c>
      <c r="BN64">
        <f t="shared" si="109"/>
        <v>6.6500000000000004E-5</v>
      </c>
      <c r="BO64" s="538">
        <f t="shared" si="110"/>
        <v>0.24251763046301059</v>
      </c>
      <c r="BP64" s="469">
        <f t="shared" si="60"/>
        <v>242.51763046301059</v>
      </c>
      <c r="BQ64" s="538">
        <f t="shared" si="111"/>
        <v>0.46543944594082631</v>
      </c>
      <c r="BR64" s="538"/>
      <c r="BT64" s="469">
        <f t="shared" si="61"/>
        <v>465.43944594082632</v>
      </c>
      <c r="BU64" s="538">
        <f t="shared" si="112"/>
        <v>1.6345987280090592E-2</v>
      </c>
      <c r="BV64" s="538">
        <f t="shared" si="113"/>
        <v>9.4264180343256398E-2</v>
      </c>
      <c r="BW64" s="538">
        <f t="shared" si="114"/>
        <v>0</v>
      </c>
      <c r="BX64" s="538">
        <f t="shared" si="115"/>
        <v>0.12498939557782901</v>
      </c>
      <c r="BY64" s="538">
        <f t="shared" si="116"/>
        <v>4.9822222222222247E-2</v>
      </c>
      <c r="BZ64" s="469">
        <f t="shared" si="62"/>
        <v>174.81161780005124</v>
      </c>
      <c r="CA64" s="177">
        <f t="shared" si="63"/>
        <v>0.88276869420388815</v>
      </c>
      <c r="CB64" s="5">
        <f t="shared" si="64"/>
        <v>2.9499999999999997</v>
      </c>
      <c r="CC64" s="177">
        <f t="shared" si="65"/>
        <v>0.7696785888647919</v>
      </c>
      <c r="CD64" s="5">
        <f t="shared" si="66"/>
        <v>76.967858886479192</v>
      </c>
      <c r="CG64" s="571">
        <f t="shared" si="117"/>
        <v>-50</v>
      </c>
      <c r="CH64">
        <f t="shared" si="118"/>
        <v>-50</v>
      </c>
    </row>
    <row r="65" spans="5:86" x14ac:dyDescent="0.2">
      <c r="E65" s="174">
        <v>60</v>
      </c>
      <c r="F65" s="221">
        <f t="shared" si="119"/>
        <v>0.6</v>
      </c>
      <c r="G65" s="221"/>
      <c r="H65" s="221">
        <f t="shared" si="67"/>
        <v>3</v>
      </c>
      <c r="I65" s="551">
        <f t="shared" si="68"/>
        <v>24</v>
      </c>
      <c r="J65" s="176">
        <f t="shared" si="69"/>
        <v>10.64</v>
      </c>
      <c r="K65" s="451">
        <f t="shared" si="70"/>
        <v>34.64</v>
      </c>
      <c r="L65" s="451"/>
      <c r="M65" s="221">
        <f t="shared" si="71"/>
        <v>0.30715935334872979</v>
      </c>
      <c r="N65" s="176">
        <f t="shared" si="72"/>
        <v>13.601016166281754</v>
      </c>
      <c r="O65" s="176">
        <f t="shared" si="53"/>
        <v>3</v>
      </c>
      <c r="P65" s="221">
        <f t="shared" si="73"/>
        <v>2.7202032332563508</v>
      </c>
      <c r="Q65" s="221">
        <f t="shared" si="74"/>
        <v>5</v>
      </c>
      <c r="R65" s="221">
        <f t="shared" si="75"/>
        <v>3.0224480369515008</v>
      </c>
      <c r="S65" s="176">
        <f t="shared" si="76"/>
        <v>61.861754449259443</v>
      </c>
      <c r="T65" s="176">
        <f t="shared" si="77"/>
        <v>5</v>
      </c>
      <c r="U65" s="221">
        <f t="shared" si="78"/>
        <v>0.90434419381787801</v>
      </c>
      <c r="V65" s="221">
        <f t="shared" si="79"/>
        <v>0.26376705653021443</v>
      </c>
      <c r="W65" s="221">
        <f t="shared" si="80"/>
        <v>0.59496328540649868</v>
      </c>
      <c r="X65" s="201">
        <f t="shared" si="81"/>
        <v>350</v>
      </c>
      <c r="Y65" s="451">
        <f t="shared" si="54"/>
        <v>350</v>
      </c>
      <c r="AA65" s="221">
        <f t="shared" si="82"/>
        <v>3.0089079511712309</v>
      </c>
      <c r="AB65" s="177">
        <f t="shared" si="83"/>
        <v>1.9795447047179149</v>
      </c>
      <c r="AC65" s="177">
        <f t="shared" si="84"/>
        <v>2.0846937306036244</v>
      </c>
      <c r="AD65" s="177"/>
      <c r="AE65" s="177">
        <f t="shared" si="85"/>
        <v>0.53947368421052622</v>
      </c>
      <c r="AF65" s="555">
        <f t="shared" si="86"/>
        <v>1356.3355145746582</v>
      </c>
      <c r="AG65" s="538">
        <f t="shared" si="87"/>
        <v>0.15482894736842101</v>
      </c>
      <c r="AI65" s="177">
        <f t="shared" si="88"/>
        <v>1.701539918790651</v>
      </c>
      <c r="AJ65" s="177">
        <f t="shared" si="89"/>
        <v>1.701539918790651</v>
      </c>
      <c r="AK65" s="177">
        <f t="shared" si="90"/>
        <v>1.7876932791937672</v>
      </c>
      <c r="AM65" s="555">
        <f t="shared" si="91"/>
        <v>600</v>
      </c>
      <c r="AN65" s="469">
        <f t="shared" si="92"/>
        <v>350</v>
      </c>
      <c r="AP65">
        <f t="shared" si="93"/>
        <v>600</v>
      </c>
      <c r="AQ65">
        <f t="shared" si="94"/>
        <v>350</v>
      </c>
      <c r="AS65" s="5">
        <f t="shared" si="55"/>
        <v>2.8571428571428572</v>
      </c>
      <c r="AT65" s="5">
        <f t="shared" si="95"/>
        <v>0.4962824763139399</v>
      </c>
      <c r="AU65" s="5">
        <f t="shared" si="56"/>
        <v>2.3608603808289175</v>
      </c>
      <c r="AV65" s="5">
        <f t="shared" si="96"/>
        <v>1.1194341570991126</v>
      </c>
      <c r="AW65" s="177">
        <f t="shared" si="57"/>
        <v>0.17369886670987897</v>
      </c>
      <c r="AX65" s="177">
        <f t="shared" si="97"/>
        <v>3.5466666666666669</v>
      </c>
      <c r="AY65" s="177">
        <f t="shared" si="98"/>
        <v>1.4059843632350955</v>
      </c>
      <c r="AZ65" s="177">
        <f t="shared" si="58"/>
        <v>2.5225505769537686</v>
      </c>
      <c r="BA65" s="469">
        <f t="shared" si="99"/>
        <v>100.52933910789432</v>
      </c>
      <c r="BB65" s="469">
        <f t="shared" si="100"/>
        <v>4.0424919999999993</v>
      </c>
      <c r="BC65" s="5">
        <f t="shared" si="101"/>
        <v>0.2732477292626061</v>
      </c>
      <c r="BD65" s="469">
        <f t="shared" si="102"/>
        <v>33.206394178179416</v>
      </c>
      <c r="BE65" s="5"/>
      <c r="BF65" s="177">
        <f t="shared" si="59"/>
        <v>0.40943032618429137</v>
      </c>
      <c r="BG65" s="177">
        <f t="shared" si="103"/>
        <v>1.7859968343532862</v>
      </c>
      <c r="BH65" s="177"/>
      <c r="BI65" s="538">
        <f t="shared" si="104"/>
        <v>1.8439651119931275E-2</v>
      </c>
      <c r="BJ65" s="538">
        <f t="shared" si="105"/>
        <v>0.10314734987708929</v>
      </c>
      <c r="BK65" s="538">
        <f t="shared" si="106"/>
        <v>1.7499999999999998E-2</v>
      </c>
      <c r="BL65" s="538">
        <f t="shared" si="107"/>
        <v>9.4494456000000004E-2</v>
      </c>
      <c r="BM65">
        <f t="shared" si="108"/>
        <v>6.96E-3</v>
      </c>
      <c r="BN65">
        <f t="shared" si="109"/>
        <v>6.6500000000000004E-5</v>
      </c>
      <c r="BO65" s="538">
        <f t="shared" si="110"/>
        <v>0.24392717836470459</v>
      </c>
      <c r="BP65" s="469">
        <f t="shared" si="60"/>
        <v>243.92717836470459</v>
      </c>
      <c r="BQ65" s="538">
        <f t="shared" si="111"/>
        <v>0.47289955049324495</v>
      </c>
      <c r="BR65" s="538"/>
      <c r="BT65" s="469">
        <f t="shared" si="61"/>
        <v>472.89955049324493</v>
      </c>
      <c r="BU65" s="538">
        <f t="shared" si="112"/>
        <v>1.6763319199937524E-2</v>
      </c>
      <c r="BV65" s="538">
        <f t="shared" si="113"/>
        <v>9.5693540769598781E-2</v>
      </c>
      <c r="BW65" s="538">
        <f t="shared" si="114"/>
        <v>0</v>
      </c>
      <c r="BX65" s="538">
        <f t="shared" si="115"/>
        <v>0.12709510043891051</v>
      </c>
      <c r="BY65" s="538">
        <f t="shared" si="116"/>
        <v>5.0666666666666665E-2</v>
      </c>
      <c r="BZ65" s="469">
        <f t="shared" si="62"/>
        <v>177.76176710557718</v>
      </c>
      <c r="CA65" s="177">
        <f t="shared" si="63"/>
        <v>0.89458849596352663</v>
      </c>
      <c r="CB65" s="5">
        <f t="shared" si="64"/>
        <v>3</v>
      </c>
      <c r="CC65" s="177">
        <f t="shared" si="65"/>
        <v>0.77029961011523906</v>
      </c>
      <c r="CD65" s="5">
        <f t="shared" si="66"/>
        <v>77.029961011523909</v>
      </c>
      <c r="CG65" s="571">
        <f t="shared" si="117"/>
        <v>-50</v>
      </c>
      <c r="CH65">
        <f t="shared" si="118"/>
        <v>-50</v>
      </c>
    </row>
    <row r="66" spans="5:86" x14ac:dyDescent="0.2">
      <c r="E66" s="174">
        <v>61</v>
      </c>
      <c r="F66" s="221">
        <f t="shared" si="119"/>
        <v>0.61</v>
      </c>
      <c r="G66" s="221"/>
      <c r="H66" s="221">
        <f t="shared" si="67"/>
        <v>3.05</v>
      </c>
      <c r="I66" s="551">
        <f t="shared" si="68"/>
        <v>24</v>
      </c>
      <c r="J66" s="176">
        <f t="shared" si="69"/>
        <v>10.64</v>
      </c>
      <c r="K66" s="451">
        <f t="shared" si="70"/>
        <v>34.64</v>
      </c>
      <c r="L66" s="451"/>
      <c r="M66" s="221">
        <f t="shared" si="71"/>
        <v>0.30715935334872979</v>
      </c>
      <c r="N66" s="176">
        <f t="shared" si="72"/>
        <v>13.601016166281754</v>
      </c>
      <c r="O66" s="176">
        <f t="shared" si="53"/>
        <v>3.05</v>
      </c>
      <c r="P66" s="221">
        <f t="shared" si="73"/>
        <v>2.7202032332563508</v>
      </c>
      <c r="Q66" s="221">
        <f t="shared" si="74"/>
        <v>5</v>
      </c>
      <c r="R66" s="221">
        <f t="shared" si="75"/>
        <v>3.0224480369515008</v>
      </c>
      <c r="S66" s="176">
        <f t="shared" si="76"/>
        <v>60.653142482745054</v>
      </c>
      <c r="T66" s="176">
        <f t="shared" si="77"/>
        <v>5</v>
      </c>
      <c r="U66" s="221">
        <f t="shared" si="78"/>
        <v>0.91941659704817591</v>
      </c>
      <c r="V66" s="221">
        <f t="shared" si="79"/>
        <v>0.26816317413905127</v>
      </c>
      <c r="W66" s="221">
        <f t="shared" si="80"/>
        <v>0.6048793401632736</v>
      </c>
      <c r="X66" s="201">
        <f t="shared" si="81"/>
        <v>350</v>
      </c>
      <c r="Y66" s="451">
        <f t="shared" si="54"/>
        <v>350</v>
      </c>
      <c r="AA66" s="221">
        <f t="shared" si="82"/>
        <v>3.0089079511712309</v>
      </c>
      <c r="AB66" s="177">
        <f t="shared" si="83"/>
        <v>1.9795447047179149</v>
      </c>
      <c r="AC66" s="177">
        <f t="shared" si="84"/>
        <v>2.0846937306036244</v>
      </c>
      <c r="AD66" s="177"/>
      <c r="AE66" s="177">
        <f t="shared" si="85"/>
        <v>0.53947368421052622</v>
      </c>
      <c r="AF66" s="555">
        <f t="shared" si="86"/>
        <v>1378.9411064842357</v>
      </c>
      <c r="AG66" s="538">
        <f t="shared" si="87"/>
        <v>0.15482894736842101</v>
      </c>
      <c r="AI66" s="177">
        <f t="shared" si="88"/>
        <v>1.7156608241409674</v>
      </c>
      <c r="AJ66" s="177">
        <f t="shared" si="89"/>
        <v>1.7156608241409674</v>
      </c>
      <c r="AK66" s="177">
        <f t="shared" si="90"/>
        <v>1.7971072160939783</v>
      </c>
      <c r="AM66" s="555">
        <f t="shared" si="91"/>
        <v>610</v>
      </c>
      <c r="AN66" s="469">
        <f t="shared" si="92"/>
        <v>350</v>
      </c>
      <c r="AP66">
        <f t="shared" si="93"/>
        <v>610</v>
      </c>
      <c r="AQ66">
        <f t="shared" si="94"/>
        <v>350</v>
      </c>
      <c r="AS66" s="5">
        <f t="shared" si="55"/>
        <v>2.8571428571428572</v>
      </c>
      <c r="AT66" s="5">
        <f t="shared" si="95"/>
        <v>0.5004010737077822</v>
      </c>
      <c r="AU66" s="5">
        <f t="shared" si="56"/>
        <v>2.356741783435075</v>
      </c>
      <c r="AV66" s="5">
        <f t="shared" si="96"/>
        <v>1.1287242264085311</v>
      </c>
      <c r="AW66" s="177">
        <f t="shared" si="57"/>
        <v>0.17514037579772376</v>
      </c>
      <c r="AX66" s="177">
        <f t="shared" si="97"/>
        <v>3.6057777777777775</v>
      </c>
      <c r="AY66" s="177">
        <f t="shared" si="98"/>
        <v>1.4151793426594859</v>
      </c>
      <c r="AZ66" s="177">
        <f t="shared" si="58"/>
        <v>2.5479299118383074</v>
      </c>
      <c r="BA66" s="469">
        <f t="shared" si="99"/>
        <v>100.52933910789432</v>
      </c>
      <c r="BB66" s="469">
        <f t="shared" si="100"/>
        <v>4.1478646477777783</v>
      </c>
      <c r="BC66" s="5">
        <f t="shared" si="101"/>
        <v>0.27731722374525375</v>
      </c>
      <c r="BD66" s="469">
        <f t="shared" si="102"/>
        <v>33.701677960541559</v>
      </c>
      <c r="BE66" s="5"/>
      <c r="BF66" s="177">
        <f t="shared" si="59"/>
        <v>0.41453761637018233</v>
      </c>
      <c r="BG66" s="177">
        <f t="shared" si="103"/>
        <v>1.7992471600957425</v>
      </c>
      <c r="BH66" s="177"/>
      <c r="BI66" s="538">
        <f t="shared" si="104"/>
        <v>1.8902557892445972E-2</v>
      </c>
      <c r="BJ66" s="538">
        <f t="shared" si="105"/>
        <v>0.10400335915942546</v>
      </c>
      <c r="BK66" s="538">
        <f t="shared" si="106"/>
        <v>1.7499999999999998E-2</v>
      </c>
      <c r="BL66" s="538">
        <f t="shared" si="107"/>
        <v>9.4494456000000004E-2</v>
      </c>
      <c r="BM66">
        <f t="shared" si="108"/>
        <v>6.96E-3</v>
      </c>
      <c r="BN66">
        <f t="shared" si="109"/>
        <v>6.6500000000000004E-5</v>
      </c>
      <c r="BO66" s="538">
        <f t="shared" si="110"/>
        <v>0.24533432721397586</v>
      </c>
      <c r="BP66" s="469">
        <f t="shared" si="60"/>
        <v>245.33432721397585</v>
      </c>
      <c r="BQ66" s="538">
        <f t="shared" si="111"/>
        <v>0.48034898221380223</v>
      </c>
      <c r="BR66" s="538"/>
      <c r="BT66" s="469">
        <f t="shared" si="61"/>
        <v>480.34898221380223</v>
      </c>
      <c r="BU66" s="538">
        <f t="shared" si="112"/>
        <v>1.7184143538587247E-2</v>
      </c>
      <c r="BV66" s="538">
        <f t="shared" si="113"/>
        <v>9.7118710293377833E-2</v>
      </c>
      <c r="BW66" s="538">
        <f t="shared" si="114"/>
        <v>0</v>
      </c>
      <c r="BX66" s="538">
        <f t="shared" si="115"/>
        <v>0.12920063640847246</v>
      </c>
      <c r="BY66" s="538">
        <f t="shared" si="116"/>
        <v>5.1511111111111119E-2</v>
      </c>
      <c r="BZ66" s="469">
        <f t="shared" si="62"/>
        <v>180.71174751958358</v>
      </c>
      <c r="CA66" s="177">
        <f t="shared" si="63"/>
        <v>0.90639505694736178</v>
      </c>
      <c r="CB66" s="5">
        <f t="shared" si="64"/>
        <v>3.05</v>
      </c>
      <c r="CC66" s="177">
        <f t="shared" si="65"/>
        <v>0.77090380411942239</v>
      </c>
      <c r="CD66" s="5">
        <f t="shared" si="66"/>
        <v>77.090380411942235</v>
      </c>
      <c r="CG66" s="571">
        <f t="shared" si="117"/>
        <v>-50</v>
      </c>
      <c r="CH66">
        <f t="shared" si="118"/>
        <v>-50</v>
      </c>
    </row>
    <row r="67" spans="5:86" x14ac:dyDescent="0.2">
      <c r="E67" s="174">
        <v>62</v>
      </c>
      <c r="F67" s="221">
        <f t="shared" si="119"/>
        <v>0.62</v>
      </c>
      <c r="G67" s="221"/>
      <c r="H67" s="221">
        <f t="shared" si="67"/>
        <v>3.1</v>
      </c>
      <c r="I67" s="551">
        <f t="shared" si="68"/>
        <v>24</v>
      </c>
      <c r="J67" s="176">
        <f t="shared" si="69"/>
        <v>10.64</v>
      </c>
      <c r="K67" s="451">
        <f t="shared" si="70"/>
        <v>34.64</v>
      </c>
      <c r="L67" s="451"/>
      <c r="M67" s="221">
        <f t="shared" si="71"/>
        <v>0.30715935334872979</v>
      </c>
      <c r="N67" s="176">
        <f t="shared" si="72"/>
        <v>13.601016166281754</v>
      </c>
      <c r="O67" s="176">
        <f t="shared" si="53"/>
        <v>3.1</v>
      </c>
      <c r="P67" s="221">
        <f t="shared" si="73"/>
        <v>2.7202032332563508</v>
      </c>
      <c r="Q67" s="221">
        <f t="shared" si="74"/>
        <v>5</v>
      </c>
      <c r="R67" s="221">
        <f t="shared" si="75"/>
        <v>3.0224480369515008</v>
      </c>
      <c r="S67" s="176">
        <f t="shared" si="76"/>
        <v>59.483565057553726</v>
      </c>
      <c r="T67" s="176">
        <f t="shared" si="77"/>
        <v>5</v>
      </c>
      <c r="U67" s="221">
        <f t="shared" si="78"/>
        <v>0.93448900027847392</v>
      </c>
      <c r="V67" s="221">
        <f t="shared" si="79"/>
        <v>0.27255929174788823</v>
      </c>
      <c r="W67" s="221">
        <f t="shared" si="80"/>
        <v>0.61479539492004864</v>
      </c>
      <c r="X67" s="201">
        <f t="shared" si="81"/>
        <v>350</v>
      </c>
      <c r="Y67" s="451">
        <f t="shared" si="54"/>
        <v>350</v>
      </c>
      <c r="AA67" s="221">
        <f t="shared" si="82"/>
        <v>3.0089079511712309</v>
      </c>
      <c r="AB67" s="177">
        <f t="shared" si="83"/>
        <v>1.9795447047179149</v>
      </c>
      <c r="AC67" s="177">
        <f t="shared" si="84"/>
        <v>2.0846937306036244</v>
      </c>
      <c r="AD67" s="177"/>
      <c r="AE67" s="177">
        <f t="shared" si="85"/>
        <v>0.53947368421052622</v>
      </c>
      <c r="AF67" s="555">
        <f t="shared" si="86"/>
        <v>1401.5466983938134</v>
      </c>
      <c r="AG67" s="538">
        <f t="shared" si="87"/>
        <v>0.15482894736842101</v>
      </c>
      <c r="AI67" s="177">
        <f t="shared" si="88"/>
        <v>1.7296664510089892</v>
      </c>
      <c r="AJ67" s="177">
        <f t="shared" si="89"/>
        <v>1.7296664510089892</v>
      </c>
      <c r="AK67" s="177">
        <f t="shared" si="90"/>
        <v>1.8064443006726596</v>
      </c>
      <c r="AM67" s="555">
        <f t="shared" si="91"/>
        <v>620</v>
      </c>
      <c r="AN67" s="469">
        <f t="shared" si="92"/>
        <v>350</v>
      </c>
      <c r="AP67">
        <f t="shared" si="93"/>
        <v>620</v>
      </c>
      <c r="AQ67">
        <f t="shared" si="94"/>
        <v>350</v>
      </c>
      <c r="AS67" s="5">
        <f t="shared" si="55"/>
        <v>2.8571428571428572</v>
      </c>
      <c r="AT67" s="5">
        <f t="shared" si="95"/>
        <v>0.50448604821095511</v>
      </c>
      <c r="AU67" s="5">
        <f t="shared" si="56"/>
        <v>2.352656808931902</v>
      </c>
      <c r="AV67" s="5">
        <f t="shared" si="96"/>
        <v>1.1379384546111768</v>
      </c>
      <c r="AW67" s="177">
        <f t="shared" si="57"/>
        <v>0.17657011687383428</v>
      </c>
      <c r="AX67" s="177">
        <f t="shared" si="97"/>
        <v>3.6648888888888895</v>
      </c>
      <c r="AY67" s="177">
        <f t="shared" si="98"/>
        <v>1.4242590436015818</v>
      </c>
      <c r="AZ67" s="177">
        <f t="shared" si="58"/>
        <v>2.5731898318309678</v>
      </c>
      <c r="BA67" s="469">
        <f t="shared" si="99"/>
        <v>100.52933910789432</v>
      </c>
      <c r="BB67" s="469">
        <f t="shared" si="100"/>
        <v>4.2544831244444445</v>
      </c>
      <c r="BC67" s="5">
        <f t="shared" si="101"/>
        <v>0.2813748498336765</v>
      </c>
      <c r="BD67" s="469">
        <f t="shared" si="102"/>
        <v>34.195537535596749</v>
      </c>
      <c r="BE67" s="5"/>
      <c r="BF67" s="177">
        <f t="shared" si="59"/>
        <v>0.41962401682229244</v>
      </c>
      <c r="BG67" s="177">
        <f t="shared" si="103"/>
        <v>1.8123623939539264</v>
      </c>
      <c r="BH67" s="177"/>
      <c r="BI67" s="538">
        <f t="shared" si="104"/>
        <v>1.9369274704348315E-2</v>
      </c>
      <c r="BJ67" s="538">
        <f t="shared" si="105"/>
        <v>0.10485238026016493</v>
      </c>
      <c r="BK67" s="538">
        <f t="shared" si="106"/>
        <v>1.7499999999999998E-2</v>
      </c>
      <c r="BL67" s="538">
        <f t="shared" si="107"/>
        <v>9.4494456000000004E-2</v>
      </c>
      <c r="BM67">
        <f t="shared" si="108"/>
        <v>6.96E-3</v>
      </c>
      <c r="BN67">
        <f t="shared" si="109"/>
        <v>6.6500000000000004E-5</v>
      </c>
      <c r="BO67" s="538">
        <f t="shared" si="110"/>
        <v>0.24673921801314933</v>
      </c>
      <c r="BP67" s="469">
        <f t="shared" si="60"/>
        <v>246.73921801314933</v>
      </c>
      <c r="BQ67" s="538">
        <f t="shared" si="111"/>
        <v>0.48778782895220629</v>
      </c>
      <c r="BR67" s="538"/>
      <c r="BT67" s="469">
        <f t="shared" si="61"/>
        <v>487.78782895220627</v>
      </c>
      <c r="BU67" s="538">
        <f t="shared" si="112"/>
        <v>1.7608431549407558E-2</v>
      </c>
      <c r="BV67" s="538">
        <f t="shared" si="113"/>
        <v>9.8539723410552199E-2</v>
      </c>
      <c r="BW67" s="538">
        <f t="shared" si="114"/>
        <v>0</v>
      </c>
      <c r="BX67" s="538">
        <f t="shared" si="115"/>
        <v>0.1313060096153128</v>
      </c>
      <c r="BY67" s="538">
        <f t="shared" si="116"/>
        <v>5.2355555555555565E-2</v>
      </c>
      <c r="BZ67" s="469">
        <f t="shared" si="62"/>
        <v>183.66156517086839</v>
      </c>
      <c r="CA67" s="177">
        <f t="shared" si="63"/>
        <v>0.91818861213622405</v>
      </c>
      <c r="CB67" s="5">
        <f t="shared" si="64"/>
        <v>3.1</v>
      </c>
      <c r="CC67" s="177">
        <f t="shared" si="65"/>
        <v>0.77149190822874802</v>
      </c>
      <c r="CD67" s="5">
        <f t="shared" si="66"/>
        <v>77.1491908228748</v>
      </c>
      <c r="CG67" s="571">
        <f t="shared" si="117"/>
        <v>-50</v>
      </c>
      <c r="CH67">
        <f t="shared" si="118"/>
        <v>-50</v>
      </c>
    </row>
    <row r="68" spans="5:86" x14ac:dyDescent="0.2">
      <c r="E68" s="174">
        <v>63</v>
      </c>
      <c r="F68" s="221">
        <f t="shared" si="119"/>
        <v>0.63</v>
      </c>
      <c r="G68" s="221"/>
      <c r="H68" s="221">
        <f t="shared" si="67"/>
        <v>3.15</v>
      </c>
      <c r="I68" s="551">
        <f t="shared" si="68"/>
        <v>24</v>
      </c>
      <c r="J68" s="176">
        <f t="shared" si="69"/>
        <v>10.64</v>
      </c>
      <c r="K68" s="451">
        <f t="shared" si="70"/>
        <v>34.64</v>
      </c>
      <c r="L68" s="451"/>
      <c r="M68" s="221">
        <f t="shared" si="71"/>
        <v>0.30715935334872979</v>
      </c>
      <c r="N68" s="176">
        <f t="shared" si="72"/>
        <v>13.601016166281754</v>
      </c>
      <c r="O68" s="176">
        <f t="shared" si="53"/>
        <v>3.15</v>
      </c>
      <c r="P68" s="221">
        <f t="shared" si="73"/>
        <v>2.7202032332563508</v>
      </c>
      <c r="Q68" s="221">
        <f t="shared" si="74"/>
        <v>5</v>
      </c>
      <c r="R68" s="221">
        <f t="shared" si="75"/>
        <v>3.0224480369515008</v>
      </c>
      <c r="S68" s="176">
        <f t="shared" si="76"/>
        <v>58.351163814074901</v>
      </c>
      <c r="T68" s="176">
        <f t="shared" si="77"/>
        <v>5</v>
      </c>
      <c r="U68" s="221">
        <f t="shared" si="78"/>
        <v>0.94956140350877183</v>
      </c>
      <c r="V68" s="221">
        <f t="shared" si="79"/>
        <v>0.27695540935672508</v>
      </c>
      <c r="W68" s="221">
        <f t="shared" si="80"/>
        <v>0.62471144967682357</v>
      </c>
      <c r="X68" s="201">
        <f t="shared" si="81"/>
        <v>350</v>
      </c>
      <c r="Y68" s="451">
        <f t="shared" si="54"/>
        <v>350</v>
      </c>
      <c r="AA68" s="221">
        <f t="shared" si="82"/>
        <v>3.0089079511712309</v>
      </c>
      <c r="AB68" s="177">
        <f t="shared" si="83"/>
        <v>1.9795447047179149</v>
      </c>
      <c r="AC68" s="177">
        <f t="shared" si="84"/>
        <v>2.0846937306036244</v>
      </c>
      <c r="AD68" s="177"/>
      <c r="AE68" s="177">
        <f t="shared" si="85"/>
        <v>0.53947368421052622</v>
      </c>
      <c r="AF68" s="555">
        <f t="shared" si="86"/>
        <v>1424.1522903033913</v>
      </c>
      <c r="AG68" s="538">
        <f t="shared" si="87"/>
        <v>0.15482894736842101</v>
      </c>
      <c r="AI68" s="177">
        <f t="shared" si="88"/>
        <v>1.7435595774162693</v>
      </c>
      <c r="AJ68" s="177">
        <f t="shared" si="89"/>
        <v>1.7435595774162693</v>
      </c>
      <c r="AK68" s="177">
        <f t="shared" si="90"/>
        <v>1.8157063849441797</v>
      </c>
      <c r="AM68" s="555">
        <f t="shared" si="91"/>
        <v>630</v>
      </c>
      <c r="AN68" s="469">
        <f t="shared" si="92"/>
        <v>350</v>
      </c>
      <c r="AP68">
        <f t="shared" si="93"/>
        <v>630</v>
      </c>
      <c r="AQ68">
        <f t="shared" si="94"/>
        <v>350</v>
      </c>
      <c r="AS68" s="5">
        <f t="shared" si="55"/>
        <v>2.8571428571428572</v>
      </c>
      <c r="AT68" s="5">
        <f t="shared" si="95"/>
        <v>0.5085382100797452</v>
      </c>
      <c r="AU68" s="5">
        <f t="shared" si="56"/>
        <v>2.3486046470631119</v>
      </c>
      <c r="AV68" s="5">
        <f t="shared" si="96"/>
        <v>1.1470786693528088</v>
      </c>
      <c r="AW68" s="177">
        <f t="shared" si="57"/>
        <v>0.1779883735279108</v>
      </c>
      <c r="AX68" s="177">
        <f t="shared" si="97"/>
        <v>3.7239999999999993</v>
      </c>
      <c r="AY68" s="177">
        <f t="shared" si="98"/>
        <v>1.433226244082936</v>
      </c>
      <c r="AZ68" s="177">
        <f t="shared" si="58"/>
        <v>2.5983336653054643</v>
      </c>
      <c r="BA68" s="469">
        <f t="shared" si="99"/>
        <v>100.52933910789432</v>
      </c>
      <c r="BB68" s="469">
        <f t="shared" si="100"/>
        <v>4.3623474299999998</v>
      </c>
      <c r="BC68" s="5">
        <f t="shared" si="101"/>
        <v>0.28542070363614208</v>
      </c>
      <c r="BD68" s="469">
        <f t="shared" si="102"/>
        <v>34.687984436337054</v>
      </c>
      <c r="BE68" s="5"/>
      <c r="BF68" s="177">
        <f t="shared" si="59"/>
        <v>0.42468994789330278</v>
      </c>
      <c r="BG68" s="177">
        <f t="shared" si="103"/>
        <v>1.8253457551836221</v>
      </c>
      <c r="BH68" s="177"/>
      <c r="BI68" s="538">
        <f t="shared" si="104"/>
        <v>1.9839770702577784E-2</v>
      </c>
      <c r="BJ68" s="538">
        <f t="shared" si="105"/>
        <v>0.10569458158297425</v>
      </c>
      <c r="BK68" s="538">
        <f t="shared" si="106"/>
        <v>1.7499999999999998E-2</v>
      </c>
      <c r="BL68" s="538">
        <f t="shared" si="107"/>
        <v>9.4494456000000004E-2</v>
      </c>
      <c r="BM68">
        <f t="shared" si="108"/>
        <v>6.96E-3</v>
      </c>
      <c r="BN68">
        <f t="shared" si="109"/>
        <v>6.6500000000000004E-5</v>
      </c>
      <c r="BO68" s="538">
        <f t="shared" si="110"/>
        <v>0.24814198560813933</v>
      </c>
      <c r="BP68" s="469">
        <f t="shared" si="60"/>
        <v>248.14198560813932</v>
      </c>
      <c r="BQ68" s="538">
        <f t="shared" si="111"/>
        <v>0.49521617642386867</v>
      </c>
      <c r="BR68" s="538"/>
      <c r="BT68" s="469">
        <f t="shared" si="61"/>
        <v>495.21617642386866</v>
      </c>
      <c r="BU68" s="538">
        <f t="shared" si="112"/>
        <v>1.8036155184161625E-2</v>
      </c>
      <c r="BV68" s="538">
        <f t="shared" si="113"/>
        <v>9.9956613779006026E-2</v>
      </c>
      <c r="BW68" s="538">
        <f t="shared" si="114"/>
        <v>0</v>
      </c>
      <c r="BX68" s="538">
        <f t="shared" si="115"/>
        <v>0.13341122603641239</v>
      </c>
      <c r="BY68" s="538">
        <f t="shared" si="116"/>
        <v>5.319999999999999E-2</v>
      </c>
      <c r="BZ68" s="469">
        <f t="shared" si="62"/>
        <v>186.6112260364124</v>
      </c>
      <c r="CA68" s="177">
        <f t="shared" si="63"/>
        <v>0.92996938806842044</v>
      </c>
      <c r="CB68" s="5">
        <f t="shared" si="64"/>
        <v>3.15</v>
      </c>
      <c r="CC68" s="177">
        <f t="shared" si="65"/>
        <v>0.77206461627186485</v>
      </c>
      <c r="CD68" s="5">
        <f t="shared" si="66"/>
        <v>77.206461627186485</v>
      </c>
      <c r="CG68" s="571">
        <f t="shared" si="117"/>
        <v>-50</v>
      </c>
      <c r="CH68">
        <f t="shared" si="118"/>
        <v>-50</v>
      </c>
    </row>
    <row r="69" spans="5:86" x14ac:dyDescent="0.2">
      <c r="E69" s="174">
        <v>64</v>
      </c>
      <c r="F69" s="221">
        <f t="shared" si="119"/>
        <v>0.64</v>
      </c>
      <c r="G69" s="221"/>
      <c r="H69" s="221">
        <f t="shared" ref="H69:H100" si="120">F69*Vout</f>
        <v>3.2</v>
      </c>
      <c r="I69" s="551">
        <f t="shared" ref="I69:I105" si="121">Vin</f>
        <v>24</v>
      </c>
      <c r="J69" s="176">
        <f t="shared" ref="J69:J105" si="122">(T69+Vfwd1)*Nps</f>
        <v>10.64</v>
      </c>
      <c r="K69" s="451">
        <f t="shared" ref="K69:K105" si="123">(Vout+Vfwd1)*Nps+I69</f>
        <v>34.64</v>
      </c>
      <c r="L69" s="451"/>
      <c r="M69" s="221">
        <f t="shared" ref="M69:M105" si="124">(Vout+Vfwd1)*Nps/((Vout+Vfwd1)*Nps+I69)</f>
        <v>0.30715935334872979</v>
      </c>
      <c r="N69" s="176">
        <f t="shared" ref="N69:N100" si="125">M69*I69*Isw_max*0.5*Efficiency</f>
        <v>13.601016166281754</v>
      </c>
      <c r="O69" s="176">
        <f t="shared" si="53"/>
        <v>3.2</v>
      </c>
      <c r="P69" s="221">
        <f t="shared" ref="P69:P100" si="126">N69/Vout</f>
        <v>2.7202032332563508</v>
      </c>
      <c r="Q69" s="221">
        <f t="shared" ref="Q69:Q105" si="127">MIN(Vout,N69/F69)</f>
        <v>5</v>
      </c>
      <c r="R69" s="221">
        <f t="shared" ref="R69:R100" si="128">Isw_max/2*I69*Nps*(Q69+Vfwd1)/Q69/(I69+Nps*(Q69+Vfwd1))</f>
        <v>3.0224480369515008</v>
      </c>
      <c r="S69" s="176">
        <f t="shared" ref="S69:S105" si="129">(SQRT(Isw_max^2*Nps^2*I69^2+4*Isw_max*F69/Efficiency*(Nps^2*Vfwd1*I69-Nps*I69^2)+4*(F69/Efficiency)^2*Nps^2*Vfwd1^2+8*(F69/Efficiency)^2*Nps*Vfwd1*I69+4*(F69/Efficiency)^2*I69^2)-2*F69/Efficiency*I69-2*F69/Efficiency*Nps*Vfwd1+Isw_max*Nps*I69)/(4*F69/Efficiency*Nps)</f>
        <v>57.2541965451613</v>
      </c>
      <c r="T69" s="176">
        <f t="shared" ref="T69:T100" si="130">MIN(Vout, S69)</f>
        <v>5</v>
      </c>
      <c r="U69" s="221">
        <f t="shared" ref="U69:U105" si="131">MIN(2*Vout*F69/(Efficiency*I69*M69), Isw_max)</f>
        <v>0.96463380673906995</v>
      </c>
      <c r="V69" s="221">
        <f t="shared" ref="V69:V100" si="132">L*U69/I69*1000000</f>
        <v>0.28135152696556209</v>
      </c>
      <c r="W69" s="221">
        <f t="shared" ref="W69:W105" si="133">L*U69/J69*1000000</f>
        <v>0.63462750443359861</v>
      </c>
      <c r="X69" s="201">
        <f t="shared" ref="X69:X105" si="134">IF(1/((350000*L)*(1/I69+1/J69))&gt;Isw_min, 350, 0.001/((Isw_min*L)*(1/I69+1/J69)))</f>
        <v>350</v>
      </c>
      <c r="Y69" s="451">
        <f t="shared" si="54"/>
        <v>350</v>
      </c>
      <c r="AA69" s="221">
        <f t="shared" ref="AA69:AA105" si="135">1/((X69*1000*L)*(1/I69+1/J69))</f>
        <v>3.0089079511712309</v>
      </c>
      <c r="AB69" s="177">
        <f t="shared" ref="AB69:AB100" si="136">L*AA69/J69*1000000</f>
        <v>1.9795447047179149</v>
      </c>
      <c r="AC69" s="177">
        <f t="shared" ref="AC69:AC100" si="137">0.5*AB69*AA69*Nps*X69/1000</f>
        <v>2.0846937306036244</v>
      </c>
      <c r="AD69" s="177"/>
      <c r="AE69" s="177">
        <f t="shared" ref="AE69:AE105" si="138">L*Isw_min/J69*1000000</f>
        <v>0.53947368421052622</v>
      </c>
      <c r="AF69" s="555">
        <f t="shared" ref="AF69:AF100" si="139">MAX(12, F69/(0.5*AE69/1000000*Isw_min*Nps)/1000)</f>
        <v>1446.7578822129688</v>
      </c>
      <c r="AG69" s="538">
        <f t="shared" ref="AG69:AG105" si="140">0.5*AE69/1000000*Isw_min*Nps*X69*1000</f>
        <v>0.15482894736842101</v>
      </c>
      <c r="AI69" s="177">
        <f t="shared" ref="AI69:AI105" si="141">SQRT(F69/Efficiency/(0.5*L/J69*Fsw_DCM*Nps))</f>
        <v>1.7573428715688835</v>
      </c>
      <c r="AJ69" s="177">
        <f t="shared" ref="AJ69:AJ100" si="142">MAX(IF(F69&gt;AC69,U69,AI69),Isw_min)</f>
        <v>1.7573428715688835</v>
      </c>
      <c r="AK69" s="177">
        <f t="shared" ref="AK69:AK100" si="143">IF(F69&gt;AG69, (AJ69-Isw_min)/1.2*0.8+1.2, AF69*0.2/350+1)</f>
        <v>1.824895247712589</v>
      </c>
      <c r="AM69" s="555">
        <f t="shared" ref="AM69:AM105" si="144">F69*1000</f>
        <v>640</v>
      </c>
      <c r="AN69" s="469">
        <f t="shared" ref="AN69:AN105" si="145">IF(F69&gt;AG69, Y69, AF69)</f>
        <v>350</v>
      </c>
      <c r="AP69">
        <f t="shared" ref="AP69:AP105" si="146">IF(H69&gt;N69, "",AM69)</f>
        <v>640</v>
      </c>
      <c r="AQ69">
        <f t="shared" ref="AQ69:AQ105" si="147">IF(H69&gt;N69, "",AN69)</f>
        <v>350</v>
      </c>
      <c r="AS69" s="5">
        <f t="shared" si="55"/>
        <v>2.8571428571428572</v>
      </c>
      <c r="AT69" s="5">
        <f t="shared" ref="AT69:AT105" si="148">L*AJ69/I69*1000000</f>
        <v>0.51255833754092439</v>
      </c>
      <c r="AU69" s="5">
        <f t="shared" si="56"/>
        <v>2.3445845196019328</v>
      </c>
      <c r="AV69" s="5">
        <f t="shared" ref="AV69:AV105" si="149">L*AJ69/J69*1000000</f>
        <v>1.1561466260321602</v>
      </c>
      <c r="AW69" s="177">
        <f t="shared" si="57"/>
        <v>0.17939541813932353</v>
      </c>
      <c r="AX69" s="177">
        <f t="shared" ref="AX69:AX132" si="150">0.5*L*AJ69^2*AN69*1000</f>
        <v>3.7831111111111122</v>
      </c>
      <c r="AY69" s="177">
        <f t="shared" ref="AY69:AY132" si="151">AJ69*Nps/2*(1-AW69)</f>
        <v>1.4420836123096239</v>
      </c>
      <c r="AZ69" s="177">
        <f t="shared" si="58"/>
        <v>2.623364608555621</v>
      </c>
      <c r="BA69" s="469">
        <f t="shared" ref="BA69:BA105" si="152">L*Isw_max^2/(2*Vout_ripple*Vout)*1000000000*((1+M69)/2)^2</f>
        <v>100.52933910789432</v>
      </c>
      <c r="BB69" s="469">
        <f t="shared" ref="BB69:BB105" si="153">L*F69^2/(2*Cout*Vout*Nps^2)*1000000000*((1+M69)/(1-M69))^2+F69*RCoutEsr</f>
        <v>4.4714575644444441</v>
      </c>
      <c r="BC69" s="5">
        <f t="shared" ref="BC69:BC105" si="154">H69/Efficiency/I69*AU69/Vinripple1</f>
        <v>0.2894548789632016</v>
      </c>
      <c r="BD69" s="469">
        <f t="shared" ref="BD69:BD105" si="155">((CB69/I69/Efficiency)*AU69/Cin+(CB69/I69/Efficiency)*RCinEsr)*1000</f>
        <v>35.179029920028633</v>
      </c>
      <c r="BE69" s="5"/>
      <c r="BF69" s="177">
        <f t="shared" si="59"/>
        <v>0.4297358149512116</v>
      </c>
      <c r="BG69" s="177">
        <f t="shared" ref="BG69:BG132" si="156">AJ69*Nps*SQRT((1-AW69)/3)</f>
        <v>1.8382003359440535</v>
      </c>
      <c r="BH69" s="177"/>
      <c r="BI69" s="538">
        <f t="shared" ref="BI69:BI105" si="157">Rdson*BF69^2</f>
        <v>2.0314015771696017E-2</v>
      </c>
      <c r="BJ69" s="538">
        <f t="shared" ref="BJ69:BJ105" si="158">0.5*K69*AJ69*AN69*1000*Trise</f>
        <v>0.10653012487450572</v>
      </c>
      <c r="BK69" s="538">
        <f t="shared" ref="BK69:BK105" si="159">Qg*Vdd*AN69*1000</f>
        <v>1.7499999999999998E-2</v>
      </c>
      <c r="BL69" s="538">
        <f t="shared" ref="BL69:BL105" si="160">0.5*(Coss+Csw)*K69^2*AN69*1000</f>
        <v>9.4494456000000004E-2</v>
      </c>
      <c r="BM69">
        <f t="shared" ref="BM69:BM105" si="161">I69*IQ</f>
        <v>6.96E-3</v>
      </c>
      <c r="BN69">
        <f t="shared" ref="BN69:BN105" si="162">(I69-Vdd)*Qg*AN69</f>
        <v>6.6500000000000004E-5</v>
      </c>
      <c r="BO69" s="538">
        <f t="shared" ref="BO69:BO100" si="163">(BJ69+BK69+BL69+BM69+BN69+BI69*(1+RdsonTC*(Ta-25)))/(1-BI69*RdsonTC*ThetaJA)</f>
        <v>0.24954275904304812</v>
      </c>
      <c r="BP69" s="469">
        <f t="shared" si="60"/>
        <v>249.54275904304814</v>
      </c>
      <c r="BQ69" s="538">
        <f t="shared" ref="BQ69:BQ105" si="164">(Vfwd2*F69+BG69^2*Rdiode)*(1+Diode_TC/1000*(Ta-25))</f>
        <v>0.50263410829495325</v>
      </c>
      <c r="BR69" s="538"/>
      <c r="BT69" s="469">
        <f t="shared" si="61"/>
        <v>502.63410829495325</v>
      </c>
      <c r="BU69" s="538">
        <f t="shared" ref="BU69:BU105" si="165">Rdcr_pri*BF69^2</f>
        <v>1.8467287065178199E-2</v>
      </c>
      <c r="BV69" s="538">
        <f t="shared" ref="BV69:BV105" si="166">Rdcr_sec*BG69^2</f>
        <v>0.10136941425194494</v>
      </c>
      <c r="BW69" s="538">
        <f t="shared" ref="BW69:BW105" si="167">AJ69^2.5*AN69^2.5*k_core</f>
        <v>0</v>
      </c>
      <c r="BX69" s="538">
        <f t="shared" ref="BX69:BX100" si="168">(BW69+(BU69+BV69)*(1+Ltc*(Ta-25)))/(1-(BU69+BV69)*Ltc*ThetaCa)</f>
        <v>0.13551629150305439</v>
      </c>
      <c r="BY69" s="538">
        <f t="shared" ref="BY69:BY105" si="169">0.5*Lleak*0.000000001*AJ69^2*AN69*1000</f>
        <v>5.4044444444444464E-2</v>
      </c>
      <c r="BZ69" s="469">
        <f t="shared" si="62"/>
        <v>189.56073594749884</v>
      </c>
      <c r="CA69" s="177">
        <f t="shared" si="63"/>
        <v>0.94173760328550016</v>
      </c>
      <c r="CB69" s="5">
        <f t="shared" si="64"/>
        <v>3.2</v>
      </c>
      <c r="CC69" s="177">
        <f t="shared" si="65"/>
        <v>0.77262258175446652</v>
      </c>
      <c r="CD69" s="5">
        <f t="shared" si="66"/>
        <v>77.262258175446647</v>
      </c>
      <c r="CG69" s="571">
        <f t="shared" ref="CG69:CG105" si="170">IF(ABS(F69-Ioutmax_Vinnom)&lt;Iout/200, AN69, -50)</f>
        <v>-50</v>
      </c>
      <c r="CH69">
        <f t="shared" ref="CH69:CH105" si="171">IF(ABS(F69-Ioutmax_Vinnom)&lt;Iout/200, N69*CC69, -50)</f>
        <v>-50</v>
      </c>
    </row>
    <row r="70" spans="5:86" x14ac:dyDescent="0.2">
      <c r="E70" s="174">
        <v>65</v>
      </c>
      <c r="F70" s="221">
        <f t="shared" ref="F70:F101" si="172">IF(PLOT_TYPE=1, E70/100*Iout_max, min_I*EXP(N70*rr/100))</f>
        <v>0.65</v>
      </c>
      <c r="G70" s="221"/>
      <c r="H70" s="221">
        <f t="shared" si="120"/>
        <v>3.25</v>
      </c>
      <c r="I70" s="551">
        <f t="shared" si="121"/>
        <v>24</v>
      </c>
      <c r="J70" s="176">
        <f t="shared" si="122"/>
        <v>10.64</v>
      </c>
      <c r="K70" s="451">
        <f t="shared" si="123"/>
        <v>34.64</v>
      </c>
      <c r="L70" s="451"/>
      <c r="M70" s="221">
        <f t="shared" si="124"/>
        <v>0.30715935334872979</v>
      </c>
      <c r="N70" s="176">
        <f t="shared" si="125"/>
        <v>13.601016166281754</v>
      </c>
      <c r="O70" s="176">
        <f t="shared" ref="O70:O133" si="173">T70*F70</f>
        <v>3.25</v>
      </c>
      <c r="P70" s="221">
        <f t="shared" si="126"/>
        <v>2.7202032332563508</v>
      </c>
      <c r="Q70" s="221">
        <f t="shared" si="127"/>
        <v>5</v>
      </c>
      <c r="R70" s="221">
        <f t="shared" si="128"/>
        <v>3.0224480369515008</v>
      </c>
      <c r="S70" s="176">
        <f t="shared" si="129"/>
        <v>56.191028261393363</v>
      </c>
      <c r="T70" s="176">
        <f t="shared" si="130"/>
        <v>5</v>
      </c>
      <c r="U70" s="221">
        <f t="shared" si="131"/>
        <v>0.97970620996936786</v>
      </c>
      <c r="V70" s="221">
        <f t="shared" si="132"/>
        <v>0.28574764457439894</v>
      </c>
      <c r="W70" s="221">
        <f t="shared" si="133"/>
        <v>0.64454355919037354</v>
      </c>
      <c r="X70" s="201">
        <f t="shared" si="134"/>
        <v>350</v>
      </c>
      <c r="Y70" s="451">
        <f t="shared" ref="Y70:Y105" si="174">MIN(1/(V70+W70)*1000, 350)</f>
        <v>350</v>
      </c>
      <c r="AA70" s="221">
        <f t="shared" si="135"/>
        <v>3.0089079511712309</v>
      </c>
      <c r="AB70" s="177">
        <f t="shared" si="136"/>
        <v>1.9795447047179149</v>
      </c>
      <c r="AC70" s="177">
        <f t="shared" si="137"/>
        <v>2.0846937306036244</v>
      </c>
      <c r="AD70" s="177"/>
      <c r="AE70" s="177">
        <f t="shared" si="138"/>
        <v>0.53947368421052622</v>
      </c>
      <c r="AF70" s="555">
        <f t="shared" si="139"/>
        <v>1469.3634741225464</v>
      </c>
      <c r="AG70" s="538">
        <f t="shared" si="140"/>
        <v>0.15482894736842101</v>
      </c>
      <c r="AI70" s="177">
        <f t="shared" si="141"/>
        <v>1.7710188978404315</v>
      </c>
      <c r="AJ70" s="177">
        <f t="shared" si="89"/>
        <v>1.7710188978404315</v>
      </c>
      <c r="AK70" s="177">
        <f t="shared" si="143"/>
        <v>1.8340125985602878</v>
      </c>
      <c r="AM70" s="555">
        <f t="shared" si="144"/>
        <v>650</v>
      </c>
      <c r="AN70" s="469">
        <f t="shared" si="145"/>
        <v>350</v>
      </c>
      <c r="AP70">
        <f t="shared" si="146"/>
        <v>650</v>
      </c>
      <c r="AQ70">
        <f t="shared" si="147"/>
        <v>350</v>
      </c>
      <c r="AS70" s="5">
        <f t="shared" ref="AS70:AS133" si="175">1/AN70*1000</f>
        <v>2.8571428571428572</v>
      </c>
      <c r="AT70" s="5">
        <f t="shared" si="148"/>
        <v>0.51654717853679255</v>
      </c>
      <c r="AU70" s="5">
        <f t="shared" ref="AU70:AU105" si="176">AS70-AT70</f>
        <v>2.3405956786060647</v>
      </c>
      <c r="AV70" s="5">
        <f t="shared" si="149"/>
        <v>1.1651440117371259</v>
      </c>
      <c r="AW70" s="177">
        <f t="shared" ref="AW70:AW105" si="177">AT70/AS70</f>
        <v>0.18079151248787739</v>
      </c>
      <c r="AX70" s="177">
        <f t="shared" si="150"/>
        <v>3.8422222222222224</v>
      </c>
      <c r="AY70" s="177">
        <f t="shared" si="151"/>
        <v>1.4508337126552464</v>
      </c>
      <c r="AZ70" s="177">
        <f t="shared" ref="AZ70:AZ133" si="178">AX70/AY70</f>
        <v>2.6482857330288883</v>
      </c>
      <c r="BA70" s="469">
        <f t="shared" si="152"/>
        <v>100.52933910789432</v>
      </c>
      <c r="BB70" s="469">
        <f t="shared" si="153"/>
        <v>4.5818135277777774</v>
      </c>
      <c r="BC70" s="5">
        <f t="shared" si="154"/>
        <v>0.29347746741781283</v>
      </c>
      <c r="BD70" s="469">
        <f t="shared" si="155"/>
        <v>35.66868497902643</v>
      </c>
      <c r="BE70" s="5"/>
      <c r="BF70" s="177">
        <f t="shared" ref="BF70:BF133" si="179">AJ70*SQRT(AW70/3)</f>
        <v>0.43476200913890856</v>
      </c>
      <c r="BG70" s="177">
        <f t="shared" si="156"/>
        <v>1.8509291082179731</v>
      </c>
      <c r="BH70" s="177"/>
      <c r="BI70" s="538">
        <f t="shared" si="157"/>
        <v>2.0791980504955045E-2</v>
      </c>
      <c r="BJ70" s="538">
        <f t="shared" si="158"/>
        <v>0.10735916558708698</v>
      </c>
      <c r="BK70" s="538">
        <f t="shared" si="159"/>
        <v>1.7499999999999998E-2</v>
      </c>
      <c r="BL70" s="538">
        <f t="shared" si="160"/>
        <v>9.4494456000000004E-2</v>
      </c>
      <c r="BM70">
        <f t="shared" si="161"/>
        <v>6.96E-3</v>
      </c>
      <c r="BN70">
        <f t="shared" si="162"/>
        <v>6.6500000000000004E-5</v>
      </c>
      <c r="BO70" s="538">
        <f t="shared" si="163"/>
        <v>0.25094166188938877</v>
      </c>
      <c r="BP70" s="469">
        <f t="shared" ref="BP70:BP105" si="180">BO70*1000</f>
        <v>250.94166188938877</v>
      </c>
      <c r="BQ70" s="538">
        <f t="shared" si="164"/>
        <v>0.51004170626275158</v>
      </c>
      <c r="BR70" s="538"/>
      <c r="BT70" s="469">
        <f t="shared" ref="BT70:BT105" si="181">SUM(BQ70:BS70)*1000</f>
        <v>510.04170626275157</v>
      </c>
      <c r="BU70" s="538">
        <f t="shared" si="165"/>
        <v>1.8901800459050044E-2</v>
      </c>
      <c r="BV70" s="538">
        <f t="shared" si="166"/>
        <v>0.10277815690945742</v>
      </c>
      <c r="BW70" s="538">
        <f t="shared" si="167"/>
        <v>0</v>
      </c>
      <c r="BX70" s="538">
        <f t="shared" si="168"/>
        <v>0.13762121170660532</v>
      </c>
      <c r="BY70" s="538">
        <f t="shared" si="169"/>
        <v>5.4888888888888897E-2</v>
      </c>
      <c r="BZ70" s="469">
        <f t="shared" ref="BZ70:BZ105" si="182">1000*(BX70+BY70)</f>
        <v>192.51010059549424</v>
      </c>
      <c r="CA70" s="177">
        <f t="shared" ref="CA70:CA105" si="183">SUM(BO70,BQ70:BS70,BX70, BY70)</f>
        <v>0.95349346874763452</v>
      </c>
      <c r="CB70" s="5">
        <f t="shared" ref="CB70:CB105" si="184">MIN(H70,O70)</f>
        <v>3.25</v>
      </c>
      <c r="CC70" s="177">
        <f t="shared" ref="CC70:CC105" si="185">CB70/(CB70+CA70)</f>
        <v>0.77316642077911613</v>
      </c>
      <c r="CD70" s="5">
        <f t="shared" ref="CD70:CD105" si="186">CC70*100</f>
        <v>77.316642077911609</v>
      </c>
      <c r="CG70" s="571">
        <f t="shared" si="170"/>
        <v>-50</v>
      </c>
      <c r="CH70">
        <f t="shared" si="171"/>
        <v>-50</v>
      </c>
    </row>
    <row r="71" spans="5:86" x14ac:dyDescent="0.2">
      <c r="E71" s="174">
        <v>66</v>
      </c>
      <c r="F71" s="221">
        <f t="shared" si="172"/>
        <v>0.66</v>
      </c>
      <c r="G71" s="221"/>
      <c r="H71" s="221">
        <f t="shared" si="120"/>
        <v>3.3000000000000003</v>
      </c>
      <c r="I71" s="551">
        <f t="shared" si="121"/>
        <v>24</v>
      </c>
      <c r="J71" s="176">
        <f t="shared" si="122"/>
        <v>10.64</v>
      </c>
      <c r="K71" s="451">
        <f t="shared" si="123"/>
        <v>34.64</v>
      </c>
      <c r="L71" s="451"/>
      <c r="M71" s="221">
        <f t="shared" si="124"/>
        <v>0.30715935334872979</v>
      </c>
      <c r="N71" s="176">
        <f t="shared" si="125"/>
        <v>13.601016166281754</v>
      </c>
      <c r="O71" s="176">
        <f t="shared" si="173"/>
        <v>3.3000000000000003</v>
      </c>
      <c r="P71" s="221">
        <f t="shared" si="126"/>
        <v>2.7202032332563508</v>
      </c>
      <c r="Q71" s="221">
        <f t="shared" si="127"/>
        <v>5</v>
      </c>
      <c r="R71" s="221">
        <f t="shared" si="128"/>
        <v>3.0224480369515008</v>
      </c>
      <c r="S71" s="176">
        <f t="shared" si="129"/>
        <v>55.160123068593535</v>
      </c>
      <c r="T71" s="176">
        <f t="shared" si="130"/>
        <v>5</v>
      </c>
      <c r="U71" s="221">
        <f t="shared" si="131"/>
        <v>0.99477861319966587</v>
      </c>
      <c r="V71" s="221">
        <f t="shared" si="132"/>
        <v>0.29014376218323584</v>
      </c>
      <c r="W71" s="221">
        <f t="shared" si="133"/>
        <v>0.65445961394714847</v>
      </c>
      <c r="X71" s="201">
        <f t="shared" si="134"/>
        <v>350</v>
      </c>
      <c r="Y71" s="451">
        <f t="shared" si="174"/>
        <v>350</v>
      </c>
      <c r="AA71" s="221">
        <f t="shared" si="135"/>
        <v>3.0089079511712309</v>
      </c>
      <c r="AB71" s="177">
        <f t="shared" si="136"/>
        <v>1.9795447047179149</v>
      </c>
      <c r="AC71" s="177">
        <f t="shared" si="137"/>
        <v>2.0846937306036244</v>
      </c>
      <c r="AD71" s="177"/>
      <c r="AE71" s="177">
        <f t="shared" si="138"/>
        <v>0.53947368421052622</v>
      </c>
      <c r="AF71" s="555">
        <f t="shared" si="139"/>
        <v>1491.9690660321239</v>
      </c>
      <c r="AG71" s="538">
        <f t="shared" si="140"/>
        <v>0.15482894736842101</v>
      </c>
      <c r="AI71" s="177">
        <f t="shared" si="141"/>
        <v>1.7845901223423561</v>
      </c>
      <c r="AJ71" s="177">
        <f t="shared" si="89"/>
        <v>1.7845901223423561</v>
      </c>
      <c r="AK71" s="177">
        <f t="shared" si="143"/>
        <v>1.8430600815615708</v>
      </c>
      <c r="AM71" s="555">
        <f t="shared" si="144"/>
        <v>660</v>
      </c>
      <c r="AN71" s="469">
        <f t="shared" si="145"/>
        <v>350</v>
      </c>
      <c r="AP71">
        <f t="shared" si="146"/>
        <v>660</v>
      </c>
      <c r="AQ71">
        <f t="shared" si="147"/>
        <v>350</v>
      </c>
      <c r="AS71" s="5">
        <f t="shared" si="175"/>
        <v>2.8571428571428572</v>
      </c>
      <c r="AT71" s="5">
        <f t="shared" si="148"/>
        <v>0.52050545234985379</v>
      </c>
      <c r="AU71" s="5">
        <f t="shared" si="176"/>
        <v>2.3366374047930032</v>
      </c>
      <c r="AV71" s="5">
        <f t="shared" si="149"/>
        <v>1.1740724489094447</v>
      </c>
      <c r="AW71" s="177">
        <f t="shared" si="177"/>
        <v>0.18217690832244882</v>
      </c>
      <c r="AX71" s="177">
        <f t="shared" si="150"/>
        <v>3.9013333333333344</v>
      </c>
      <c r="AY71" s="177">
        <f t="shared" si="151"/>
        <v>1.459479011231245</v>
      </c>
      <c r="AZ71" s="177">
        <f t="shared" si="178"/>
        <v>2.6730999920595591</v>
      </c>
      <c r="BA71" s="469">
        <f t="shared" si="152"/>
        <v>100.52933910789432</v>
      </c>
      <c r="BB71" s="469">
        <f t="shared" si="153"/>
        <v>4.6934153199999997</v>
      </c>
      <c r="BC71" s="5">
        <f t="shared" si="154"/>
        <v>0.29748855848059069</v>
      </c>
      <c r="BD71" s="469">
        <f t="shared" si="155"/>
        <v>36.156960351004223</v>
      </c>
      <c r="BE71" s="5"/>
      <c r="BF71" s="177">
        <f t="shared" si="179"/>
        <v>0.4397689080841729</v>
      </c>
      <c r="BG71" s="177">
        <f t="shared" si="156"/>
        <v>1.863534930254602</v>
      </c>
      <c r="BH71" s="177"/>
      <c r="BI71" s="538">
        <f t="shared" si="157"/>
        <v>2.1273636176930028E-2</v>
      </c>
      <c r="BJ71" s="538">
        <f t="shared" si="158"/>
        <v>0.10818185321639363</v>
      </c>
      <c r="BK71" s="538">
        <f t="shared" si="159"/>
        <v>1.7499999999999998E-2</v>
      </c>
      <c r="BL71" s="538">
        <f t="shared" si="160"/>
        <v>9.4494456000000004E-2</v>
      </c>
      <c r="BM71">
        <f t="shared" si="161"/>
        <v>6.96E-3</v>
      </c>
      <c r="BN71">
        <f t="shared" si="162"/>
        <v>6.6500000000000004E-5</v>
      </c>
      <c r="BO71" s="538">
        <f t="shared" si="163"/>
        <v>0.25233881255210056</v>
      </c>
      <c r="BP71" s="469">
        <f t="shared" si="180"/>
        <v>252.33881255210056</v>
      </c>
      <c r="BQ71" s="538">
        <f t="shared" si="164"/>
        <v>0.51743905013171754</v>
      </c>
      <c r="BR71" s="538"/>
      <c r="BT71" s="469">
        <f t="shared" si="181"/>
        <v>517.43905013171752</v>
      </c>
      <c r="BU71" s="538">
        <f t="shared" si="165"/>
        <v>1.9339669251754572E-2</v>
      </c>
      <c r="BV71" s="538">
        <f t="shared" si="166"/>
        <v>0.10418287308837072</v>
      </c>
      <c r="BW71" s="538">
        <f t="shared" si="167"/>
        <v>0</v>
      </c>
      <c r="BX71" s="538">
        <f t="shared" si="168"/>
        <v>0.13972599220398293</v>
      </c>
      <c r="BY71" s="538">
        <f t="shared" si="169"/>
        <v>5.5733333333333357E-2</v>
      </c>
      <c r="BZ71" s="469">
        <f t="shared" si="182"/>
        <v>195.45932553731629</v>
      </c>
      <c r="CA71" s="177">
        <f t="shared" si="183"/>
        <v>0.96523718822113436</v>
      </c>
      <c r="CB71" s="5">
        <f t="shared" si="184"/>
        <v>3.3000000000000003</v>
      </c>
      <c r="CC71" s="177">
        <f t="shared" si="185"/>
        <v>0.77369671471337387</v>
      </c>
      <c r="CD71" s="5">
        <f t="shared" si="186"/>
        <v>77.369671471337384</v>
      </c>
      <c r="CG71" s="571">
        <f t="shared" si="170"/>
        <v>-50</v>
      </c>
      <c r="CH71">
        <f t="shared" si="171"/>
        <v>-50</v>
      </c>
    </row>
    <row r="72" spans="5:86" x14ac:dyDescent="0.2">
      <c r="E72" s="174">
        <v>67</v>
      </c>
      <c r="F72" s="221">
        <f t="shared" si="172"/>
        <v>0.67</v>
      </c>
      <c r="G72" s="221"/>
      <c r="H72" s="221">
        <f t="shared" si="120"/>
        <v>3.35</v>
      </c>
      <c r="I72" s="551">
        <f t="shared" si="121"/>
        <v>24</v>
      </c>
      <c r="J72" s="176">
        <f t="shared" si="122"/>
        <v>10.64</v>
      </c>
      <c r="K72" s="451">
        <f t="shared" si="123"/>
        <v>34.64</v>
      </c>
      <c r="L72" s="451"/>
      <c r="M72" s="221">
        <f t="shared" si="124"/>
        <v>0.30715935334872979</v>
      </c>
      <c r="N72" s="176">
        <f t="shared" si="125"/>
        <v>13.601016166281754</v>
      </c>
      <c r="O72" s="176">
        <f t="shared" si="173"/>
        <v>3.35</v>
      </c>
      <c r="P72" s="221">
        <f t="shared" si="126"/>
        <v>2.7202032332563508</v>
      </c>
      <c r="Q72" s="221">
        <f t="shared" si="127"/>
        <v>5</v>
      </c>
      <c r="R72" s="221">
        <f t="shared" si="128"/>
        <v>3.0224480369515008</v>
      </c>
      <c r="S72" s="176">
        <f t="shared" si="129"/>
        <v>54.160036772728347</v>
      </c>
      <c r="T72" s="176">
        <f t="shared" si="130"/>
        <v>5</v>
      </c>
      <c r="U72" s="221">
        <f t="shared" si="131"/>
        <v>1.0098510164299639</v>
      </c>
      <c r="V72" s="221">
        <f t="shared" si="132"/>
        <v>0.29453987979207275</v>
      </c>
      <c r="W72" s="221">
        <f t="shared" si="133"/>
        <v>0.66437566870392351</v>
      </c>
      <c r="X72" s="201">
        <f t="shared" si="134"/>
        <v>350</v>
      </c>
      <c r="Y72" s="451">
        <f t="shared" si="174"/>
        <v>350</v>
      </c>
      <c r="AA72" s="221">
        <f t="shared" si="135"/>
        <v>3.0089079511712309</v>
      </c>
      <c r="AB72" s="177">
        <f t="shared" si="136"/>
        <v>1.9795447047179149</v>
      </c>
      <c r="AC72" s="177">
        <f t="shared" si="137"/>
        <v>2.0846937306036244</v>
      </c>
      <c r="AD72" s="177"/>
      <c r="AE72" s="177">
        <f t="shared" si="138"/>
        <v>0.53947368421052622</v>
      </c>
      <c r="AF72" s="555">
        <f t="shared" si="139"/>
        <v>1514.5746579417018</v>
      </c>
      <c r="AG72" s="538">
        <f t="shared" si="140"/>
        <v>0.15482894736842101</v>
      </c>
      <c r="AI72" s="177">
        <f t="shared" si="141"/>
        <v>1.7980589181158313</v>
      </c>
      <c r="AJ72" s="177">
        <f t="shared" si="142"/>
        <v>1.7980589181158313</v>
      </c>
      <c r="AK72" s="177">
        <f t="shared" si="143"/>
        <v>1.8520392787438875</v>
      </c>
      <c r="AM72" s="555">
        <f t="shared" si="144"/>
        <v>670</v>
      </c>
      <c r="AN72" s="469">
        <f t="shared" si="145"/>
        <v>350</v>
      </c>
      <c r="AP72">
        <f t="shared" si="146"/>
        <v>670</v>
      </c>
      <c r="AQ72">
        <f t="shared" si="147"/>
        <v>350</v>
      </c>
      <c r="AS72" s="5">
        <f t="shared" si="175"/>
        <v>2.8571428571428572</v>
      </c>
      <c r="AT72" s="5">
        <f t="shared" si="148"/>
        <v>0.52443385111711738</v>
      </c>
      <c r="AU72" s="5">
        <f t="shared" si="176"/>
        <v>2.3327090060257398</v>
      </c>
      <c r="AV72" s="5">
        <f t="shared" si="149"/>
        <v>1.1829334987604152</v>
      </c>
      <c r="AW72" s="177">
        <f t="shared" si="177"/>
        <v>0.18355184789099108</v>
      </c>
      <c r="AX72" s="177">
        <f t="shared" si="150"/>
        <v>3.9604444444444451</v>
      </c>
      <c r="AY72" s="177">
        <f t="shared" si="151"/>
        <v>1.4680218810787942</v>
      </c>
      <c r="AZ72" s="177">
        <f t="shared" si="178"/>
        <v>2.6978102271432514</v>
      </c>
      <c r="BA72" s="469">
        <f t="shared" si="152"/>
        <v>100.52933910789432</v>
      </c>
      <c r="BB72" s="469">
        <f t="shared" si="153"/>
        <v>4.8062629411111111</v>
      </c>
      <c r="BC72" s="5">
        <f t="shared" si="154"/>
        <v>0.30148823959051801</v>
      </c>
      <c r="BD72" s="469">
        <f t="shared" si="155"/>
        <v>36.643866528639947</v>
      </c>
      <c r="BE72" s="5"/>
      <c r="BF72" s="177">
        <f t="shared" si="179"/>
        <v>0.44475687656402768</v>
      </c>
      <c r="BG72" s="177">
        <f t="shared" si="156"/>
        <v>1.8760205525750171</v>
      </c>
      <c r="BH72" s="177"/>
      <c r="BI72" s="538">
        <f t="shared" si="157"/>
        <v>2.1758954717608872E-2</v>
      </c>
      <c r="BJ72" s="538">
        <f t="shared" si="158"/>
        <v>0.10899833161618169</v>
      </c>
      <c r="BK72" s="538">
        <f t="shared" si="159"/>
        <v>1.7499999999999998E-2</v>
      </c>
      <c r="BL72" s="538">
        <f t="shared" si="160"/>
        <v>9.4494456000000004E-2</v>
      </c>
      <c r="BM72">
        <f t="shared" si="161"/>
        <v>6.96E-3</v>
      </c>
      <c r="BN72">
        <f t="shared" si="162"/>
        <v>6.6500000000000004E-5</v>
      </c>
      <c r="BO72" s="538">
        <f t="shared" si="163"/>
        <v>0.25373432455431044</v>
      </c>
      <c r="BP72" s="469">
        <f t="shared" si="180"/>
        <v>253.73432455431043</v>
      </c>
      <c r="BQ72" s="538">
        <f t="shared" si="164"/>
        <v>0.52482621788544792</v>
      </c>
      <c r="BR72" s="538"/>
      <c r="BT72" s="469">
        <f t="shared" si="181"/>
        <v>524.82621788544793</v>
      </c>
      <c r="BU72" s="538">
        <f t="shared" si="165"/>
        <v>1.9780867925098977E-2</v>
      </c>
      <c r="BV72" s="538">
        <f t="shared" si="166"/>
        <v>0.10558359341051617</v>
      </c>
      <c r="BW72" s="538">
        <f t="shared" si="167"/>
        <v>0</v>
      </c>
      <c r="BX72" s="538">
        <f t="shared" si="168"/>
        <v>0.14183063842283014</v>
      </c>
      <c r="BY72" s="538">
        <f t="shared" si="169"/>
        <v>5.6577777777777796E-2</v>
      </c>
      <c r="BZ72" s="469">
        <f t="shared" si="182"/>
        <v>198.40841620060795</v>
      </c>
      <c r="CA72" s="177">
        <f t="shared" si="183"/>
        <v>0.97696895864036637</v>
      </c>
      <c r="CB72" s="5">
        <f t="shared" si="184"/>
        <v>3.35</v>
      </c>
      <c r="CC72" s="177">
        <f t="shared" si="185"/>
        <v>0.77421401263129186</v>
      </c>
      <c r="CD72" s="5">
        <f t="shared" si="186"/>
        <v>77.421401263129184</v>
      </c>
      <c r="CG72" s="571">
        <f t="shared" si="170"/>
        <v>-50</v>
      </c>
      <c r="CH72">
        <f t="shared" si="171"/>
        <v>-50</v>
      </c>
    </row>
    <row r="73" spans="5:86" x14ac:dyDescent="0.2">
      <c r="E73" s="174">
        <v>68</v>
      </c>
      <c r="F73" s="221">
        <f t="shared" si="172"/>
        <v>0.68</v>
      </c>
      <c r="G73" s="221"/>
      <c r="H73" s="221">
        <f t="shared" si="120"/>
        <v>3.4000000000000004</v>
      </c>
      <c r="I73" s="551">
        <f t="shared" si="121"/>
        <v>24</v>
      </c>
      <c r="J73" s="176">
        <f t="shared" si="122"/>
        <v>10.64</v>
      </c>
      <c r="K73" s="451">
        <f t="shared" si="123"/>
        <v>34.64</v>
      </c>
      <c r="L73" s="451"/>
      <c r="M73" s="221">
        <f t="shared" si="124"/>
        <v>0.30715935334872979</v>
      </c>
      <c r="N73" s="176">
        <f t="shared" si="125"/>
        <v>13.601016166281754</v>
      </c>
      <c r="O73" s="176">
        <f t="shared" si="173"/>
        <v>3.4000000000000004</v>
      </c>
      <c r="P73" s="221">
        <f t="shared" si="126"/>
        <v>2.7202032332563508</v>
      </c>
      <c r="Q73" s="221">
        <f t="shared" si="127"/>
        <v>5</v>
      </c>
      <c r="R73" s="221">
        <f t="shared" si="128"/>
        <v>3.0224480369515008</v>
      </c>
      <c r="S73" s="176">
        <f t="shared" si="129"/>
        <v>53.189410137320287</v>
      </c>
      <c r="T73" s="176">
        <f t="shared" si="130"/>
        <v>5</v>
      </c>
      <c r="U73" s="221">
        <f t="shared" si="131"/>
        <v>1.0249234196602619</v>
      </c>
      <c r="V73" s="221">
        <f t="shared" si="132"/>
        <v>0.29893599740090976</v>
      </c>
      <c r="W73" s="221">
        <f t="shared" si="133"/>
        <v>0.67429172346069854</v>
      </c>
      <c r="X73" s="201">
        <f t="shared" si="134"/>
        <v>350</v>
      </c>
      <c r="Y73" s="451">
        <f t="shared" si="174"/>
        <v>350</v>
      </c>
      <c r="AA73" s="221">
        <f t="shared" si="135"/>
        <v>3.0089079511712309</v>
      </c>
      <c r="AB73" s="177">
        <f t="shared" si="136"/>
        <v>1.9795447047179149</v>
      </c>
      <c r="AC73" s="177">
        <f t="shared" si="137"/>
        <v>2.0846937306036244</v>
      </c>
      <c r="AD73" s="177"/>
      <c r="AE73" s="177">
        <f t="shared" si="138"/>
        <v>0.53947368421052622</v>
      </c>
      <c r="AF73" s="555">
        <f t="shared" si="139"/>
        <v>1537.1802498512793</v>
      </c>
      <c r="AG73" s="538">
        <f t="shared" si="140"/>
        <v>0.15482894736842101</v>
      </c>
      <c r="AI73" s="177">
        <f t="shared" si="141"/>
        <v>1.8114275699761893</v>
      </c>
      <c r="AJ73" s="177">
        <f t="shared" si="142"/>
        <v>1.8114275699761893</v>
      </c>
      <c r="AK73" s="177">
        <f t="shared" si="143"/>
        <v>1.8609517133174596</v>
      </c>
      <c r="AM73" s="555">
        <f t="shared" si="144"/>
        <v>680</v>
      </c>
      <c r="AN73" s="469">
        <f t="shared" si="145"/>
        <v>350</v>
      </c>
      <c r="AP73">
        <f t="shared" si="146"/>
        <v>680</v>
      </c>
      <c r="AQ73">
        <f t="shared" si="147"/>
        <v>350</v>
      </c>
      <c r="AS73" s="5">
        <f t="shared" si="175"/>
        <v>2.8571428571428572</v>
      </c>
      <c r="AT73" s="5">
        <f t="shared" si="148"/>
        <v>0.52833304124305513</v>
      </c>
      <c r="AU73" s="5">
        <f t="shared" si="176"/>
        <v>2.3288098158998021</v>
      </c>
      <c r="AV73" s="5">
        <f t="shared" si="149"/>
        <v>1.1917286644580189</v>
      </c>
      <c r="AW73" s="177">
        <f t="shared" si="177"/>
        <v>0.18491656443506929</v>
      </c>
      <c r="AX73" s="177">
        <f t="shared" si="150"/>
        <v>4.0195555555555567</v>
      </c>
      <c r="AY73" s="177">
        <f t="shared" si="151"/>
        <v>1.4764646070132261</v>
      </c>
      <c r="AZ73" s="177">
        <f t="shared" si="178"/>
        <v>2.7224191737902927</v>
      </c>
      <c r="BA73" s="469">
        <f t="shared" si="152"/>
        <v>100.52933910789432</v>
      </c>
      <c r="BB73" s="469">
        <f t="shared" si="153"/>
        <v>4.9203563911111114</v>
      </c>
      <c r="BC73" s="5">
        <f t="shared" si="154"/>
        <v>0.30547659622142465</v>
      </c>
      <c r="BD73" s="469">
        <f t="shared" si="155"/>
        <v>37.129413768793192</v>
      </c>
      <c r="BE73" s="5"/>
      <c r="BF73" s="177">
        <f t="shared" si="179"/>
        <v>0.44972626712702485</v>
      </c>
      <c r="BG73" s="177">
        <f t="shared" si="156"/>
        <v>1.8883886235757787</v>
      </c>
      <c r="BH73" s="177"/>
      <c r="BI73" s="538">
        <f t="shared" si="157"/>
        <v>2.2247908687840892E-2</v>
      </c>
      <c r="BJ73" s="538">
        <f t="shared" si="158"/>
        <v>0.1098087392919566</v>
      </c>
      <c r="BK73" s="538">
        <f t="shared" si="159"/>
        <v>1.7499999999999998E-2</v>
      </c>
      <c r="BL73" s="538">
        <f t="shared" si="160"/>
        <v>9.4494456000000004E-2</v>
      </c>
      <c r="BM73">
        <f t="shared" si="161"/>
        <v>6.96E-3</v>
      </c>
      <c r="BN73">
        <f t="shared" si="162"/>
        <v>6.6500000000000004E-5</v>
      </c>
      <c r="BO73" s="538">
        <f t="shared" si="163"/>
        <v>0.25512830680260346</v>
      </c>
      <c r="BP73" s="469">
        <f t="shared" si="180"/>
        <v>255.12830680260345</v>
      </c>
      <c r="BQ73" s="538">
        <f t="shared" si="164"/>
        <v>0.53220328575489251</v>
      </c>
      <c r="BR73" s="538"/>
      <c r="BT73" s="469">
        <f t="shared" si="181"/>
        <v>532.20328575489248</v>
      </c>
      <c r="BU73" s="538">
        <f t="shared" si="165"/>
        <v>2.0225371534400811E-2</v>
      </c>
      <c r="BV73" s="538">
        <f t="shared" si="166"/>
        <v>0.10698034780951272</v>
      </c>
      <c r="BW73" s="538">
        <f t="shared" si="167"/>
        <v>0</v>
      </c>
      <c r="BX73" s="538">
        <f t="shared" si="168"/>
        <v>0.14393515566641715</v>
      </c>
      <c r="BY73" s="538">
        <f t="shared" si="169"/>
        <v>5.7422222222222243E-2</v>
      </c>
      <c r="BZ73" s="469">
        <f t="shared" si="182"/>
        <v>201.35737788863938</v>
      </c>
      <c r="CA73" s="177">
        <f t="shared" si="183"/>
        <v>0.98868897044613535</v>
      </c>
      <c r="CB73" s="5">
        <f t="shared" si="184"/>
        <v>3.4000000000000004</v>
      </c>
      <c r="CC73" s="177">
        <f t="shared" si="185"/>
        <v>0.77471883355050575</v>
      </c>
      <c r="CD73" s="5">
        <f t="shared" si="186"/>
        <v>77.471883355050579</v>
      </c>
      <c r="CG73" s="571">
        <f t="shared" si="170"/>
        <v>-50</v>
      </c>
      <c r="CH73">
        <f t="shared" si="171"/>
        <v>-50</v>
      </c>
    </row>
    <row r="74" spans="5:86" x14ac:dyDescent="0.2">
      <c r="E74" s="174">
        <v>69</v>
      </c>
      <c r="F74" s="221">
        <f t="shared" si="172"/>
        <v>0.69</v>
      </c>
      <c r="G74" s="221"/>
      <c r="H74" s="221">
        <f t="shared" si="120"/>
        <v>3.4499999999999997</v>
      </c>
      <c r="I74" s="551">
        <f t="shared" si="121"/>
        <v>24</v>
      </c>
      <c r="J74" s="176">
        <f t="shared" si="122"/>
        <v>10.64</v>
      </c>
      <c r="K74" s="451">
        <f t="shared" si="123"/>
        <v>34.64</v>
      </c>
      <c r="L74" s="451"/>
      <c r="M74" s="221">
        <f t="shared" si="124"/>
        <v>0.30715935334872979</v>
      </c>
      <c r="N74" s="176">
        <f t="shared" si="125"/>
        <v>13.601016166281754</v>
      </c>
      <c r="O74" s="176">
        <f t="shared" si="173"/>
        <v>3.4499999999999997</v>
      </c>
      <c r="P74" s="221">
        <f t="shared" si="126"/>
        <v>2.7202032332563508</v>
      </c>
      <c r="Q74" s="221">
        <f t="shared" si="127"/>
        <v>5</v>
      </c>
      <c r="R74" s="221">
        <f t="shared" si="128"/>
        <v>3.0224480369515008</v>
      </c>
      <c r="S74" s="176">
        <f t="shared" si="129"/>
        <v>52.24696272717275</v>
      </c>
      <c r="T74" s="176">
        <f t="shared" si="130"/>
        <v>5</v>
      </c>
      <c r="U74" s="221">
        <f t="shared" si="131"/>
        <v>1.0399958228905597</v>
      </c>
      <c r="V74" s="221">
        <f t="shared" si="132"/>
        <v>0.30333211500974661</v>
      </c>
      <c r="W74" s="221">
        <f t="shared" si="133"/>
        <v>0.68420777821747347</v>
      </c>
      <c r="X74" s="201">
        <f t="shared" si="134"/>
        <v>350</v>
      </c>
      <c r="Y74" s="451">
        <f t="shared" si="174"/>
        <v>350</v>
      </c>
      <c r="AA74" s="221">
        <f t="shared" si="135"/>
        <v>3.0089079511712309</v>
      </c>
      <c r="AB74" s="177">
        <f t="shared" si="136"/>
        <v>1.9795447047179149</v>
      </c>
      <c r="AC74" s="177">
        <f t="shared" si="137"/>
        <v>2.0846937306036244</v>
      </c>
      <c r="AD74" s="177"/>
      <c r="AE74" s="177">
        <f t="shared" si="138"/>
        <v>0.53947368421052622</v>
      </c>
      <c r="AF74" s="555">
        <f t="shared" si="139"/>
        <v>1559.7858417608568</v>
      </c>
      <c r="AG74" s="538">
        <f t="shared" si="140"/>
        <v>0.15482894736842101</v>
      </c>
      <c r="AI74" s="177">
        <f t="shared" si="141"/>
        <v>1.8246982790378825</v>
      </c>
      <c r="AJ74" s="177">
        <f t="shared" si="142"/>
        <v>1.8246982790378825</v>
      </c>
      <c r="AK74" s="177">
        <f t="shared" si="143"/>
        <v>1.8697988526919216</v>
      </c>
      <c r="AM74" s="555">
        <f t="shared" si="144"/>
        <v>690</v>
      </c>
      <c r="AN74" s="469">
        <f t="shared" si="145"/>
        <v>350</v>
      </c>
      <c r="AP74">
        <f t="shared" si="146"/>
        <v>690</v>
      </c>
      <c r="AQ74">
        <f t="shared" si="147"/>
        <v>350</v>
      </c>
      <c r="AS74" s="5">
        <f t="shared" si="175"/>
        <v>2.8571428571428572</v>
      </c>
      <c r="AT74" s="5">
        <f t="shared" si="148"/>
        <v>0.5322036647193823</v>
      </c>
      <c r="AU74" s="5">
        <f t="shared" si="176"/>
        <v>2.324939192423475</v>
      </c>
      <c r="AV74" s="5">
        <f t="shared" si="149"/>
        <v>1.2004593941038699</v>
      </c>
      <c r="AW74" s="177">
        <f t="shared" si="177"/>
        <v>0.1862712826517838</v>
      </c>
      <c r="AX74" s="177">
        <f t="shared" si="150"/>
        <v>4.0786666666666678</v>
      </c>
      <c r="AY74" s="177">
        <f t="shared" si="151"/>
        <v>1.4848093901489936</v>
      </c>
      <c r="AZ74" s="177">
        <f t="shared" si="178"/>
        <v>2.7469294669919839</v>
      </c>
      <c r="BA74" s="469">
        <f t="shared" si="152"/>
        <v>100.52933910789432</v>
      </c>
      <c r="BB74" s="469">
        <f t="shared" si="153"/>
        <v>5.0356956699999991</v>
      </c>
      <c r="BC74" s="5">
        <f t="shared" si="154"/>
        <v>0.30945371195451338</v>
      </c>
      <c r="BD74" s="469">
        <f t="shared" si="155"/>
        <v>37.613612101208282</v>
      </c>
      <c r="BE74" s="5"/>
      <c r="BF74" s="177">
        <f t="shared" si="179"/>
        <v>0.45467742067670114</v>
      </c>
      <c r="BG74" s="177">
        <f t="shared" si="156"/>
        <v>1.9006416947631686</v>
      </c>
      <c r="BH74" s="177"/>
      <c r="BI74" s="538">
        <f t="shared" si="157"/>
        <v>2.2740471256053964E-2</v>
      </c>
      <c r="BJ74" s="538">
        <f t="shared" si="158"/>
        <v>0.11061320967527644</v>
      </c>
      <c r="BK74" s="538">
        <f t="shared" si="159"/>
        <v>1.7499999999999998E-2</v>
      </c>
      <c r="BL74" s="538">
        <f t="shared" si="160"/>
        <v>9.4494456000000004E-2</v>
      </c>
      <c r="BM74">
        <f t="shared" si="161"/>
        <v>6.96E-3</v>
      </c>
      <c r="BN74">
        <f t="shared" si="162"/>
        <v>6.6500000000000004E-5</v>
      </c>
      <c r="BO74" s="538">
        <f t="shared" si="163"/>
        <v>0.25652086383439415</v>
      </c>
      <c r="BP74" s="469">
        <f t="shared" si="180"/>
        <v>256.52086383439416</v>
      </c>
      <c r="BQ74" s="538">
        <f t="shared" si="164"/>
        <v>0.53957032828303686</v>
      </c>
      <c r="BR74" s="538"/>
      <c r="BT74" s="469">
        <f t="shared" si="181"/>
        <v>539.57032828303682</v>
      </c>
      <c r="BU74" s="538">
        <f t="shared" si="165"/>
        <v>2.0673155687321785E-2</v>
      </c>
      <c r="BV74" s="538">
        <f t="shared" si="166"/>
        <v>0.10837316555616629</v>
      </c>
      <c r="BW74" s="538">
        <f t="shared" si="167"/>
        <v>0</v>
      </c>
      <c r="BX74" s="538">
        <f t="shared" si="168"/>
        <v>0.14603954911828848</v>
      </c>
      <c r="BY74" s="538">
        <f t="shared" si="169"/>
        <v>5.8266666666666682E-2</v>
      </c>
      <c r="BZ74" s="469">
        <f t="shared" si="182"/>
        <v>204.30621578495516</v>
      </c>
      <c r="CA74" s="177">
        <f t="shared" si="183"/>
        <v>1.0003974079023861</v>
      </c>
      <c r="CB74" s="5">
        <f t="shared" si="184"/>
        <v>3.4499999999999997</v>
      </c>
      <c r="CC74" s="177">
        <f t="shared" si="185"/>
        <v>0.77521166848470158</v>
      </c>
      <c r="CD74" s="5">
        <f t="shared" si="186"/>
        <v>77.521166848470159</v>
      </c>
      <c r="CG74" s="571">
        <f t="shared" si="170"/>
        <v>-50</v>
      </c>
      <c r="CH74">
        <f t="shared" si="171"/>
        <v>-50</v>
      </c>
    </row>
    <row r="75" spans="5:86" x14ac:dyDescent="0.2">
      <c r="E75" s="174">
        <v>70</v>
      </c>
      <c r="F75" s="221">
        <f t="shared" si="172"/>
        <v>0.7</v>
      </c>
      <c r="G75" s="221"/>
      <c r="H75" s="221">
        <f t="shared" si="120"/>
        <v>3.5</v>
      </c>
      <c r="I75" s="551">
        <f t="shared" si="121"/>
        <v>24</v>
      </c>
      <c r="J75" s="176">
        <f t="shared" si="122"/>
        <v>10.64</v>
      </c>
      <c r="K75" s="451">
        <f t="shared" si="123"/>
        <v>34.64</v>
      </c>
      <c r="L75" s="451"/>
      <c r="M75" s="221">
        <f t="shared" si="124"/>
        <v>0.30715935334872979</v>
      </c>
      <c r="N75" s="176">
        <f t="shared" si="125"/>
        <v>13.601016166281754</v>
      </c>
      <c r="O75" s="176">
        <f t="shared" si="173"/>
        <v>3.5</v>
      </c>
      <c r="P75" s="221">
        <f t="shared" si="126"/>
        <v>2.7202032332563508</v>
      </c>
      <c r="Q75" s="221">
        <f t="shared" si="127"/>
        <v>5</v>
      </c>
      <c r="R75" s="221">
        <f t="shared" si="128"/>
        <v>3.0224480369515008</v>
      </c>
      <c r="S75" s="176">
        <f t="shared" si="129"/>
        <v>51.331487279776816</v>
      </c>
      <c r="T75" s="176">
        <f t="shared" si="130"/>
        <v>5</v>
      </c>
      <c r="U75" s="221">
        <f t="shared" si="131"/>
        <v>1.0550682261208577</v>
      </c>
      <c r="V75" s="221">
        <f t="shared" si="132"/>
        <v>0.30772823261858351</v>
      </c>
      <c r="W75" s="221">
        <f t="shared" si="133"/>
        <v>0.6941238329742484</v>
      </c>
      <c r="X75" s="201">
        <f t="shared" si="134"/>
        <v>350</v>
      </c>
      <c r="Y75" s="451">
        <f t="shared" si="174"/>
        <v>350</v>
      </c>
      <c r="AA75" s="221">
        <f t="shared" si="135"/>
        <v>3.0089079511712309</v>
      </c>
      <c r="AB75" s="177">
        <f t="shared" si="136"/>
        <v>1.9795447047179149</v>
      </c>
      <c r="AC75" s="177">
        <f t="shared" si="137"/>
        <v>2.0846937306036244</v>
      </c>
      <c r="AD75" s="177"/>
      <c r="AE75" s="177">
        <f t="shared" si="138"/>
        <v>0.53947368421052622</v>
      </c>
      <c r="AF75" s="555">
        <f t="shared" si="139"/>
        <v>1582.3914336704345</v>
      </c>
      <c r="AG75" s="538">
        <f t="shared" si="140"/>
        <v>0.15482894736842101</v>
      </c>
      <c r="AI75" s="177">
        <f t="shared" si="141"/>
        <v>1.837873166945363</v>
      </c>
      <c r="AJ75" s="177">
        <f t="shared" si="142"/>
        <v>1.837873166945363</v>
      </c>
      <c r="AK75" s="177">
        <f t="shared" si="143"/>
        <v>1.8785821112969088</v>
      </c>
      <c r="AM75" s="555">
        <f t="shared" si="144"/>
        <v>700</v>
      </c>
      <c r="AN75" s="469">
        <f t="shared" si="145"/>
        <v>350</v>
      </c>
      <c r="AP75">
        <f t="shared" si="146"/>
        <v>700</v>
      </c>
      <c r="AQ75">
        <f t="shared" si="147"/>
        <v>350</v>
      </c>
      <c r="AS75" s="5">
        <f t="shared" si="175"/>
        <v>2.8571428571428572</v>
      </c>
      <c r="AT75" s="5">
        <f t="shared" si="148"/>
        <v>0.53604634035906418</v>
      </c>
      <c r="AU75" s="5">
        <f t="shared" si="176"/>
        <v>2.3210965167837929</v>
      </c>
      <c r="AV75" s="5">
        <f t="shared" si="149"/>
        <v>1.2091270835166861</v>
      </c>
      <c r="AW75" s="177">
        <f t="shared" si="177"/>
        <v>0.18761621912567245</v>
      </c>
      <c r="AX75" s="177">
        <f t="shared" si="150"/>
        <v>4.1377777777777771</v>
      </c>
      <c r="AY75" s="177">
        <f t="shared" si="151"/>
        <v>1.493058352130548</v>
      </c>
      <c r="AZ75" s="177">
        <f t="shared" si="178"/>
        <v>2.7713436463305645</v>
      </c>
      <c r="BA75" s="469">
        <f t="shared" si="152"/>
        <v>100.52933910789432</v>
      </c>
      <c r="BB75" s="469">
        <f t="shared" si="153"/>
        <v>5.1522807777777775</v>
      </c>
      <c r="BC75" s="5">
        <f t="shared" si="154"/>
        <v>0.31341966854719416</v>
      </c>
      <c r="BD75" s="469">
        <f t="shared" si="155"/>
        <v>38.096471336774421</v>
      </c>
      <c r="BE75" s="5"/>
      <c r="BF75" s="177">
        <f t="shared" si="179"/>
        <v>0.4596106670191567</v>
      </c>
      <c r="BG75" s="177">
        <f t="shared" si="156"/>
        <v>1.9127822256473754</v>
      </c>
      <c r="BH75" s="177"/>
      <c r="BI75" s="538">
        <f t="shared" si="157"/>
        <v>2.3236616176157358E-2</v>
      </c>
      <c r="BJ75" s="538">
        <f t="shared" si="158"/>
        <v>0.1114118713802279</v>
      </c>
      <c r="BK75" s="538">
        <f t="shared" si="159"/>
        <v>1.7499999999999998E-2</v>
      </c>
      <c r="BL75" s="538">
        <f t="shared" si="160"/>
        <v>9.4494456000000004E-2</v>
      </c>
      <c r="BM75">
        <f t="shared" si="161"/>
        <v>6.96E-3</v>
      </c>
      <c r="BN75">
        <f t="shared" si="162"/>
        <v>6.6500000000000004E-5</v>
      </c>
      <c r="BO75" s="538">
        <f t="shared" si="163"/>
        <v>0.25791209604884385</v>
      </c>
      <c r="BP75" s="469">
        <f t="shared" si="180"/>
        <v>257.91209604884386</v>
      </c>
      <c r="BQ75" s="538">
        <f t="shared" si="164"/>
        <v>0.54692741838629311</v>
      </c>
      <c r="BR75" s="538"/>
      <c r="BT75" s="469">
        <f t="shared" si="181"/>
        <v>546.92741838629308</v>
      </c>
      <c r="BU75" s="538">
        <f t="shared" si="165"/>
        <v>2.1124196523779417E-2</v>
      </c>
      <c r="BV75" s="538">
        <f t="shared" si="166"/>
        <v>0.10976207528257581</v>
      </c>
      <c r="BW75" s="538">
        <f t="shared" si="167"/>
        <v>0</v>
      </c>
      <c r="BX75" s="538">
        <f t="shared" si="168"/>
        <v>0.14814382384667213</v>
      </c>
      <c r="BY75" s="538">
        <f t="shared" si="169"/>
        <v>5.9111111111111121E-2</v>
      </c>
      <c r="BZ75" s="469">
        <f t="shared" si="182"/>
        <v>207.25493495778323</v>
      </c>
      <c r="CA75" s="177">
        <f t="shared" si="183"/>
        <v>1.0120944493929203</v>
      </c>
      <c r="CB75" s="5">
        <f t="shared" si="184"/>
        <v>3.5</v>
      </c>
      <c r="CC75" s="177">
        <f t="shared" si="185"/>
        <v>0.7756929823290617</v>
      </c>
      <c r="CD75" s="5">
        <f t="shared" si="186"/>
        <v>77.569298232906164</v>
      </c>
      <c r="CG75" s="571">
        <f t="shared" si="170"/>
        <v>-50</v>
      </c>
      <c r="CH75">
        <f t="shared" si="171"/>
        <v>-50</v>
      </c>
    </row>
    <row r="76" spans="5:86" x14ac:dyDescent="0.2">
      <c r="E76" s="174">
        <v>71</v>
      </c>
      <c r="F76" s="221">
        <f t="shared" si="172"/>
        <v>0.71</v>
      </c>
      <c r="G76" s="221"/>
      <c r="H76" s="221">
        <f t="shared" si="120"/>
        <v>3.55</v>
      </c>
      <c r="I76" s="551">
        <f t="shared" si="121"/>
        <v>24</v>
      </c>
      <c r="J76" s="176">
        <f t="shared" si="122"/>
        <v>10.64</v>
      </c>
      <c r="K76" s="451">
        <f t="shared" si="123"/>
        <v>34.64</v>
      </c>
      <c r="L76" s="451"/>
      <c r="M76" s="221">
        <f t="shared" si="124"/>
        <v>0.30715935334872979</v>
      </c>
      <c r="N76" s="176">
        <f t="shared" si="125"/>
        <v>13.601016166281754</v>
      </c>
      <c r="O76" s="176">
        <f t="shared" si="173"/>
        <v>3.55</v>
      </c>
      <c r="P76" s="221">
        <f t="shared" si="126"/>
        <v>2.7202032332563508</v>
      </c>
      <c r="Q76" s="221">
        <f t="shared" si="127"/>
        <v>5</v>
      </c>
      <c r="R76" s="221">
        <f t="shared" si="128"/>
        <v>3.0224480369515008</v>
      </c>
      <c r="S76" s="176">
        <f t="shared" si="129"/>
        <v>50.441844552374903</v>
      </c>
      <c r="T76" s="176">
        <f t="shared" si="130"/>
        <v>5</v>
      </c>
      <c r="U76" s="221">
        <f t="shared" si="131"/>
        <v>1.0701406293511555</v>
      </c>
      <c r="V76" s="221">
        <f t="shared" si="132"/>
        <v>0.3121243502274203</v>
      </c>
      <c r="W76" s="221">
        <f t="shared" si="133"/>
        <v>0.70403988773102333</v>
      </c>
      <c r="X76" s="201">
        <f t="shared" si="134"/>
        <v>350</v>
      </c>
      <c r="Y76" s="451">
        <f t="shared" si="174"/>
        <v>350</v>
      </c>
      <c r="AA76" s="221">
        <f t="shared" si="135"/>
        <v>3.0089079511712309</v>
      </c>
      <c r="AB76" s="177">
        <f t="shared" si="136"/>
        <v>1.9795447047179149</v>
      </c>
      <c r="AC76" s="177">
        <f t="shared" si="137"/>
        <v>2.0846937306036244</v>
      </c>
      <c r="AD76" s="177"/>
      <c r="AE76" s="177">
        <f t="shared" si="138"/>
        <v>0.53947368421052622</v>
      </c>
      <c r="AF76" s="555">
        <f t="shared" si="139"/>
        <v>1604.997025580012</v>
      </c>
      <c r="AG76" s="538">
        <f t="shared" si="140"/>
        <v>0.15482894736842101</v>
      </c>
      <c r="AI76" s="177">
        <f t="shared" si="141"/>
        <v>1.8509542798329046</v>
      </c>
      <c r="AJ76" s="177">
        <f t="shared" si="142"/>
        <v>1.8509542798329046</v>
      </c>
      <c r="AK76" s="177">
        <f t="shared" si="143"/>
        <v>1.8873028532219365</v>
      </c>
      <c r="AM76" s="555">
        <f t="shared" si="144"/>
        <v>710</v>
      </c>
      <c r="AN76" s="469">
        <f t="shared" si="145"/>
        <v>350</v>
      </c>
      <c r="AP76">
        <f t="shared" si="146"/>
        <v>710</v>
      </c>
      <c r="AQ76">
        <f t="shared" si="147"/>
        <v>350</v>
      </c>
      <c r="AS76" s="5">
        <f t="shared" si="175"/>
        <v>2.8571428571428572</v>
      </c>
      <c r="AT76" s="5">
        <f t="shared" si="148"/>
        <v>0.53986166495126386</v>
      </c>
      <c r="AU76" s="5">
        <f t="shared" si="176"/>
        <v>2.3172811921915932</v>
      </c>
      <c r="AV76" s="5">
        <f t="shared" si="149"/>
        <v>1.2177330788374372</v>
      </c>
      <c r="AW76" s="177">
        <f t="shared" si="177"/>
        <v>0.18895158273294235</v>
      </c>
      <c r="AX76" s="177">
        <f t="shared" si="150"/>
        <v>4.19688888888889</v>
      </c>
      <c r="AY76" s="177">
        <f t="shared" si="151"/>
        <v>1.5012135390921639</v>
      </c>
      <c r="AZ76" s="177">
        <f t="shared" si="178"/>
        <v>2.7956641607608299</v>
      </c>
      <c r="BA76" s="469">
        <f t="shared" si="152"/>
        <v>100.52933910789432</v>
      </c>
      <c r="BB76" s="469">
        <f t="shared" si="153"/>
        <v>5.270111714444444</v>
      </c>
      <c r="BC76" s="5">
        <f t="shared" si="154"/>
        <v>0.31737454599846271</v>
      </c>
      <c r="BD76" s="469">
        <f t="shared" si="155"/>
        <v>38.578001075371098</v>
      </c>
      <c r="BE76" s="5"/>
      <c r="BF76" s="177">
        <f t="shared" si="179"/>
        <v>0.46452632537744099</v>
      </c>
      <c r="BG76" s="177">
        <f t="shared" si="156"/>
        <v>1.9248125883232519</v>
      </c>
      <c r="BH76" s="177"/>
      <c r="BI76" s="538">
        <f t="shared" si="157"/>
        <v>2.3736317766553498E-2</v>
      </c>
      <c r="BJ76" s="538">
        <f t="shared" si="158"/>
        <v>0.11220484844347067</v>
      </c>
      <c r="BK76" s="538">
        <f t="shared" si="159"/>
        <v>1.7499999999999998E-2</v>
      </c>
      <c r="BL76" s="538">
        <f t="shared" si="160"/>
        <v>9.4494456000000004E-2</v>
      </c>
      <c r="BM76">
        <f t="shared" si="161"/>
        <v>6.96E-3</v>
      </c>
      <c r="BN76">
        <f t="shared" si="162"/>
        <v>6.6500000000000004E-5</v>
      </c>
      <c r="BO76" s="538">
        <f t="shared" si="163"/>
        <v>0.25930209992262843</v>
      </c>
      <c r="BP76" s="469">
        <f t="shared" si="180"/>
        <v>259.30209992262843</v>
      </c>
      <c r="BQ76" s="538">
        <f t="shared" si="164"/>
        <v>0.55427462741280886</v>
      </c>
      <c r="BR76" s="538"/>
      <c r="BT76" s="469">
        <f t="shared" si="181"/>
        <v>554.27462741280885</v>
      </c>
      <c r="BU76" s="538">
        <f t="shared" si="165"/>
        <v>2.1578470696866817E-2</v>
      </c>
      <c r="BV76" s="538">
        <f t="shared" si="166"/>
        <v>0.11114710500502969</v>
      </c>
      <c r="BW76" s="538">
        <f t="shared" si="167"/>
        <v>0</v>
      </c>
      <c r="BX76" s="538">
        <f t="shared" si="168"/>
        <v>0.15024798480866652</v>
      </c>
      <c r="BY76" s="538">
        <f t="shared" si="169"/>
        <v>5.9955555555555567E-2</v>
      </c>
      <c r="BZ76" s="469">
        <f t="shared" si="182"/>
        <v>210.20354036422208</v>
      </c>
      <c r="CA76" s="177">
        <f t="shared" si="183"/>
        <v>1.0237802676996595</v>
      </c>
      <c r="CB76" s="5">
        <f t="shared" si="184"/>
        <v>3.55</v>
      </c>
      <c r="CC76" s="177">
        <f t="shared" si="185"/>
        <v>0.77616321559440371</v>
      </c>
      <c r="CD76" s="5">
        <f t="shared" si="186"/>
        <v>77.616321559440365</v>
      </c>
      <c r="CG76" s="571">
        <f t="shared" si="170"/>
        <v>-50</v>
      </c>
      <c r="CH76">
        <f t="shared" si="171"/>
        <v>-50</v>
      </c>
    </row>
    <row r="77" spans="5:86" x14ac:dyDescent="0.2">
      <c r="E77" s="174">
        <v>72</v>
      </c>
      <c r="F77" s="221">
        <f t="shared" si="172"/>
        <v>0.72</v>
      </c>
      <c r="G77" s="221"/>
      <c r="H77" s="221">
        <f t="shared" si="120"/>
        <v>3.5999999999999996</v>
      </c>
      <c r="I77" s="551">
        <f t="shared" si="121"/>
        <v>24</v>
      </c>
      <c r="J77" s="176">
        <f t="shared" si="122"/>
        <v>10.64</v>
      </c>
      <c r="K77" s="451">
        <f t="shared" si="123"/>
        <v>34.64</v>
      </c>
      <c r="L77" s="451"/>
      <c r="M77" s="221">
        <f t="shared" si="124"/>
        <v>0.30715935334872979</v>
      </c>
      <c r="N77" s="176">
        <f t="shared" si="125"/>
        <v>13.601016166281754</v>
      </c>
      <c r="O77" s="176">
        <f t="shared" si="173"/>
        <v>3.5999999999999996</v>
      </c>
      <c r="P77" s="221">
        <f t="shared" si="126"/>
        <v>2.7202032332563508</v>
      </c>
      <c r="Q77" s="221">
        <f t="shared" si="127"/>
        <v>5</v>
      </c>
      <c r="R77" s="221">
        <f t="shared" si="128"/>
        <v>3.0224480369515008</v>
      </c>
      <c r="S77" s="176">
        <f t="shared" si="129"/>
        <v>49.57695859843691</v>
      </c>
      <c r="T77" s="176">
        <f t="shared" si="130"/>
        <v>5</v>
      </c>
      <c r="U77" s="221">
        <f t="shared" si="131"/>
        <v>1.0852130325814535</v>
      </c>
      <c r="V77" s="221">
        <f t="shared" si="132"/>
        <v>0.31652046783625726</v>
      </c>
      <c r="W77" s="221">
        <f t="shared" si="133"/>
        <v>0.71395594248779826</v>
      </c>
      <c r="X77" s="201">
        <f t="shared" si="134"/>
        <v>350</v>
      </c>
      <c r="Y77" s="451">
        <f t="shared" si="174"/>
        <v>350</v>
      </c>
      <c r="AA77" s="221">
        <f t="shared" si="135"/>
        <v>3.0089079511712309</v>
      </c>
      <c r="AB77" s="177">
        <f t="shared" si="136"/>
        <v>1.9795447047179149</v>
      </c>
      <c r="AC77" s="177">
        <f t="shared" si="137"/>
        <v>2.0846937306036244</v>
      </c>
      <c r="AD77" s="177"/>
      <c r="AE77" s="177">
        <f t="shared" si="138"/>
        <v>0.53947368421052622</v>
      </c>
      <c r="AF77" s="555">
        <f t="shared" si="139"/>
        <v>1627.6026174895899</v>
      </c>
      <c r="AG77" s="538">
        <f t="shared" si="140"/>
        <v>0.15482894736842101</v>
      </c>
      <c r="AI77" s="177">
        <f t="shared" si="141"/>
        <v>1.8639435920342962</v>
      </c>
      <c r="AJ77" s="177">
        <f t="shared" si="142"/>
        <v>1.8639435920342962</v>
      </c>
      <c r="AK77" s="177">
        <f t="shared" si="143"/>
        <v>1.895962394689531</v>
      </c>
      <c r="AM77" s="555">
        <f t="shared" si="144"/>
        <v>720</v>
      </c>
      <c r="AN77" s="469">
        <f t="shared" si="145"/>
        <v>350</v>
      </c>
      <c r="AP77">
        <f t="shared" si="146"/>
        <v>720</v>
      </c>
      <c r="AQ77">
        <f t="shared" si="147"/>
        <v>350</v>
      </c>
      <c r="AS77" s="5">
        <f t="shared" si="175"/>
        <v>2.8571428571428572</v>
      </c>
      <c r="AT77" s="5">
        <f t="shared" si="148"/>
        <v>0.54365021434333638</v>
      </c>
      <c r="AU77" s="5">
        <f t="shared" si="176"/>
        <v>2.3134926427995208</v>
      </c>
      <c r="AV77" s="5">
        <f t="shared" si="149"/>
        <v>1.2262786789699314</v>
      </c>
      <c r="AW77" s="177">
        <f t="shared" si="177"/>
        <v>0.19027757502016773</v>
      </c>
      <c r="AX77" s="177">
        <f t="shared" si="150"/>
        <v>4.2560000000000002</v>
      </c>
      <c r="AY77" s="177">
        <f t="shared" si="151"/>
        <v>1.5092769253676295</v>
      </c>
      <c r="AZ77" s="177">
        <f t="shared" si="178"/>
        <v>2.8198933730887883</v>
      </c>
      <c r="BA77" s="469">
        <f t="shared" si="152"/>
        <v>100.52933910789432</v>
      </c>
      <c r="BB77" s="469">
        <f t="shared" si="153"/>
        <v>5.3891884799999996</v>
      </c>
      <c r="BC77" s="5">
        <f t="shared" si="154"/>
        <v>0.32131842261104449</v>
      </c>
      <c r="BD77" s="469">
        <f t="shared" si="155"/>
        <v>39.058210713325344</v>
      </c>
      <c r="BE77" s="5"/>
      <c r="BF77" s="177">
        <f t="shared" si="179"/>
        <v>0.46942470487519694</v>
      </c>
      <c r="BG77" s="177">
        <f t="shared" si="156"/>
        <v>1.9367350717618275</v>
      </c>
      <c r="BH77" s="177"/>
      <c r="BI77" s="538">
        <f t="shared" si="157"/>
        <v>2.4239550890188231E-2</v>
      </c>
      <c r="BJ77" s="538">
        <f t="shared" si="158"/>
        <v>0.11299226054911904</v>
      </c>
      <c r="BK77" s="538">
        <f t="shared" si="159"/>
        <v>1.7499999999999998E-2</v>
      </c>
      <c r="BL77" s="538">
        <f t="shared" si="160"/>
        <v>9.4494456000000004E-2</v>
      </c>
      <c r="BM77">
        <f t="shared" si="161"/>
        <v>6.96E-3</v>
      </c>
      <c r="BN77">
        <f t="shared" si="162"/>
        <v>6.6500000000000004E-5</v>
      </c>
      <c r="BO77" s="538">
        <f t="shared" si="163"/>
        <v>0.26069096821174487</v>
      </c>
      <c r="BP77" s="469">
        <f t="shared" si="180"/>
        <v>260.69096821174486</v>
      </c>
      <c r="BQ77" s="538">
        <f t="shared" si="164"/>
        <v>0.561612025197891</v>
      </c>
      <c r="BR77" s="538"/>
      <c r="BT77" s="469">
        <f t="shared" si="181"/>
        <v>561.61202519789094</v>
      </c>
      <c r="BU77" s="538">
        <f t="shared" si="165"/>
        <v>2.2035955354716575E-2</v>
      </c>
      <c r="BV77" s="538">
        <f t="shared" si="166"/>
        <v>0.11252828214576872</v>
      </c>
      <c r="BW77" s="538">
        <f t="shared" si="167"/>
        <v>0</v>
      </c>
      <c r="BX77" s="538">
        <f t="shared" si="168"/>
        <v>0.15235203685421825</v>
      </c>
      <c r="BY77" s="538">
        <f t="shared" si="169"/>
        <v>6.0800000000000014E-2</v>
      </c>
      <c r="BZ77" s="469">
        <f t="shared" si="182"/>
        <v>213.15203685421827</v>
      </c>
      <c r="CA77" s="177">
        <f t="shared" si="183"/>
        <v>1.0354550302638541</v>
      </c>
      <c r="CB77" s="5">
        <f t="shared" si="184"/>
        <v>3.5999999999999996</v>
      </c>
      <c r="CC77" s="177">
        <f t="shared" si="185"/>
        <v>0.77662278600404944</v>
      </c>
      <c r="CD77" s="5">
        <f t="shared" si="186"/>
        <v>77.662278600404946</v>
      </c>
      <c r="CG77" s="571">
        <f t="shared" si="170"/>
        <v>-50</v>
      </c>
      <c r="CH77">
        <f t="shared" si="171"/>
        <v>-50</v>
      </c>
    </row>
    <row r="78" spans="5:86" x14ac:dyDescent="0.2">
      <c r="E78" s="174">
        <v>73</v>
      </c>
      <c r="F78" s="221">
        <f t="shared" si="172"/>
        <v>0.73</v>
      </c>
      <c r="G78" s="221"/>
      <c r="H78" s="221">
        <f t="shared" si="120"/>
        <v>3.65</v>
      </c>
      <c r="I78" s="551">
        <f t="shared" si="121"/>
        <v>24</v>
      </c>
      <c r="J78" s="176">
        <f t="shared" si="122"/>
        <v>10.64</v>
      </c>
      <c r="K78" s="451">
        <f t="shared" si="123"/>
        <v>34.64</v>
      </c>
      <c r="L78" s="451"/>
      <c r="M78" s="221">
        <f t="shared" si="124"/>
        <v>0.30715935334872979</v>
      </c>
      <c r="N78" s="176">
        <f t="shared" si="125"/>
        <v>13.601016166281754</v>
      </c>
      <c r="O78" s="176">
        <f t="shared" si="173"/>
        <v>3.65</v>
      </c>
      <c r="P78" s="221">
        <f t="shared" si="126"/>
        <v>2.7202032332563508</v>
      </c>
      <c r="Q78" s="221">
        <f t="shared" si="127"/>
        <v>5</v>
      </c>
      <c r="R78" s="221">
        <f t="shared" si="128"/>
        <v>3.0224480369515008</v>
      </c>
      <c r="S78" s="176">
        <f t="shared" si="129"/>
        <v>48.735812432372256</v>
      </c>
      <c r="T78" s="176">
        <f t="shared" si="130"/>
        <v>5</v>
      </c>
      <c r="U78" s="221">
        <f t="shared" si="131"/>
        <v>1.1002854358117515</v>
      </c>
      <c r="V78" s="221">
        <f t="shared" si="132"/>
        <v>0.32091658544509416</v>
      </c>
      <c r="W78" s="221">
        <f t="shared" si="133"/>
        <v>0.7238719972445733</v>
      </c>
      <c r="X78" s="201">
        <f t="shared" si="134"/>
        <v>350</v>
      </c>
      <c r="Y78" s="451">
        <f t="shared" si="174"/>
        <v>350</v>
      </c>
      <c r="AA78" s="221">
        <f t="shared" si="135"/>
        <v>3.0089079511712309</v>
      </c>
      <c r="AB78" s="177">
        <f t="shared" si="136"/>
        <v>1.9795447047179149</v>
      </c>
      <c r="AC78" s="177">
        <f t="shared" si="137"/>
        <v>2.0846937306036244</v>
      </c>
      <c r="AD78" s="177"/>
      <c r="AE78" s="177">
        <f t="shared" si="138"/>
        <v>0.53947368421052622</v>
      </c>
      <c r="AF78" s="555">
        <f t="shared" si="139"/>
        <v>1650.2082093991673</v>
      </c>
      <c r="AG78" s="538">
        <f t="shared" si="140"/>
        <v>0.15482894736842101</v>
      </c>
      <c r="AI78" s="177">
        <f t="shared" si="141"/>
        <v>1.8768430095614506</v>
      </c>
      <c r="AJ78" s="177">
        <f t="shared" si="142"/>
        <v>1.8768430095614506</v>
      </c>
      <c r="AK78" s="177">
        <f t="shared" si="143"/>
        <v>1.9045620063743003</v>
      </c>
      <c r="AM78" s="555">
        <f t="shared" si="144"/>
        <v>730</v>
      </c>
      <c r="AN78" s="469">
        <f t="shared" si="145"/>
        <v>350</v>
      </c>
      <c r="AP78">
        <f t="shared" si="146"/>
        <v>730</v>
      </c>
      <c r="AQ78">
        <f t="shared" si="147"/>
        <v>350</v>
      </c>
      <c r="AS78" s="5">
        <f t="shared" si="175"/>
        <v>2.8571428571428572</v>
      </c>
      <c r="AT78" s="5">
        <f t="shared" si="148"/>
        <v>0.54741254445542309</v>
      </c>
      <c r="AU78" s="5">
        <f t="shared" si="176"/>
        <v>2.3097303126874342</v>
      </c>
      <c r="AV78" s="5">
        <f t="shared" si="149"/>
        <v>1.2347651378693754</v>
      </c>
      <c r="AW78" s="177">
        <f t="shared" si="177"/>
        <v>0.19159439055939809</v>
      </c>
      <c r="AX78" s="177">
        <f t="shared" si="150"/>
        <v>4.3151111111111113</v>
      </c>
      <c r="AY78" s="177">
        <f t="shared" si="151"/>
        <v>1.5172504169688579</v>
      </c>
      <c r="AZ78" s="177">
        <f t="shared" si="178"/>
        <v>2.8440335641704957</v>
      </c>
      <c r="BA78" s="469">
        <f t="shared" si="152"/>
        <v>100.52933910789432</v>
      </c>
      <c r="BB78" s="469">
        <f t="shared" si="153"/>
        <v>5.5095110744444433</v>
      </c>
      <c r="BC78" s="5">
        <f t="shared" si="154"/>
        <v>0.32525137505050666</v>
      </c>
      <c r="BD78" s="469">
        <f t="shared" si="155"/>
        <v>39.537109450505248</v>
      </c>
      <c r="BE78" s="5"/>
      <c r="BF78" s="177">
        <f t="shared" si="179"/>
        <v>0.47430610499180315</v>
      </c>
      <c r="BG78" s="177">
        <f t="shared" si="156"/>
        <v>1.9485518858346051</v>
      </c>
      <c r="BH78" s="177"/>
      <c r="BI78" s="538">
        <f t="shared" si="157"/>
        <v>2.4746290935574494E-2</v>
      </c>
      <c r="BJ78" s="538">
        <f t="shared" si="158"/>
        <v>0.11377422323961515</v>
      </c>
      <c r="BK78" s="538">
        <f t="shared" si="159"/>
        <v>1.7499999999999998E-2</v>
      </c>
      <c r="BL78" s="538">
        <f t="shared" si="160"/>
        <v>9.4494456000000004E-2</v>
      </c>
      <c r="BM78">
        <f t="shared" si="161"/>
        <v>6.96E-3</v>
      </c>
      <c r="BN78">
        <f t="shared" si="162"/>
        <v>6.6500000000000004E-5</v>
      </c>
      <c r="BO78" s="538">
        <f t="shared" si="163"/>
        <v>0.26207879014043661</v>
      </c>
      <c r="BP78" s="469">
        <f t="shared" si="180"/>
        <v>262.07879014043664</v>
      </c>
      <c r="BQ78" s="538">
        <f t="shared" si="164"/>
        <v>0.56893968011672524</v>
      </c>
      <c r="BR78" s="538"/>
      <c r="BT78" s="469">
        <f t="shared" si="181"/>
        <v>568.9396801167253</v>
      </c>
      <c r="BU78" s="538">
        <f t="shared" si="165"/>
        <v>2.249662812324954E-2</v>
      </c>
      <c r="BV78" s="538">
        <f t="shared" si="166"/>
        <v>0.11390563355368788</v>
      </c>
      <c r="BW78" s="538">
        <f t="shared" si="167"/>
        <v>0</v>
      </c>
      <c r="BX78" s="538">
        <f t="shared" si="168"/>
        <v>0.15445598472990574</v>
      </c>
      <c r="BY78" s="538">
        <f t="shared" si="169"/>
        <v>6.164444444444446E-2</v>
      </c>
      <c r="BZ78" s="469">
        <f t="shared" si="182"/>
        <v>216.10042917435018</v>
      </c>
      <c r="CA78" s="177">
        <f t="shared" si="183"/>
        <v>1.0471188994315122</v>
      </c>
      <c r="CB78" s="5">
        <f t="shared" si="184"/>
        <v>3.65</v>
      </c>
      <c r="CC78" s="177">
        <f t="shared" si="185"/>
        <v>0.77707208996599086</v>
      </c>
      <c r="CD78" s="5">
        <f t="shared" si="186"/>
        <v>77.707208996599093</v>
      </c>
      <c r="CG78" s="571">
        <f t="shared" si="170"/>
        <v>-50</v>
      </c>
      <c r="CH78">
        <f t="shared" si="171"/>
        <v>-50</v>
      </c>
    </row>
    <row r="79" spans="5:86" x14ac:dyDescent="0.2">
      <c r="E79" s="174">
        <v>74</v>
      </c>
      <c r="F79" s="221">
        <f t="shared" si="172"/>
        <v>0.74</v>
      </c>
      <c r="G79" s="221"/>
      <c r="H79" s="221">
        <f t="shared" si="120"/>
        <v>3.7</v>
      </c>
      <c r="I79" s="551">
        <f t="shared" si="121"/>
        <v>24</v>
      </c>
      <c r="J79" s="176">
        <f t="shared" si="122"/>
        <v>10.64</v>
      </c>
      <c r="K79" s="451">
        <f t="shared" si="123"/>
        <v>34.64</v>
      </c>
      <c r="L79" s="451"/>
      <c r="M79" s="221">
        <f t="shared" si="124"/>
        <v>0.30715935334872979</v>
      </c>
      <c r="N79" s="176">
        <f t="shared" si="125"/>
        <v>13.601016166281754</v>
      </c>
      <c r="O79" s="176">
        <f t="shared" si="173"/>
        <v>3.7</v>
      </c>
      <c r="P79" s="221">
        <f t="shared" si="126"/>
        <v>2.7202032332563508</v>
      </c>
      <c r="Q79" s="221">
        <f t="shared" si="127"/>
        <v>5</v>
      </c>
      <c r="R79" s="221">
        <f t="shared" si="128"/>
        <v>3.0224480369515008</v>
      </c>
      <c r="S79" s="176">
        <f t="shared" si="129"/>
        <v>47.917444045752951</v>
      </c>
      <c r="T79" s="176">
        <f t="shared" si="130"/>
        <v>5</v>
      </c>
      <c r="U79" s="221">
        <f t="shared" si="131"/>
        <v>1.1153578390420495</v>
      </c>
      <c r="V79" s="221">
        <f t="shared" si="132"/>
        <v>0.32531270305393112</v>
      </c>
      <c r="W79" s="221">
        <f t="shared" si="133"/>
        <v>0.73378805200134845</v>
      </c>
      <c r="X79" s="201">
        <f t="shared" si="134"/>
        <v>350</v>
      </c>
      <c r="Y79" s="451">
        <f t="shared" si="174"/>
        <v>350</v>
      </c>
      <c r="AA79" s="221">
        <f t="shared" si="135"/>
        <v>3.0089079511712309</v>
      </c>
      <c r="AB79" s="177">
        <f t="shared" si="136"/>
        <v>1.9795447047179149</v>
      </c>
      <c r="AC79" s="177">
        <f t="shared" si="137"/>
        <v>2.0846937306036244</v>
      </c>
      <c r="AD79" s="177"/>
      <c r="AE79" s="177">
        <f t="shared" si="138"/>
        <v>0.53947368421052622</v>
      </c>
      <c r="AF79" s="555">
        <f t="shared" si="139"/>
        <v>1672.813801308745</v>
      </c>
      <c r="AG79" s="538">
        <f t="shared" si="140"/>
        <v>0.15482894736842101</v>
      </c>
      <c r="AI79" s="177">
        <f t="shared" si="141"/>
        <v>1.8896543733692812</v>
      </c>
      <c r="AJ79" s="177">
        <f t="shared" si="142"/>
        <v>1.8896543733692812</v>
      </c>
      <c r="AK79" s="177">
        <f t="shared" si="143"/>
        <v>1.9131029155795207</v>
      </c>
      <c r="AM79" s="555">
        <f t="shared" si="144"/>
        <v>740</v>
      </c>
      <c r="AN79" s="469">
        <f t="shared" si="145"/>
        <v>350</v>
      </c>
      <c r="AP79">
        <f t="shared" si="146"/>
        <v>740</v>
      </c>
      <c r="AQ79">
        <f t="shared" si="147"/>
        <v>350</v>
      </c>
      <c r="AS79" s="5">
        <f t="shared" si="175"/>
        <v>2.8571428571428572</v>
      </c>
      <c r="AT79" s="5">
        <f t="shared" si="148"/>
        <v>0.55114919223270697</v>
      </c>
      <c r="AU79" s="5">
        <f t="shared" si="176"/>
        <v>2.30599366491015</v>
      </c>
      <c r="AV79" s="5">
        <f t="shared" si="149"/>
        <v>1.2431936666903165</v>
      </c>
      <c r="AW79" s="177">
        <f t="shared" si="177"/>
        <v>0.19290221728144744</v>
      </c>
      <c r="AX79" s="177">
        <f t="shared" si="150"/>
        <v>4.3742222222222225</v>
      </c>
      <c r="AY79" s="177">
        <f t="shared" si="151"/>
        <v>1.5251358548507628</v>
      </c>
      <c r="AZ79" s="177">
        <f t="shared" si="178"/>
        <v>2.8680869368520931</v>
      </c>
      <c r="BA79" s="469">
        <f t="shared" si="152"/>
        <v>100.52933910789432</v>
      </c>
      <c r="BB79" s="469">
        <f t="shared" si="153"/>
        <v>5.6310794977777778</v>
      </c>
      <c r="BC79" s="5">
        <f t="shared" si="154"/>
        <v>0.329173478401526</v>
      </c>
      <c r="BD79" s="469">
        <f t="shared" si="155"/>
        <v>40.014706297072017</v>
      </c>
      <c r="BE79" s="5"/>
      <c r="BF79" s="177">
        <f t="shared" si="179"/>
        <v>0.47917081599105826</v>
      </c>
      <c r="BG79" s="177">
        <f t="shared" si="156"/>
        <v>1.9602651650906964</v>
      </c>
      <c r="BH79" s="177"/>
      <c r="BI79" s="538">
        <f t="shared" si="157"/>
        <v>2.5256513798729029E-2</v>
      </c>
      <c r="BJ79" s="538">
        <f t="shared" si="158"/>
        <v>0.11455084811364584</v>
      </c>
      <c r="BK79" s="538">
        <f t="shared" si="159"/>
        <v>1.7499999999999998E-2</v>
      </c>
      <c r="BL79" s="538">
        <f t="shared" si="160"/>
        <v>9.4494456000000004E-2</v>
      </c>
      <c r="BM79">
        <f t="shared" si="161"/>
        <v>6.96E-3</v>
      </c>
      <c r="BN79">
        <f t="shared" si="162"/>
        <v>6.6500000000000004E-5</v>
      </c>
      <c r="BO79" s="538">
        <f t="shared" si="163"/>
        <v>0.26346565157821761</v>
      </c>
      <c r="BP79" s="469">
        <f t="shared" si="180"/>
        <v>263.4656515782176</v>
      </c>
      <c r="BQ79" s="538">
        <f t="shared" si="164"/>
        <v>0.5762576591345594</v>
      </c>
      <c r="BR79" s="538"/>
      <c r="BT79" s="469">
        <f t="shared" si="181"/>
        <v>576.25765913455939</v>
      </c>
      <c r="BU79" s="538">
        <f t="shared" si="165"/>
        <v>2.2960467089753661E-2</v>
      </c>
      <c r="BV79" s="538">
        <f t="shared" si="166"/>
        <v>0.11527918552404165</v>
      </c>
      <c r="BW79" s="538">
        <f t="shared" si="167"/>
        <v>0</v>
      </c>
      <c r="BX79" s="538">
        <f t="shared" si="168"/>
        <v>0.15655983308253907</v>
      </c>
      <c r="BY79" s="538">
        <f t="shared" si="169"/>
        <v>6.2488888888888899E-2</v>
      </c>
      <c r="BZ79" s="469">
        <f t="shared" si="182"/>
        <v>219.04872197142797</v>
      </c>
      <c r="CA79" s="177">
        <f t="shared" si="183"/>
        <v>1.0587720326842049</v>
      </c>
      <c r="CB79" s="5">
        <f t="shared" si="184"/>
        <v>3.7</v>
      </c>
      <c r="CC79" s="177">
        <f t="shared" si="185"/>
        <v>0.77751150393161406</v>
      </c>
      <c r="CD79" s="5">
        <f t="shared" si="186"/>
        <v>77.75115039316141</v>
      </c>
      <c r="CG79" s="571">
        <f t="shared" si="170"/>
        <v>-50</v>
      </c>
      <c r="CH79">
        <f t="shared" si="171"/>
        <v>-50</v>
      </c>
    </row>
    <row r="80" spans="5:86" x14ac:dyDescent="0.2">
      <c r="E80" s="174">
        <v>75</v>
      </c>
      <c r="F80" s="221">
        <f t="shared" si="172"/>
        <v>0.75</v>
      </c>
      <c r="G80" s="221"/>
      <c r="H80" s="221">
        <f t="shared" si="120"/>
        <v>3.75</v>
      </c>
      <c r="I80" s="551">
        <f t="shared" si="121"/>
        <v>24</v>
      </c>
      <c r="J80" s="176">
        <f t="shared" si="122"/>
        <v>10.64</v>
      </c>
      <c r="K80" s="451">
        <f t="shared" si="123"/>
        <v>34.64</v>
      </c>
      <c r="L80" s="451"/>
      <c r="M80" s="221">
        <f t="shared" si="124"/>
        <v>0.30715935334872979</v>
      </c>
      <c r="N80" s="176">
        <f t="shared" si="125"/>
        <v>13.601016166281754</v>
      </c>
      <c r="O80" s="176">
        <f t="shared" si="173"/>
        <v>3.75</v>
      </c>
      <c r="P80" s="221">
        <f t="shared" si="126"/>
        <v>2.7202032332563508</v>
      </c>
      <c r="Q80" s="221">
        <f t="shared" si="127"/>
        <v>5</v>
      </c>
      <c r="R80" s="221">
        <f t="shared" si="128"/>
        <v>3.0224480369515008</v>
      </c>
      <c r="S80" s="176">
        <f t="shared" si="129"/>
        <v>47.120942742239841</v>
      </c>
      <c r="T80" s="176">
        <f t="shared" si="130"/>
        <v>5</v>
      </c>
      <c r="U80" s="221">
        <f t="shared" si="131"/>
        <v>1.1304302422723476</v>
      </c>
      <c r="V80" s="221">
        <f t="shared" si="132"/>
        <v>0.32970882066276797</v>
      </c>
      <c r="W80" s="221">
        <f t="shared" si="133"/>
        <v>0.74370410675812326</v>
      </c>
      <c r="X80" s="201">
        <f t="shared" si="134"/>
        <v>350</v>
      </c>
      <c r="Y80" s="451">
        <f t="shared" si="174"/>
        <v>350</v>
      </c>
      <c r="AA80" s="221">
        <f t="shared" si="135"/>
        <v>3.0089079511712309</v>
      </c>
      <c r="AB80" s="177">
        <f t="shared" si="136"/>
        <v>1.9795447047179149</v>
      </c>
      <c r="AC80" s="177">
        <f t="shared" si="137"/>
        <v>2.0846937306036244</v>
      </c>
      <c r="AD80" s="177"/>
      <c r="AE80" s="177">
        <f t="shared" si="138"/>
        <v>0.53947368421052622</v>
      </c>
      <c r="AF80" s="555">
        <f t="shared" si="139"/>
        <v>1695.4193932183227</v>
      </c>
      <c r="AG80" s="538">
        <f t="shared" si="140"/>
        <v>0.15482894736842101</v>
      </c>
      <c r="AI80" s="177">
        <f t="shared" si="141"/>
        <v>1.9023794624226837</v>
      </c>
      <c r="AJ80" s="177">
        <f t="shared" si="142"/>
        <v>1.9023794624226837</v>
      </c>
      <c r="AK80" s="177">
        <f t="shared" si="143"/>
        <v>1.9215863082817892</v>
      </c>
      <c r="AM80" s="555">
        <f t="shared" si="144"/>
        <v>750</v>
      </c>
      <c r="AN80" s="469">
        <f t="shared" si="145"/>
        <v>350</v>
      </c>
      <c r="AP80">
        <f t="shared" si="146"/>
        <v>750</v>
      </c>
      <c r="AQ80">
        <f t="shared" si="147"/>
        <v>350</v>
      </c>
      <c r="AS80" s="5">
        <f t="shared" si="175"/>
        <v>2.8571428571428572</v>
      </c>
      <c r="AT80" s="5">
        <f t="shared" si="148"/>
        <v>0.5548606765399493</v>
      </c>
      <c r="AU80" s="5">
        <f t="shared" si="176"/>
        <v>2.3022821806029077</v>
      </c>
      <c r="AV80" s="5">
        <f t="shared" si="149"/>
        <v>1.2515654358043971</v>
      </c>
      <c r="AW80" s="177">
        <f t="shared" si="177"/>
        <v>0.19420123678898224</v>
      </c>
      <c r="AX80" s="177">
        <f t="shared" si="150"/>
        <v>4.4333333333333336</v>
      </c>
      <c r="AY80" s="177">
        <f t="shared" si="151"/>
        <v>1.5329350179782393</v>
      </c>
      <c r="AZ80" s="177">
        <f t="shared" si="178"/>
        <v>2.8920556196702831</v>
      </c>
      <c r="BA80" s="469">
        <f t="shared" si="152"/>
        <v>100.52933910789432</v>
      </c>
      <c r="BB80" s="469">
        <f t="shared" si="153"/>
        <v>5.7538937499999996</v>
      </c>
      <c r="BC80" s="5">
        <f t="shared" si="154"/>
        <v>0.33308480622148545</v>
      </c>
      <c r="BD80" s="469">
        <f t="shared" si="155"/>
        <v>40.491010079911582</v>
      </c>
      <c r="BE80" s="5"/>
      <c r="BF80" s="177">
        <f t="shared" si="179"/>
        <v>0.48401911932528346</v>
      </c>
      <c r="BG80" s="177">
        <f t="shared" si="156"/>
        <v>1.9718769723051013</v>
      </c>
      <c r="BH80" s="177"/>
      <c r="BI80" s="538">
        <f t="shared" si="157"/>
        <v>2.577019586596653E-2</v>
      </c>
      <c r="BJ80" s="538">
        <f t="shared" si="158"/>
        <v>0.11532224301206308</v>
      </c>
      <c r="BK80" s="538">
        <f t="shared" si="159"/>
        <v>1.7499999999999998E-2</v>
      </c>
      <c r="BL80" s="538">
        <f t="shared" si="160"/>
        <v>9.4494456000000004E-2</v>
      </c>
      <c r="BM80">
        <f t="shared" si="161"/>
        <v>6.96E-3</v>
      </c>
      <c r="BN80">
        <f t="shared" si="162"/>
        <v>6.6500000000000004E-5</v>
      </c>
      <c r="BO80" s="538">
        <f t="shared" si="163"/>
        <v>0.26485163520589305</v>
      </c>
      <c r="BP80" s="469">
        <f t="shared" si="180"/>
        <v>264.85163520589305</v>
      </c>
      <c r="BQ80" s="538">
        <f t="shared" si="164"/>
        <v>0.58356602785450506</v>
      </c>
      <c r="BR80" s="538"/>
      <c r="BT80" s="469">
        <f t="shared" si="181"/>
        <v>583.56602785450502</v>
      </c>
      <c r="BU80" s="538">
        <f t="shared" si="165"/>
        <v>2.3427450787242302E-2</v>
      </c>
      <c r="BV80" s="538">
        <f t="shared" si="166"/>
        <v>0.11664896381721399</v>
      </c>
      <c r="BW80" s="538">
        <f t="shared" si="167"/>
        <v>0</v>
      </c>
      <c r="BX80" s="538">
        <f t="shared" si="168"/>
        <v>0.15866358646258816</v>
      </c>
      <c r="BY80" s="538">
        <f t="shared" si="169"/>
        <v>6.3333333333333353E-2</v>
      </c>
      <c r="BZ80" s="469">
        <f t="shared" si="182"/>
        <v>221.99691979592151</v>
      </c>
      <c r="CA80" s="177">
        <f t="shared" si="183"/>
        <v>1.0704145828563196</v>
      </c>
      <c r="CB80" s="5">
        <f t="shared" si="184"/>
        <v>3.75</v>
      </c>
      <c r="CC80" s="177">
        <f t="shared" si="185"/>
        <v>0.77794138565109705</v>
      </c>
      <c r="CD80" s="5">
        <f t="shared" si="186"/>
        <v>77.794138565109705</v>
      </c>
      <c r="CG80" s="571">
        <f t="shared" si="170"/>
        <v>-50</v>
      </c>
      <c r="CH80">
        <f t="shared" si="171"/>
        <v>-50</v>
      </c>
    </row>
    <row r="81" spans="5:86" x14ac:dyDescent="0.2">
      <c r="E81" s="174">
        <v>76</v>
      </c>
      <c r="F81" s="221">
        <f t="shared" si="172"/>
        <v>0.76</v>
      </c>
      <c r="G81" s="221"/>
      <c r="H81" s="221">
        <f t="shared" si="120"/>
        <v>3.8</v>
      </c>
      <c r="I81" s="551">
        <f t="shared" si="121"/>
        <v>24</v>
      </c>
      <c r="J81" s="176">
        <f t="shared" si="122"/>
        <v>10.64</v>
      </c>
      <c r="K81" s="451">
        <f t="shared" si="123"/>
        <v>34.64</v>
      </c>
      <c r="L81" s="451"/>
      <c r="M81" s="221">
        <f t="shared" si="124"/>
        <v>0.30715935334872979</v>
      </c>
      <c r="N81" s="176">
        <f t="shared" si="125"/>
        <v>13.601016166281754</v>
      </c>
      <c r="O81" s="176">
        <f t="shared" si="173"/>
        <v>3.8</v>
      </c>
      <c r="P81" s="221">
        <f t="shared" si="126"/>
        <v>2.7202032332563508</v>
      </c>
      <c r="Q81" s="221">
        <f t="shared" si="127"/>
        <v>5</v>
      </c>
      <c r="R81" s="221">
        <f t="shared" si="128"/>
        <v>3.0224480369515008</v>
      </c>
      <c r="S81" s="176">
        <f t="shared" si="129"/>
        <v>46.345445761857967</v>
      </c>
      <c r="T81" s="176">
        <f t="shared" si="130"/>
        <v>5</v>
      </c>
      <c r="U81" s="221">
        <f t="shared" si="131"/>
        <v>1.1455026455026454</v>
      </c>
      <c r="V81" s="221">
        <f t="shared" si="132"/>
        <v>0.33410493827160492</v>
      </c>
      <c r="W81" s="221">
        <f t="shared" si="133"/>
        <v>0.75362016151489819</v>
      </c>
      <c r="X81" s="201">
        <f t="shared" si="134"/>
        <v>350</v>
      </c>
      <c r="Y81" s="451">
        <f t="shared" si="174"/>
        <v>350</v>
      </c>
      <c r="AA81" s="221">
        <f t="shared" si="135"/>
        <v>3.0089079511712309</v>
      </c>
      <c r="AB81" s="177">
        <f t="shared" si="136"/>
        <v>1.9795447047179149</v>
      </c>
      <c r="AC81" s="177">
        <f t="shared" si="137"/>
        <v>2.0846937306036244</v>
      </c>
      <c r="AD81" s="177"/>
      <c r="AE81" s="177">
        <f t="shared" si="138"/>
        <v>0.53947368421052622</v>
      </c>
      <c r="AF81" s="555">
        <f t="shared" si="139"/>
        <v>1718.0249851279002</v>
      </c>
      <c r="AG81" s="538">
        <f t="shared" si="140"/>
        <v>0.15482894736842101</v>
      </c>
      <c r="AI81" s="177">
        <f t="shared" si="141"/>
        <v>1.9150199965800847</v>
      </c>
      <c r="AJ81" s="177">
        <f t="shared" si="142"/>
        <v>1.9150199965800847</v>
      </c>
      <c r="AK81" s="177">
        <f t="shared" si="143"/>
        <v>1.93001333105339</v>
      </c>
      <c r="AM81" s="555">
        <f t="shared" si="144"/>
        <v>760</v>
      </c>
      <c r="AN81" s="469">
        <f t="shared" si="145"/>
        <v>350</v>
      </c>
      <c r="AP81">
        <f t="shared" si="146"/>
        <v>760</v>
      </c>
      <c r="AQ81">
        <f t="shared" si="147"/>
        <v>350</v>
      </c>
      <c r="AS81" s="5">
        <f t="shared" si="175"/>
        <v>2.8571428571428572</v>
      </c>
      <c r="AT81" s="5">
        <f t="shared" si="148"/>
        <v>0.55854749900252476</v>
      </c>
      <c r="AU81" s="5">
        <f t="shared" si="176"/>
        <v>2.2985953581403322</v>
      </c>
      <c r="AV81" s="5">
        <f t="shared" si="149"/>
        <v>1.2598815766974241</v>
      </c>
      <c r="AW81" s="177">
        <f t="shared" si="177"/>
        <v>0.19549162465088366</v>
      </c>
      <c r="AX81" s="177">
        <f t="shared" si="150"/>
        <v>4.4924444444444447</v>
      </c>
      <c r="AY81" s="177">
        <f t="shared" si="151"/>
        <v>1.5406496262097142</v>
      </c>
      <c r="AZ81" s="177">
        <f t="shared" si="178"/>
        <v>2.915941670330779</v>
      </c>
      <c r="BA81" s="469">
        <f t="shared" si="152"/>
        <v>100.52933910789432</v>
      </c>
      <c r="BB81" s="469">
        <f t="shared" si="153"/>
        <v>5.8779538311111112</v>
      </c>
      <c r="BC81" s="5">
        <f t="shared" si="154"/>
        <v>0.33698543059156105</v>
      </c>
      <c r="BD81" s="469">
        <f t="shared" si="155"/>
        <v>40.966029448765099</v>
      </c>
      <c r="BE81" s="5"/>
      <c r="BF81" s="177">
        <f t="shared" si="179"/>
        <v>0.48885128801656091</v>
      </c>
      <c r="BG81" s="177">
        <f t="shared" si="156"/>
        <v>1.9833893018148627</v>
      </c>
      <c r="BH81" s="177"/>
      <c r="BI81" s="538">
        <f t="shared" si="157"/>
        <v>2.6287313997499565E-2</v>
      </c>
      <c r="BJ81" s="538">
        <f t="shared" si="158"/>
        <v>0.11608851219268475</v>
      </c>
      <c r="BK81" s="538">
        <f t="shared" si="159"/>
        <v>1.7499999999999998E-2</v>
      </c>
      <c r="BL81" s="538">
        <f t="shared" si="160"/>
        <v>9.4494456000000004E-2</v>
      </c>
      <c r="BM81">
        <f t="shared" si="161"/>
        <v>6.96E-3</v>
      </c>
      <c r="BN81">
        <f t="shared" si="162"/>
        <v>6.6500000000000004E-5</v>
      </c>
      <c r="BO81" s="538">
        <f t="shared" si="163"/>
        <v>0.26623682067139215</v>
      </c>
      <c r="BP81" s="469">
        <f t="shared" si="180"/>
        <v>266.23682067139214</v>
      </c>
      <c r="BQ81" s="538">
        <f t="shared" si="164"/>
        <v>0.59086485056309879</v>
      </c>
      <c r="BR81" s="538"/>
      <c r="BT81" s="469">
        <f t="shared" si="181"/>
        <v>590.8648505630988</v>
      </c>
      <c r="BU81" s="538">
        <f t="shared" si="165"/>
        <v>2.3897558179545059E-2</v>
      </c>
      <c r="BV81" s="538">
        <f t="shared" si="166"/>
        <v>0.11801499367660945</v>
      </c>
      <c r="BW81" s="538">
        <f t="shared" si="167"/>
        <v>0</v>
      </c>
      <c r="BX81" s="538">
        <f t="shared" si="168"/>
        <v>0.16076724932744929</v>
      </c>
      <c r="BY81" s="538">
        <f t="shared" si="169"/>
        <v>6.4177777777777792E-2</v>
      </c>
      <c r="BZ81" s="469">
        <f t="shared" si="182"/>
        <v>224.94502710522707</v>
      </c>
      <c r="CA81" s="177">
        <f t="shared" si="183"/>
        <v>1.0820466983397181</v>
      </c>
      <c r="CB81" s="5">
        <f t="shared" si="184"/>
        <v>3.8</v>
      </c>
      <c r="CC81" s="177">
        <f t="shared" si="185"/>
        <v>0.77836207533457247</v>
      </c>
      <c r="CD81" s="5">
        <f t="shared" si="186"/>
        <v>77.836207533457241</v>
      </c>
      <c r="CG81" s="571">
        <f t="shared" si="170"/>
        <v>-50</v>
      </c>
      <c r="CH81">
        <f t="shared" si="171"/>
        <v>-50</v>
      </c>
    </row>
    <row r="82" spans="5:86" x14ac:dyDescent="0.2">
      <c r="E82" s="174">
        <v>77</v>
      </c>
      <c r="F82" s="221">
        <f t="shared" si="172"/>
        <v>0.77</v>
      </c>
      <c r="G82" s="221"/>
      <c r="H82" s="221">
        <f t="shared" si="120"/>
        <v>3.85</v>
      </c>
      <c r="I82" s="551">
        <f t="shared" si="121"/>
        <v>24</v>
      </c>
      <c r="J82" s="176">
        <f t="shared" si="122"/>
        <v>10.64</v>
      </c>
      <c r="K82" s="451">
        <f t="shared" si="123"/>
        <v>34.64</v>
      </c>
      <c r="L82" s="451"/>
      <c r="M82" s="221">
        <f t="shared" si="124"/>
        <v>0.30715935334872979</v>
      </c>
      <c r="N82" s="176">
        <f t="shared" si="125"/>
        <v>13.601016166281754</v>
      </c>
      <c r="O82" s="176">
        <f t="shared" si="173"/>
        <v>3.85</v>
      </c>
      <c r="P82" s="221">
        <f t="shared" si="126"/>
        <v>2.7202032332563508</v>
      </c>
      <c r="Q82" s="221">
        <f t="shared" si="127"/>
        <v>5</v>
      </c>
      <c r="R82" s="221">
        <f t="shared" si="128"/>
        <v>3.0224480369515008</v>
      </c>
      <c r="S82" s="176">
        <f t="shared" si="129"/>
        <v>45.590135168316579</v>
      </c>
      <c r="T82" s="176">
        <f t="shared" si="130"/>
        <v>5</v>
      </c>
      <c r="U82" s="221">
        <f t="shared" si="131"/>
        <v>1.1605750487329434</v>
      </c>
      <c r="V82" s="221">
        <f t="shared" si="132"/>
        <v>0.33850105588044183</v>
      </c>
      <c r="W82" s="221">
        <f t="shared" si="133"/>
        <v>0.76353621627167323</v>
      </c>
      <c r="X82" s="201">
        <f t="shared" si="134"/>
        <v>350</v>
      </c>
      <c r="Y82" s="451">
        <f t="shared" si="174"/>
        <v>350</v>
      </c>
      <c r="AA82" s="221">
        <f t="shared" si="135"/>
        <v>3.0089079511712309</v>
      </c>
      <c r="AB82" s="177">
        <f t="shared" si="136"/>
        <v>1.9795447047179149</v>
      </c>
      <c r="AC82" s="177">
        <f t="shared" si="137"/>
        <v>2.0846937306036244</v>
      </c>
      <c r="AD82" s="177"/>
      <c r="AE82" s="177">
        <f t="shared" si="138"/>
        <v>0.53947368421052622</v>
      </c>
      <c r="AF82" s="555">
        <f t="shared" si="139"/>
        <v>1740.6305770374781</v>
      </c>
      <c r="AG82" s="538">
        <f t="shared" si="140"/>
        <v>0.15482894736842101</v>
      </c>
      <c r="AI82" s="177">
        <f t="shared" si="141"/>
        <v>1.9275776393067947</v>
      </c>
      <c r="AJ82" s="177">
        <f t="shared" si="142"/>
        <v>1.9275776393067947</v>
      </c>
      <c r="AK82" s="177">
        <f t="shared" si="143"/>
        <v>1.9383850928711965</v>
      </c>
      <c r="AM82" s="555">
        <f t="shared" si="144"/>
        <v>770</v>
      </c>
      <c r="AN82" s="469">
        <f t="shared" si="145"/>
        <v>350</v>
      </c>
      <c r="AP82">
        <f t="shared" si="146"/>
        <v>770</v>
      </c>
      <c r="AQ82">
        <f t="shared" si="147"/>
        <v>350</v>
      </c>
      <c r="AS82" s="5">
        <f t="shared" si="175"/>
        <v>2.8571428571428572</v>
      </c>
      <c r="AT82" s="5">
        <f t="shared" si="148"/>
        <v>0.56221014479781506</v>
      </c>
      <c r="AU82" s="5">
        <f t="shared" si="176"/>
        <v>2.2949327123450423</v>
      </c>
      <c r="AV82" s="5">
        <f t="shared" si="149"/>
        <v>1.2681431837544701</v>
      </c>
      <c r="AW82" s="177">
        <f t="shared" si="177"/>
        <v>0.19677355067923527</v>
      </c>
      <c r="AX82" s="177">
        <f t="shared" si="150"/>
        <v>4.5515555555555549</v>
      </c>
      <c r="AY82" s="177">
        <f t="shared" si="151"/>
        <v>1.5482813430104985</v>
      </c>
      <c r="AZ82" s="177">
        <f t="shared" si="178"/>
        <v>2.939747078980782</v>
      </c>
      <c r="BA82" s="469">
        <f t="shared" si="152"/>
        <v>100.52933910789432</v>
      </c>
      <c r="BB82" s="469">
        <f t="shared" si="153"/>
        <v>6.0032597411111102</v>
      </c>
      <c r="BC82" s="5">
        <f t="shared" si="154"/>
        <v>0.34087542216544792</v>
      </c>
      <c r="BD82" s="469">
        <f t="shared" si="155"/>
        <v>41.439772882075985</v>
      </c>
      <c r="BE82" s="5"/>
      <c r="BF82" s="177">
        <f t="shared" si="179"/>
        <v>0.49366758701668384</v>
      </c>
      <c r="BG82" s="177">
        <f t="shared" si="156"/>
        <v>1.9948040826583882</v>
      </c>
      <c r="BH82" s="177"/>
      <c r="BI82" s="538">
        <f t="shared" si="157"/>
        <v>2.6807845511796265E-2</v>
      </c>
      <c r="BJ82" s="538">
        <f t="shared" si="158"/>
        <v>0.11684975649477791</v>
      </c>
      <c r="BK82" s="538">
        <f t="shared" si="159"/>
        <v>1.7499999999999998E-2</v>
      </c>
      <c r="BL82" s="538">
        <f t="shared" si="160"/>
        <v>9.4494456000000004E-2</v>
      </c>
      <c r="BM82">
        <f t="shared" si="161"/>
        <v>6.96E-3</v>
      </c>
      <c r="BN82">
        <f t="shared" si="162"/>
        <v>6.6500000000000004E-5</v>
      </c>
      <c r="BO82" s="538">
        <f t="shared" si="163"/>
        <v>0.26762128473616015</v>
      </c>
      <c r="BP82" s="469">
        <f t="shared" si="180"/>
        <v>267.62128473616013</v>
      </c>
      <c r="BQ82" s="538">
        <f t="shared" si="164"/>
        <v>0.59815419027375982</v>
      </c>
      <c r="BR82" s="538"/>
      <c r="BT82" s="469">
        <f t="shared" si="181"/>
        <v>598.15419027375981</v>
      </c>
      <c r="BU82" s="538">
        <f t="shared" si="165"/>
        <v>2.4370768647087513E-2</v>
      </c>
      <c r="BV82" s="538">
        <f t="shared" si="166"/>
        <v>0.11937729984571721</v>
      </c>
      <c r="BW82" s="538">
        <f t="shared" si="167"/>
        <v>0</v>
      </c>
      <c r="BX82" s="538">
        <f t="shared" si="168"/>
        <v>0.16287082604455994</v>
      </c>
      <c r="BY82" s="538">
        <f t="shared" si="169"/>
        <v>6.5022222222222217E-2</v>
      </c>
      <c r="BZ82" s="469">
        <f t="shared" si="182"/>
        <v>227.89304826678213</v>
      </c>
      <c r="CA82" s="177">
        <f t="shared" si="183"/>
        <v>1.0936685232767023</v>
      </c>
      <c r="CB82" s="5">
        <f t="shared" si="184"/>
        <v>3.85</v>
      </c>
      <c r="CC82" s="177">
        <f t="shared" si="185"/>
        <v>0.7787738967272404</v>
      </c>
      <c r="CD82" s="5">
        <f t="shared" si="186"/>
        <v>77.877389672724036</v>
      </c>
      <c r="CG82" s="571">
        <f t="shared" si="170"/>
        <v>-50</v>
      </c>
      <c r="CH82">
        <f t="shared" si="171"/>
        <v>-50</v>
      </c>
    </row>
    <row r="83" spans="5:86" x14ac:dyDescent="0.2">
      <c r="E83" s="174">
        <v>78</v>
      </c>
      <c r="F83" s="221">
        <f t="shared" si="172"/>
        <v>0.78</v>
      </c>
      <c r="G83" s="221"/>
      <c r="H83" s="221">
        <f t="shared" si="120"/>
        <v>3.9000000000000004</v>
      </c>
      <c r="I83" s="551">
        <f t="shared" si="121"/>
        <v>24</v>
      </c>
      <c r="J83" s="176">
        <f t="shared" si="122"/>
        <v>10.64</v>
      </c>
      <c r="K83" s="451">
        <f t="shared" si="123"/>
        <v>34.64</v>
      </c>
      <c r="L83" s="451"/>
      <c r="M83" s="221">
        <f t="shared" si="124"/>
        <v>0.30715935334872979</v>
      </c>
      <c r="N83" s="176">
        <f t="shared" si="125"/>
        <v>13.601016166281754</v>
      </c>
      <c r="O83" s="176">
        <f t="shared" si="173"/>
        <v>3.9000000000000004</v>
      </c>
      <c r="P83" s="221">
        <f t="shared" si="126"/>
        <v>2.7202032332563508</v>
      </c>
      <c r="Q83" s="221">
        <f t="shared" si="127"/>
        <v>5</v>
      </c>
      <c r="R83" s="221">
        <f t="shared" si="128"/>
        <v>3.0224480369515008</v>
      </c>
      <c r="S83" s="176">
        <f t="shared" si="129"/>
        <v>44.854234975767078</v>
      </c>
      <c r="T83" s="176">
        <f t="shared" si="130"/>
        <v>5</v>
      </c>
      <c r="U83" s="221">
        <f t="shared" si="131"/>
        <v>1.1756474519632416</v>
      </c>
      <c r="V83" s="221">
        <f t="shared" si="132"/>
        <v>0.34289717348927878</v>
      </c>
      <c r="W83" s="221">
        <f t="shared" si="133"/>
        <v>0.77345227102844827</v>
      </c>
      <c r="X83" s="201">
        <f t="shared" si="134"/>
        <v>350</v>
      </c>
      <c r="Y83" s="451">
        <f t="shared" si="174"/>
        <v>350</v>
      </c>
      <c r="AA83" s="221">
        <f t="shared" si="135"/>
        <v>3.0089079511712309</v>
      </c>
      <c r="AB83" s="177">
        <f t="shared" si="136"/>
        <v>1.9795447047179149</v>
      </c>
      <c r="AC83" s="177">
        <f t="shared" si="137"/>
        <v>2.0846937306036244</v>
      </c>
      <c r="AD83" s="177"/>
      <c r="AE83" s="177">
        <f t="shared" si="138"/>
        <v>0.53947368421052622</v>
      </c>
      <c r="AF83" s="555">
        <f t="shared" si="139"/>
        <v>1763.2361689470556</v>
      </c>
      <c r="AG83" s="538">
        <f t="shared" si="140"/>
        <v>0.15482894736842101</v>
      </c>
      <c r="AI83" s="177">
        <f t="shared" si="141"/>
        <v>1.9400540002302833</v>
      </c>
      <c r="AJ83" s="177">
        <f t="shared" si="142"/>
        <v>1.9400540002302833</v>
      </c>
      <c r="AK83" s="177">
        <f t="shared" si="143"/>
        <v>1.946702666820189</v>
      </c>
      <c r="AM83" s="555">
        <f t="shared" si="144"/>
        <v>780</v>
      </c>
      <c r="AN83" s="469">
        <f t="shared" si="145"/>
        <v>350</v>
      </c>
      <c r="AP83">
        <f t="shared" si="146"/>
        <v>780</v>
      </c>
      <c r="AQ83">
        <f t="shared" si="147"/>
        <v>350</v>
      </c>
      <c r="AS83" s="5">
        <f t="shared" si="175"/>
        <v>2.8571428571428572</v>
      </c>
      <c r="AT83" s="5">
        <f t="shared" si="148"/>
        <v>0.56584908340049933</v>
      </c>
      <c r="AU83" s="5">
        <f t="shared" si="176"/>
        <v>2.2912937737423578</v>
      </c>
      <c r="AV83" s="5">
        <f t="shared" si="149"/>
        <v>1.2763513159409758</v>
      </c>
      <c r="AW83" s="177">
        <f t="shared" si="177"/>
        <v>0.19804717919017475</v>
      </c>
      <c r="AX83" s="177">
        <f t="shared" si="150"/>
        <v>4.6106666666666669</v>
      </c>
      <c r="AY83" s="177">
        <f t="shared" si="151"/>
        <v>1.5558317780080611</v>
      </c>
      <c r="AZ83" s="177">
        <f t="shared" si="178"/>
        <v>2.9634737712901877</v>
      </c>
      <c r="BA83" s="469">
        <f t="shared" si="152"/>
        <v>100.52933910789432</v>
      </c>
      <c r="BB83" s="469">
        <f t="shared" si="153"/>
        <v>6.1298114799999999</v>
      </c>
      <c r="BC83" s="5">
        <f t="shared" si="154"/>
        <v>0.34475485021586399</v>
      </c>
      <c r="BD83" s="469">
        <f t="shared" si="155"/>
        <v>41.912248692570344</v>
      </c>
      <c r="BE83" s="5"/>
      <c r="BF83" s="177">
        <f t="shared" si="179"/>
        <v>0.49846827354727108</v>
      </c>
      <c r="BG83" s="177">
        <f t="shared" si="156"/>
        <v>2.0061231815319593</v>
      </c>
      <c r="BH83" s="177"/>
      <c r="BI83" s="538">
        <f t="shared" si="157"/>
        <v>2.7331768170651676E-2</v>
      </c>
      <c r="BJ83" s="538">
        <f t="shared" si="158"/>
        <v>0.1176060734939598</v>
      </c>
      <c r="BK83" s="538">
        <f t="shared" si="159"/>
        <v>1.7499999999999998E-2</v>
      </c>
      <c r="BL83" s="538">
        <f t="shared" si="160"/>
        <v>9.4494456000000004E-2</v>
      </c>
      <c r="BM83">
        <f t="shared" si="161"/>
        <v>6.96E-3</v>
      </c>
      <c r="BN83">
        <f t="shared" si="162"/>
        <v>6.6500000000000004E-5</v>
      </c>
      <c r="BO83" s="538">
        <f t="shared" si="163"/>
        <v>0.26900510141279455</v>
      </c>
      <c r="BP83" s="469">
        <f t="shared" si="180"/>
        <v>269.00510141279455</v>
      </c>
      <c r="BQ83" s="538">
        <f t="shared" si="164"/>
        <v>0.60543410876826531</v>
      </c>
      <c r="BR83" s="538"/>
      <c r="BT83" s="469">
        <f t="shared" si="181"/>
        <v>605.43410876826533</v>
      </c>
      <c r="BU83" s="538">
        <f t="shared" si="165"/>
        <v>2.4847061973319706E-2</v>
      </c>
      <c r="BV83" s="538">
        <f t="shared" si="166"/>
        <v>0.12073590658439733</v>
      </c>
      <c r="BW83" s="538">
        <f t="shared" si="167"/>
        <v>0</v>
      </c>
      <c r="BX83" s="538">
        <f t="shared" si="168"/>
        <v>0.16497432089437075</v>
      </c>
      <c r="BY83" s="538">
        <f t="shared" si="169"/>
        <v>6.5866666666666684E-2</v>
      </c>
      <c r="BZ83" s="469">
        <f t="shared" si="182"/>
        <v>230.84098756103742</v>
      </c>
      <c r="CA83" s="177">
        <f t="shared" si="183"/>
        <v>1.1052801977420974</v>
      </c>
      <c r="CB83" s="5">
        <f t="shared" si="184"/>
        <v>3.9000000000000004</v>
      </c>
      <c r="CC83" s="177">
        <f t="shared" si="185"/>
        <v>0.77917715810581523</v>
      </c>
      <c r="CD83" s="5">
        <f t="shared" si="186"/>
        <v>77.917715810581527</v>
      </c>
      <c r="CG83" s="571">
        <f t="shared" si="170"/>
        <v>-50</v>
      </c>
      <c r="CH83">
        <f t="shared" si="171"/>
        <v>-50</v>
      </c>
    </row>
    <row r="84" spans="5:86" x14ac:dyDescent="0.2">
      <c r="E84" s="174">
        <v>79</v>
      </c>
      <c r="F84" s="221">
        <f t="shared" si="172"/>
        <v>0.79</v>
      </c>
      <c r="G84" s="221"/>
      <c r="H84" s="221">
        <f t="shared" si="120"/>
        <v>3.95</v>
      </c>
      <c r="I84" s="551">
        <f t="shared" si="121"/>
        <v>24</v>
      </c>
      <c r="J84" s="176">
        <f t="shared" si="122"/>
        <v>10.64</v>
      </c>
      <c r="K84" s="451">
        <f t="shared" si="123"/>
        <v>34.64</v>
      </c>
      <c r="L84" s="451"/>
      <c r="M84" s="221">
        <f t="shared" si="124"/>
        <v>0.30715935334872979</v>
      </c>
      <c r="N84" s="176">
        <f t="shared" si="125"/>
        <v>13.601016166281754</v>
      </c>
      <c r="O84" s="176">
        <f t="shared" si="173"/>
        <v>3.95</v>
      </c>
      <c r="P84" s="221">
        <f t="shared" si="126"/>
        <v>2.7202032332563508</v>
      </c>
      <c r="Q84" s="221">
        <f t="shared" si="127"/>
        <v>5</v>
      </c>
      <c r="R84" s="221">
        <f t="shared" si="128"/>
        <v>3.0224480369515008</v>
      </c>
      <c r="S84" s="176">
        <f t="shared" si="129"/>
        <v>44.137008493783135</v>
      </c>
      <c r="T84" s="176">
        <f t="shared" si="130"/>
        <v>5</v>
      </c>
      <c r="U84" s="221">
        <f t="shared" si="131"/>
        <v>1.1907198551935394</v>
      </c>
      <c r="V84" s="221">
        <f t="shared" si="132"/>
        <v>0.34729329109811563</v>
      </c>
      <c r="W84" s="221">
        <f t="shared" si="133"/>
        <v>0.7833683257852232</v>
      </c>
      <c r="X84" s="201">
        <f t="shared" si="134"/>
        <v>350</v>
      </c>
      <c r="Y84" s="451">
        <f t="shared" si="174"/>
        <v>350</v>
      </c>
      <c r="AA84" s="221">
        <f t="shared" si="135"/>
        <v>3.0089079511712309</v>
      </c>
      <c r="AB84" s="177">
        <f t="shared" si="136"/>
        <v>1.9795447047179149</v>
      </c>
      <c r="AC84" s="177">
        <f t="shared" si="137"/>
        <v>2.0846937306036244</v>
      </c>
      <c r="AD84" s="177"/>
      <c r="AE84" s="177">
        <f t="shared" si="138"/>
        <v>0.53947368421052622</v>
      </c>
      <c r="AF84" s="555">
        <f t="shared" si="139"/>
        <v>1785.8417608566333</v>
      </c>
      <c r="AG84" s="538">
        <f t="shared" si="140"/>
        <v>0.15482894736842101</v>
      </c>
      <c r="AI84" s="177">
        <f t="shared" si="141"/>
        <v>1.9524506375484867</v>
      </c>
      <c r="AJ84" s="177">
        <f t="shared" si="142"/>
        <v>1.9524506375484867</v>
      </c>
      <c r="AK84" s="177">
        <f t="shared" si="143"/>
        <v>1.9549670916989912</v>
      </c>
      <c r="AM84" s="555">
        <f t="shared" si="144"/>
        <v>790</v>
      </c>
      <c r="AN84" s="469">
        <f t="shared" si="145"/>
        <v>350</v>
      </c>
      <c r="AP84">
        <f t="shared" si="146"/>
        <v>790</v>
      </c>
      <c r="AQ84">
        <f t="shared" si="147"/>
        <v>350</v>
      </c>
      <c r="AS84" s="5">
        <f t="shared" si="175"/>
        <v>2.8571428571428572</v>
      </c>
      <c r="AT84" s="5">
        <f t="shared" si="148"/>
        <v>0.56946476928497525</v>
      </c>
      <c r="AU84" s="5">
        <f t="shared" si="176"/>
        <v>2.287678087857882</v>
      </c>
      <c r="AV84" s="5">
        <f t="shared" si="149"/>
        <v>1.2845069983871622</v>
      </c>
      <c r="AW84" s="177">
        <f t="shared" si="177"/>
        <v>0.19931266924974134</v>
      </c>
      <c r="AX84" s="177">
        <f t="shared" si="150"/>
        <v>4.669777777777778</v>
      </c>
      <c r="AY84" s="177">
        <f t="shared" si="151"/>
        <v>1.5633024894003387</v>
      </c>
      <c r="AZ84" s="177">
        <f t="shared" si="178"/>
        <v>2.9871236113549853</v>
      </c>
      <c r="BA84" s="469">
        <f t="shared" si="152"/>
        <v>100.52933910789432</v>
      </c>
      <c r="BB84" s="469">
        <f t="shared" si="153"/>
        <v>6.2576090477777786</v>
      </c>
      <c r="BC84" s="5">
        <f t="shared" si="154"/>
        <v>0.3486237826789596</v>
      </c>
      <c r="BD84" s="469">
        <f t="shared" si="155"/>
        <v>42.383465032586273</v>
      </c>
      <c r="BE84" s="5"/>
      <c r="BF84" s="177">
        <f t="shared" si="179"/>
        <v>0.50325359742137454</v>
      </c>
      <c r="BG84" s="177">
        <f t="shared" si="156"/>
        <v>2.017348405576266</v>
      </c>
      <c r="BH84" s="177"/>
      <c r="BI84" s="538">
        <f t="shared" si="157"/>
        <v>2.7859060164931039E-2</v>
      </c>
      <c r="BJ84" s="538">
        <f t="shared" si="158"/>
        <v>0.11835755764818925</v>
      </c>
      <c r="BK84" s="538">
        <f t="shared" si="159"/>
        <v>1.7499999999999998E-2</v>
      </c>
      <c r="BL84" s="538">
        <f t="shared" si="160"/>
        <v>9.4494456000000004E-2</v>
      </c>
      <c r="BM84">
        <f t="shared" si="161"/>
        <v>6.96E-3</v>
      </c>
      <c r="BN84">
        <f t="shared" si="162"/>
        <v>6.6500000000000004E-5</v>
      </c>
      <c r="BO84" s="538">
        <f t="shared" si="163"/>
        <v>0.27038834209454776</v>
      </c>
      <c r="BP84" s="469">
        <f t="shared" si="180"/>
        <v>270.38834209454774</v>
      </c>
      <c r="BQ84" s="538">
        <f t="shared" si="164"/>
        <v>0.61270466663635637</v>
      </c>
      <c r="BR84" s="538"/>
      <c r="BT84" s="469">
        <f t="shared" si="181"/>
        <v>612.70466663635636</v>
      </c>
      <c r="BU84" s="538">
        <f t="shared" si="165"/>
        <v>2.5326418331755491E-2</v>
      </c>
      <c r="BV84" s="538">
        <f t="shared" si="166"/>
        <v>0.12209083768443309</v>
      </c>
      <c r="BW84" s="538">
        <f t="shared" si="167"/>
        <v>0</v>
      </c>
      <c r="BX84" s="538">
        <f t="shared" si="168"/>
        <v>0.16707773807318244</v>
      </c>
      <c r="BY84" s="538">
        <f t="shared" si="169"/>
        <v>6.6711111111111124E-2</v>
      </c>
      <c r="BZ84" s="469">
        <f t="shared" si="182"/>
        <v>233.78884918429355</v>
      </c>
      <c r="CA84" s="177">
        <f t="shared" si="183"/>
        <v>1.1168818579151978</v>
      </c>
      <c r="CB84" s="5">
        <f t="shared" si="184"/>
        <v>3.95</v>
      </c>
      <c r="CC84" s="177">
        <f t="shared" si="185"/>
        <v>0.77957215320296691</v>
      </c>
      <c r="CD84" s="5">
        <f t="shared" si="186"/>
        <v>77.957215320296697</v>
      </c>
      <c r="CG84" s="571">
        <f t="shared" si="170"/>
        <v>-50</v>
      </c>
      <c r="CH84">
        <f t="shared" si="171"/>
        <v>-50</v>
      </c>
    </row>
    <row r="85" spans="5:86" x14ac:dyDescent="0.2">
      <c r="E85" s="174">
        <v>80</v>
      </c>
      <c r="F85" s="221">
        <f t="shared" si="172"/>
        <v>0.8</v>
      </c>
      <c r="G85" s="221"/>
      <c r="H85" s="221">
        <f t="shared" si="120"/>
        <v>4</v>
      </c>
      <c r="I85" s="551">
        <f t="shared" si="121"/>
        <v>24</v>
      </c>
      <c r="J85" s="176">
        <f t="shared" si="122"/>
        <v>10.64</v>
      </c>
      <c r="K85" s="451">
        <f t="shared" si="123"/>
        <v>34.64</v>
      </c>
      <c r="L85" s="451"/>
      <c r="M85" s="221">
        <f t="shared" si="124"/>
        <v>0.30715935334872979</v>
      </c>
      <c r="N85" s="176">
        <f t="shared" si="125"/>
        <v>13.601016166281754</v>
      </c>
      <c r="O85" s="176">
        <f t="shared" si="173"/>
        <v>4</v>
      </c>
      <c r="P85" s="221">
        <f t="shared" si="126"/>
        <v>2.7202032332563508</v>
      </c>
      <c r="Q85" s="221">
        <f t="shared" si="127"/>
        <v>5</v>
      </c>
      <c r="R85" s="221">
        <f t="shared" si="128"/>
        <v>3.0224480369515008</v>
      </c>
      <c r="S85" s="176">
        <f t="shared" si="129"/>
        <v>43.437755871468347</v>
      </c>
      <c r="T85" s="176">
        <f t="shared" si="130"/>
        <v>5</v>
      </c>
      <c r="U85" s="221">
        <f t="shared" si="131"/>
        <v>1.2057922584238374</v>
      </c>
      <c r="V85" s="221">
        <f t="shared" si="132"/>
        <v>0.35168940870695259</v>
      </c>
      <c r="W85" s="221">
        <f t="shared" si="133"/>
        <v>0.79328438054199812</v>
      </c>
      <c r="X85" s="201">
        <f t="shared" si="134"/>
        <v>350</v>
      </c>
      <c r="Y85" s="451">
        <f t="shared" si="174"/>
        <v>350</v>
      </c>
      <c r="AA85" s="221">
        <f t="shared" si="135"/>
        <v>3.0089079511712309</v>
      </c>
      <c r="AB85" s="177">
        <f t="shared" si="136"/>
        <v>1.9795447047179149</v>
      </c>
      <c r="AC85" s="177">
        <f t="shared" si="137"/>
        <v>2.0846937306036244</v>
      </c>
      <c r="AD85" s="177"/>
      <c r="AE85" s="177">
        <f t="shared" si="138"/>
        <v>0.53947368421052622</v>
      </c>
      <c r="AF85" s="555">
        <f t="shared" si="139"/>
        <v>1808.447352766211</v>
      </c>
      <c r="AG85" s="538">
        <f t="shared" si="140"/>
        <v>0.15482894736842101</v>
      </c>
      <c r="AI85" s="177">
        <f t="shared" si="141"/>
        <v>1.9647690603013528</v>
      </c>
      <c r="AJ85" s="177">
        <f t="shared" si="142"/>
        <v>1.9647690603013528</v>
      </c>
      <c r="AK85" s="177">
        <f t="shared" si="143"/>
        <v>1.9631793735342353</v>
      </c>
      <c r="AM85" s="555">
        <f t="shared" si="144"/>
        <v>800</v>
      </c>
      <c r="AN85" s="469">
        <f t="shared" si="145"/>
        <v>350</v>
      </c>
      <c r="AP85">
        <f t="shared" si="146"/>
        <v>800</v>
      </c>
      <c r="AQ85">
        <f t="shared" si="147"/>
        <v>350</v>
      </c>
      <c r="AS85" s="5">
        <f t="shared" si="175"/>
        <v>2.8571428571428572</v>
      </c>
      <c r="AT85" s="5">
        <f t="shared" si="148"/>
        <v>0.57305764258789449</v>
      </c>
      <c r="AU85" s="5">
        <f t="shared" si="176"/>
        <v>2.2840852145549628</v>
      </c>
      <c r="AV85" s="5">
        <f t="shared" si="149"/>
        <v>1.292611223882469</v>
      </c>
      <c r="AW85" s="177">
        <f t="shared" si="177"/>
        <v>0.20057017490576307</v>
      </c>
      <c r="AX85" s="177">
        <f t="shared" si="150"/>
        <v>4.7288888888888891</v>
      </c>
      <c r="AY85" s="177">
        <f t="shared" si="151"/>
        <v>1.5706949862272785</v>
      </c>
      <c r="AZ85" s="177">
        <f t="shared" si="178"/>
        <v>3.0106984044352338</v>
      </c>
      <c r="BA85" s="469">
        <f t="shared" si="152"/>
        <v>100.52933910789432</v>
      </c>
      <c r="BB85" s="469">
        <f t="shared" si="153"/>
        <v>6.3866524444444455</v>
      </c>
      <c r="BC85" s="5">
        <f t="shared" si="154"/>
        <v>0.35248228619675348</v>
      </c>
      <c r="BD85" s="469">
        <f t="shared" si="155"/>
        <v>42.853429899165967</v>
      </c>
      <c r="BE85" s="5"/>
      <c r="BF85" s="177">
        <f t="shared" si="179"/>
        <v>0.50802380134781233</v>
      </c>
      <c r="BG85" s="177">
        <f t="shared" si="156"/>
        <v>2.0284815050047711</v>
      </c>
      <c r="BH85" s="177"/>
      <c r="BI85" s="538">
        <f t="shared" si="157"/>
        <v>2.8389700100946963E-2</v>
      </c>
      <c r="BJ85" s="538">
        <f t="shared" si="158"/>
        <v>0.11910430043546802</v>
      </c>
      <c r="BK85" s="538">
        <f t="shared" si="159"/>
        <v>1.7499999999999998E-2</v>
      </c>
      <c r="BL85" s="538">
        <f t="shared" si="160"/>
        <v>9.4494456000000004E-2</v>
      </c>
      <c r="BM85">
        <f t="shared" si="161"/>
        <v>6.96E-3</v>
      </c>
      <c r="BN85">
        <f t="shared" si="162"/>
        <v>6.6500000000000004E-5</v>
      </c>
      <c r="BO85" s="538">
        <f t="shared" si="163"/>
        <v>0.2717710756772746</v>
      </c>
      <c r="BP85" s="469">
        <f t="shared" si="180"/>
        <v>271.77107567727461</v>
      </c>
      <c r="BQ85" s="538">
        <f t="shared" si="164"/>
        <v>0.61996592331358669</v>
      </c>
      <c r="BR85" s="538"/>
      <c r="BT85" s="469">
        <f t="shared" si="181"/>
        <v>619.9659233135867</v>
      </c>
      <c r="BU85" s="538">
        <f t="shared" si="165"/>
        <v>2.5808818273588149E-2</v>
      </c>
      <c r="BV85" s="538">
        <f t="shared" si="166"/>
        <v>0.12344211648439264</v>
      </c>
      <c r="BW85" s="538">
        <f t="shared" si="167"/>
        <v>0</v>
      </c>
      <c r="BX85" s="538">
        <f t="shared" si="168"/>
        <v>0.1691810816958563</v>
      </c>
      <c r="BY85" s="538">
        <f t="shared" si="169"/>
        <v>6.7555555555555563E-2</v>
      </c>
      <c r="BZ85" s="469">
        <f t="shared" si="182"/>
        <v>236.73663725141185</v>
      </c>
      <c r="CA85" s="177">
        <f t="shared" si="183"/>
        <v>1.1284736362422731</v>
      </c>
      <c r="CB85" s="5">
        <f t="shared" si="184"/>
        <v>4</v>
      </c>
      <c r="CC85" s="177">
        <f t="shared" si="185"/>
        <v>0.77995916206578642</v>
      </c>
      <c r="CD85" s="5">
        <f t="shared" si="186"/>
        <v>77.995916206578642</v>
      </c>
      <c r="CG85" s="571">
        <f t="shared" si="170"/>
        <v>-50</v>
      </c>
      <c r="CH85">
        <f t="shared" si="171"/>
        <v>-50</v>
      </c>
    </row>
    <row r="86" spans="5:86" x14ac:dyDescent="0.2">
      <c r="E86" s="174">
        <v>81</v>
      </c>
      <c r="F86" s="221">
        <f t="shared" si="172"/>
        <v>0.81</v>
      </c>
      <c r="G86" s="221"/>
      <c r="H86" s="221">
        <f t="shared" si="120"/>
        <v>4.0500000000000007</v>
      </c>
      <c r="I86" s="551">
        <f t="shared" si="121"/>
        <v>24</v>
      </c>
      <c r="J86" s="176">
        <f t="shared" si="122"/>
        <v>10.64</v>
      </c>
      <c r="K86" s="451">
        <f t="shared" si="123"/>
        <v>34.64</v>
      </c>
      <c r="L86" s="451"/>
      <c r="M86" s="221">
        <f t="shared" si="124"/>
        <v>0.30715935334872979</v>
      </c>
      <c r="N86" s="176">
        <f t="shared" si="125"/>
        <v>13.601016166281754</v>
      </c>
      <c r="O86" s="176">
        <f t="shared" si="173"/>
        <v>4.0500000000000007</v>
      </c>
      <c r="P86" s="221">
        <f t="shared" si="126"/>
        <v>2.7202032332563508</v>
      </c>
      <c r="Q86" s="221">
        <f t="shared" si="127"/>
        <v>5</v>
      </c>
      <c r="R86" s="221">
        <f t="shared" si="128"/>
        <v>3.0224480369515008</v>
      </c>
      <c r="S86" s="176">
        <f t="shared" si="129"/>
        <v>42.755811823483107</v>
      </c>
      <c r="T86" s="176">
        <f t="shared" si="130"/>
        <v>5</v>
      </c>
      <c r="U86" s="221">
        <f t="shared" si="131"/>
        <v>1.2208646616541354</v>
      </c>
      <c r="V86" s="221">
        <f t="shared" si="132"/>
        <v>0.35608552631578949</v>
      </c>
      <c r="W86" s="221">
        <f t="shared" si="133"/>
        <v>0.80320043529877327</v>
      </c>
      <c r="X86" s="201">
        <f t="shared" si="134"/>
        <v>350</v>
      </c>
      <c r="Y86" s="451">
        <f t="shared" si="174"/>
        <v>350</v>
      </c>
      <c r="AA86" s="221">
        <f t="shared" si="135"/>
        <v>3.0089079511712309</v>
      </c>
      <c r="AB86" s="177">
        <f t="shared" si="136"/>
        <v>1.9795447047179149</v>
      </c>
      <c r="AC86" s="177">
        <f t="shared" si="137"/>
        <v>2.0846937306036244</v>
      </c>
      <c r="AD86" s="177"/>
      <c r="AE86" s="177">
        <f t="shared" si="138"/>
        <v>0.53947368421052622</v>
      </c>
      <c r="AF86" s="555">
        <f t="shared" si="139"/>
        <v>1831.0529446757887</v>
      </c>
      <c r="AG86" s="538">
        <f t="shared" si="140"/>
        <v>0.15482894736842101</v>
      </c>
      <c r="AI86" s="177">
        <f t="shared" si="141"/>
        <v>1.9770107305149938</v>
      </c>
      <c r="AJ86" s="177">
        <f t="shared" si="142"/>
        <v>1.9770107305149938</v>
      </c>
      <c r="AK86" s="177">
        <f t="shared" si="143"/>
        <v>1.971340487009996</v>
      </c>
      <c r="AM86" s="555">
        <f t="shared" si="144"/>
        <v>810</v>
      </c>
      <c r="AN86" s="469">
        <f t="shared" si="145"/>
        <v>350</v>
      </c>
      <c r="AP86">
        <f t="shared" si="146"/>
        <v>810</v>
      </c>
      <c r="AQ86">
        <f t="shared" si="147"/>
        <v>350</v>
      </c>
      <c r="AS86" s="5">
        <f t="shared" si="175"/>
        <v>2.8571428571428572</v>
      </c>
      <c r="AT86" s="5">
        <f t="shared" si="148"/>
        <v>0.57662812973353983</v>
      </c>
      <c r="AU86" s="5">
        <f t="shared" si="176"/>
        <v>2.2805147274093174</v>
      </c>
      <c r="AV86" s="5">
        <f t="shared" si="149"/>
        <v>1.3006649542861801</v>
      </c>
      <c r="AW86" s="177">
        <f t="shared" si="177"/>
        <v>0.20181984540673895</v>
      </c>
      <c r="AX86" s="177">
        <f t="shared" si="150"/>
        <v>4.7880000000000003</v>
      </c>
      <c r="AY86" s="177">
        <f t="shared" si="151"/>
        <v>1.5780107305149937</v>
      </c>
      <c r="AZ86" s="177">
        <f t="shared" si="178"/>
        <v>3.0341998995389634</v>
      </c>
      <c r="BA86" s="469">
        <f t="shared" si="152"/>
        <v>100.52933910789432</v>
      </c>
      <c r="BB86" s="469">
        <f t="shared" si="153"/>
        <v>6.5169416700000014</v>
      </c>
      <c r="BC86" s="5">
        <f t="shared" si="154"/>
        <v>0.35633042615770588</v>
      </c>
      <c r="BD86" s="469">
        <f t="shared" si="155"/>
        <v>43.32215113892471</v>
      </c>
      <c r="BE86" s="5"/>
      <c r="BF86" s="177">
        <f t="shared" si="179"/>
        <v>0.51277912121935521</v>
      </c>
      <c r="BG86" s="177">
        <f t="shared" si="156"/>
        <v>2.0395241755847358</v>
      </c>
      <c r="BH86" s="177"/>
      <c r="BI86" s="538">
        <f t="shared" si="157"/>
        <v>2.8923666987434361E-2</v>
      </c>
      <c r="BJ86" s="538">
        <f t="shared" si="158"/>
        <v>0.11984639048381891</v>
      </c>
      <c r="BK86" s="538">
        <f t="shared" si="159"/>
        <v>1.7499999999999998E-2</v>
      </c>
      <c r="BL86" s="538">
        <f t="shared" si="160"/>
        <v>9.4494456000000004E-2</v>
      </c>
      <c r="BM86">
        <f t="shared" si="161"/>
        <v>6.96E-3</v>
      </c>
      <c r="BN86">
        <f t="shared" si="162"/>
        <v>6.6500000000000004E-5</v>
      </c>
      <c r="BO86" s="538">
        <f t="shared" si="163"/>
        <v>0.27315336867434697</v>
      </c>
      <c r="BP86" s="469">
        <f t="shared" si="180"/>
        <v>273.15336867434695</v>
      </c>
      <c r="BQ86" s="538">
        <f t="shared" si="164"/>
        <v>0.62721793711750717</v>
      </c>
      <c r="BR86" s="538"/>
      <c r="BT86" s="469">
        <f t="shared" si="181"/>
        <v>627.21793711750718</v>
      </c>
      <c r="BU86" s="538">
        <f t="shared" si="165"/>
        <v>2.629424271584942E-2</v>
      </c>
      <c r="BV86" s="538">
        <f t="shared" si="166"/>
        <v>0.12478976588383787</v>
      </c>
      <c r="BW86" s="538">
        <f t="shared" si="167"/>
        <v>0</v>
      </c>
      <c r="BX86" s="538">
        <f t="shared" si="168"/>
        <v>0.17128435579840481</v>
      </c>
      <c r="BY86" s="538">
        <f t="shared" si="169"/>
        <v>6.8400000000000016E-2</v>
      </c>
      <c r="BZ86" s="469">
        <f t="shared" si="182"/>
        <v>239.68435579840482</v>
      </c>
      <c r="CA86" s="177">
        <f t="shared" si="183"/>
        <v>1.1400556615902588</v>
      </c>
      <c r="CB86" s="5">
        <f t="shared" si="184"/>
        <v>4.0500000000000007</v>
      </c>
      <c r="CC86" s="177">
        <f t="shared" si="185"/>
        <v>0.78033845185372452</v>
      </c>
      <c r="CD86" s="5">
        <f t="shared" si="186"/>
        <v>78.033845185372456</v>
      </c>
      <c r="CG86" s="571">
        <f t="shared" si="170"/>
        <v>-50</v>
      </c>
      <c r="CH86">
        <f t="shared" si="171"/>
        <v>-50</v>
      </c>
    </row>
    <row r="87" spans="5:86" x14ac:dyDescent="0.2">
      <c r="E87" s="174">
        <v>82</v>
      </c>
      <c r="F87" s="221">
        <f t="shared" si="172"/>
        <v>0.82</v>
      </c>
      <c r="G87" s="221"/>
      <c r="H87" s="221">
        <f t="shared" si="120"/>
        <v>4.0999999999999996</v>
      </c>
      <c r="I87" s="551">
        <f t="shared" si="121"/>
        <v>24</v>
      </c>
      <c r="J87" s="176">
        <f t="shared" si="122"/>
        <v>10.64</v>
      </c>
      <c r="K87" s="451">
        <f t="shared" si="123"/>
        <v>34.64</v>
      </c>
      <c r="L87" s="451"/>
      <c r="M87" s="221">
        <f t="shared" si="124"/>
        <v>0.30715935334872979</v>
      </c>
      <c r="N87" s="176">
        <f t="shared" si="125"/>
        <v>13.601016166281754</v>
      </c>
      <c r="O87" s="176">
        <f t="shared" si="173"/>
        <v>4.0999999999999996</v>
      </c>
      <c r="P87" s="221">
        <f t="shared" si="126"/>
        <v>2.7202032332563508</v>
      </c>
      <c r="Q87" s="221">
        <f t="shared" si="127"/>
        <v>5</v>
      </c>
      <c r="R87" s="221">
        <f t="shared" si="128"/>
        <v>3.0224480369515008</v>
      </c>
      <c r="S87" s="176">
        <f t="shared" si="129"/>
        <v>42.090543522460791</v>
      </c>
      <c r="T87" s="176">
        <f t="shared" si="130"/>
        <v>5</v>
      </c>
      <c r="U87" s="221">
        <f t="shared" si="131"/>
        <v>1.2359370648844332</v>
      </c>
      <c r="V87" s="221">
        <f t="shared" si="132"/>
        <v>0.36048164392462639</v>
      </c>
      <c r="W87" s="221">
        <f t="shared" si="133"/>
        <v>0.8131164900555482</v>
      </c>
      <c r="X87" s="201">
        <f t="shared" si="134"/>
        <v>350</v>
      </c>
      <c r="Y87" s="451">
        <f t="shared" si="174"/>
        <v>350</v>
      </c>
      <c r="AA87" s="221">
        <f t="shared" si="135"/>
        <v>3.0089079511712309</v>
      </c>
      <c r="AB87" s="177">
        <f t="shared" si="136"/>
        <v>1.9795447047179149</v>
      </c>
      <c r="AC87" s="177">
        <f t="shared" si="137"/>
        <v>2.0846937306036244</v>
      </c>
      <c r="AD87" s="177"/>
      <c r="AE87" s="177">
        <f t="shared" si="138"/>
        <v>0.53947368421052622</v>
      </c>
      <c r="AF87" s="555">
        <f t="shared" si="139"/>
        <v>1853.6585365853662</v>
      </c>
      <c r="AG87" s="538">
        <f t="shared" si="140"/>
        <v>0.15482894736842101</v>
      </c>
      <c r="AI87" s="177">
        <f t="shared" si="141"/>
        <v>1.9891770652270744</v>
      </c>
      <c r="AJ87" s="177">
        <f t="shared" si="142"/>
        <v>1.9891770652270744</v>
      </c>
      <c r="AK87" s="177">
        <f t="shared" si="143"/>
        <v>1.9794513768180495</v>
      </c>
      <c r="AM87" s="555">
        <f t="shared" si="144"/>
        <v>820</v>
      </c>
      <c r="AN87" s="469">
        <f t="shared" si="145"/>
        <v>350</v>
      </c>
      <c r="AP87">
        <f t="shared" si="146"/>
        <v>820</v>
      </c>
      <c r="AQ87">
        <f t="shared" si="147"/>
        <v>350</v>
      </c>
      <c r="AS87" s="5">
        <f t="shared" si="175"/>
        <v>2.8571428571428572</v>
      </c>
      <c r="AT87" s="5">
        <f t="shared" si="148"/>
        <v>0.58017664402456337</v>
      </c>
      <c r="AU87" s="5">
        <f t="shared" si="176"/>
        <v>2.2769662131182939</v>
      </c>
      <c r="AV87" s="5">
        <f t="shared" si="149"/>
        <v>1.3086691218599171</v>
      </c>
      <c r="AW87" s="177">
        <f t="shared" si="177"/>
        <v>0.20306182540859719</v>
      </c>
      <c r="AX87" s="177">
        <f t="shared" si="150"/>
        <v>4.8471111111111105</v>
      </c>
      <c r="AY87" s="177">
        <f t="shared" si="151"/>
        <v>1.5852511393011484</v>
      </c>
      <c r="AZ87" s="177">
        <f t="shared" si="178"/>
        <v>3.057629791862468</v>
      </c>
      <c r="BA87" s="469">
        <f t="shared" si="152"/>
        <v>100.52933910789432</v>
      </c>
      <c r="BB87" s="469">
        <f t="shared" si="153"/>
        <v>6.6484767244444436</v>
      </c>
      <c r="BC87" s="5">
        <f t="shared" si="154"/>
        <v>0.36016826673553254</v>
      </c>
      <c r="BD87" s="469">
        <f t="shared" si="155"/>
        <v>43.789636452708343</v>
      </c>
      <c r="BE87" s="5"/>
      <c r="BF87" s="177">
        <f t="shared" si="179"/>
        <v>0.51751978638581608</v>
      </c>
      <c r="BG87" s="177">
        <f t="shared" si="156"/>
        <v>2.0504780609808808</v>
      </c>
      <c r="BH87" s="177"/>
      <c r="BI87" s="538">
        <f t="shared" si="157"/>
        <v>2.9460940223090277E-2</v>
      </c>
      <c r="BJ87" s="538">
        <f t="shared" si="158"/>
        <v>0.12058391369406525</v>
      </c>
      <c r="BK87" s="538">
        <f t="shared" si="159"/>
        <v>1.7499999999999998E-2</v>
      </c>
      <c r="BL87" s="538">
        <f t="shared" si="160"/>
        <v>9.4494456000000004E-2</v>
      </c>
      <c r="BM87">
        <f t="shared" si="161"/>
        <v>6.96E-3</v>
      </c>
      <c r="BN87">
        <f t="shared" si="162"/>
        <v>6.6500000000000004E-5</v>
      </c>
      <c r="BO87" s="538">
        <f t="shared" si="163"/>
        <v>0.27453528532502425</v>
      </c>
      <c r="BP87" s="469">
        <f t="shared" si="180"/>
        <v>274.53528532502423</v>
      </c>
      <c r="BQ87" s="538">
        <f t="shared" si="164"/>
        <v>0.6344607652822829</v>
      </c>
      <c r="BR87" s="538"/>
      <c r="BT87" s="469">
        <f t="shared" si="181"/>
        <v>634.46076528228286</v>
      </c>
      <c r="BU87" s="538">
        <f t="shared" si="165"/>
        <v>2.6782672930082071E-2</v>
      </c>
      <c r="BV87" s="538">
        <f t="shared" si="166"/>
        <v>0.12613380835691737</v>
      </c>
      <c r="BW87" s="538">
        <f t="shared" si="167"/>
        <v>0</v>
      </c>
      <c r="BX87" s="538">
        <f t="shared" si="168"/>
        <v>0.17338756434046881</v>
      </c>
      <c r="BY87" s="538">
        <f t="shared" si="169"/>
        <v>6.9244444444444442E-2</v>
      </c>
      <c r="BZ87" s="469">
        <f t="shared" si="182"/>
        <v>242.63200878491327</v>
      </c>
      <c r="CA87" s="177">
        <f t="shared" si="183"/>
        <v>1.1516280593922203</v>
      </c>
      <c r="CB87" s="5">
        <f t="shared" si="184"/>
        <v>4.0999999999999996</v>
      </c>
      <c r="CC87" s="177">
        <f t="shared" si="185"/>
        <v>0.7807102775809488</v>
      </c>
      <c r="CD87" s="5">
        <f t="shared" si="186"/>
        <v>78.071027758094885</v>
      </c>
      <c r="CG87" s="571">
        <f t="shared" si="170"/>
        <v>-50</v>
      </c>
      <c r="CH87">
        <f t="shared" si="171"/>
        <v>-50</v>
      </c>
    </row>
    <row r="88" spans="5:86" x14ac:dyDescent="0.2">
      <c r="E88" s="174">
        <v>83</v>
      </c>
      <c r="F88" s="221">
        <f t="shared" si="172"/>
        <v>0.83</v>
      </c>
      <c r="G88" s="221"/>
      <c r="H88" s="221">
        <f t="shared" si="120"/>
        <v>4.1499999999999995</v>
      </c>
      <c r="I88" s="551">
        <f t="shared" si="121"/>
        <v>24</v>
      </c>
      <c r="J88" s="176">
        <f t="shared" si="122"/>
        <v>10.64</v>
      </c>
      <c r="K88" s="451">
        <f t="shared" si="123"/>
        <v>34.64</v>
      </c>
      <c r="L88" s="451"/>
      <c r="M88" s="221">
        <f t="shared" si="124"/>
        <v>0.30715935334872979</v>
      </c>
      <c r="N88" s="176">
        <f t="shared" si="125"/>
        <v>13.601016166281754</v>
      </c>
      <c r="O88" s="176">
        <f t="shared" si="173"/>
        <v>4.1499999999999995</v>
      </c>
      <c r="P88" s="221">
        <f t="shared" si="126"/>
        <v>2.7202032332563508</v>
      </c>
      <c r="Q88" s="221">
        <f t="shared" si="127"/>
        <v>5</v>
      </c>
      <c r="R88" s="221">
        <f t="shared" si="128"/>
        <v>3.0224480369515008</v>
      </c>
      <c r="S88" s="176">
        <f t="shared" si="129"/>
        <v>41.4413486437806</v>
      </c>
      <c r="T88" s="176">
        <f t="shared" si="130"/>
        <v>5</v>
      </c>
      <c r="U88" s="221">
        <f t="shared" si="131"/>
        <v>1.251009468114731</v>
      </c>
      <c r="V88" s="221">
        <f t="shared" si="132"/>
        <v>0.36487776153346319</v>
      </c>
      <c r="W88" s="221">
        <f t="shared" si="133"/>
        <v>0.82303254481232291</v>
      </c>
      <c r="X88" s="201">
        <f t="shared" si="134"/>
        <v>350</v>
      </c>
      <c r="Y88" s="451">
        <f t="shared" si="174"/>
        <v>350</v>
      </c>
      <c r="AA88" s="221">
        <f t="shared" si="135"/>
        <v>3.0089079511712309</v>
      </c>
      <c r="AB88" s="177">
        <f t="shared" si="136"/>
        <v>1.9795447047179149</v>
      </c>
      <c r="AC88" s="177">
        <f t="shared" si="137"/>
        <v>2.0846937306036244</v>
      </c>
      <c r="AD88" s="177"/>
      <c r="AE88" s="177">
        <f t="shared" si="138"/>
        <v>0.53947368421052622</v>
      </c>
      <c r="AF88" s="555">
        <f t="shared" si="139"/>
        <v>1876.2641284949436</v>
      </c>
      <c r="AG88" s="538">
        <f t="shared" si="140"/>
        <v>0.15482894736842101</v>
      </c>
      <c r="AI88" s="177">
        <f t="shared" si="141"/>
        <v>2.0012694384013776</v>
      </c>
      <c r="AJ88" s="177">
        <f t="shared" si="142"/>
        <v>2.0012694384013776</v>
      </c>
      <c r="AK88" s="177">
        <f t="shared" si="143"/>
        <v>1.9875129589342519</v>
      </c>
      <c r="AM88" s="555">
        <f t="shared" si="144"/>
        <v>830</v>
      </c>
      <c r="AN88" s="469">
        <f t="shared" si="145"/>
        <v>350</v>
      </c>
      <c r="AP88">
        <f t="shared" si="146"/>
        <v>830</v>
      </c>
      <c r="AQ88">
        <f t="shared" si="147"/>
        <v>350</v>
      </c>
      <c r="AS88" s="5">
        <f t="shared" si="175"/>
        <v>2.8571428571428572</v>
      </c>
      <c r="AT88" s="5">
        <f t="shared" si="148"/>
        <v>0.58370358620040186</v>
      </c>
      <c r="AU88" s="5">
        <f t="shared" si="176"/>
        <v>2.2734392709424553</v>
      </c>
      <c r="AV88" s="5">
        <f t="shared" si="149"/>
        <v>1.316624630527222</v>
      </c>
      <c r="AW88" s="177">
        <f t="shared" si="177"/>
        <v>0.20429625517014063</v>
      </c>
      <c r="AX88" s="177">
        <f t="shared" si="150"/>
        <v>4.9062222222222225</v>
      </c>
      <c r="AY88" s="177">
        <f t="shared" si="151"/>
        <v>1.5924175865495258</v>
      </c>
      <c r="AZ88" s="177">
        <f t="shared" si="178"/>
        <v>3.0809897250966047</v>
      </c>
      <c r="BA88" s="469">
        <f t="shared" si="152"/>
        <v>100.52933910789432</v>
      </c>
      <c r="BB88" s="469">
        <f t="shared" si="153"/>
        <v>6.7812576077777766</v>
      </c>
      <c r="BC88" s="5">
        <f t="shared" si="154"/>
        <v>0.36399587092635755</v>
      </c>
      <c r="BD88" s="469">
        <f t="shared" si="155"/>
        <v>44.255893400051804</v>
      </c>
      <c r="BE88" s="5"/>
      <c r="BF88" s="177">
        <f t="shared" si="179"/>
        <v>0.52224601991300323</v>
      </c>
      <c r="BG88" s="177">
        <f t="shared" si="156"/>
        <v>2.061344754970873</v>
      </c>
      <c r="BH88" s="177"/>
      <c r="BI88" s="538">
        <f t="shared" si="157"/>
        <v>3.0001499584647026E-2</v>
      </c>
      <c r="BJ88" s="538">
        <f t="shared" si="158"/>
        <v>0.12131695335589152</v>
      </c>
      <c r="BK88" s="538">
        <f t="shared" si="159"/>
        <v>1.7499999999999998E-2</v>
      </c>
      <c r="BL88" s="538">
        <f t="shared" si="160"/>
        <v>9.4494456000000004E-2</v>
      </c>
      <c r="BM88">
        <f t="shared" si="161"/>
        <v>6.96E-3</v>
      </c>
      <c r="BN88">
        <f t="shared" si="162"/>
        <v>6.6500000000000004E-5</v>
      </c>
      <c r="BO88" s="538">
        <f t="shared" si="163"/>
        <v>0.27591688769672168</v>
      </c>
      <c r="BP88" s="469">
        <f t="shared" si="180"/>
        <v>275.91688769672169</v>
      </c>
      <c r="BQ88" s="538">
        <f t="shared" si="164"/>
        <v>0.64169446399182906</v>
      </c>
      <c r="BR88" s="538"/>
      <c r="BT88" s="469">
        <f t="shared" si="181"/>
        <v>641.69446399182902</v>
      </c>
      <c r="BU88" s="538">
        <f t="shared" si="165"/>
        <v>2.7274090531497298E-2</v>
      </c>
      <c r="BV88" s="538">
        <f t="shared" si="166"/>
        <v>0.12747426596537784</v>
      </c>
      <c r="BW88" s="538">
        <f t="shared" si="167"/>
        <v>0</v>
      </c>
      <c r="BX88" s="538">
        <f t="shared" si="168"/>
        <v>0.17549071120768878</v>
      </c>
      <c r="BY88" s="538">
        <f t="shared" si="169"/>
        <v>7.0088888888888895E-2</v>
      </c>
      <c r="BZ88" s="469">
        <f t="shared" si="182"/>
        <v>245.57960009657768</v>
      </c>
      <c r="CA88" s="177">
        <f t="shared" si="183"/>
        <v>1.1631909517851282</v>
      </c>
      <c r="CB88" s="5">
        <f t="shared" si="184"/>
        <v>4.1499999999999995</v>
      </c>
      <c r="CC88" s="177">
        <f t="shared" si="185"/>
        <v>0.78107488280760573</v>
      </c>
      <c r="CD88" s="5">
        <f t="shared" si="186"/>
        <v>78.107488280760577</v>
      </c>
      <c r="CG88" s="571">
        <f t="shared" si="170"/>
        <v>-50</v>
      </c>
      <c r="CH88">
        <f t="shared" si="171"/>
        <v>-50</v>
      </c>
    </row>
    <row r="89" spans="5:86" x14ac:dyDescent="0.2">
      <c r="E89" s="174">
        <v>84</v>
      </c>
      <c r="F89" s="221">
        <f t="shared" si="172"/>
        <v>0.84</v>
      </c>
      <c r="G89" s="221"/>
      <c r="H89" s="221">
        <f t="shared" si="120"/>
        <v>4.2</v>
      </c>
      <c r="I89" s="551">
        <f t="shared" si="121"/>
        <v>24</v>
      </c>
      <c r="J89" s="176">
        <f t="shared" si="122"/>
        <v>10.64</v>
      </c>
      <c r="K89" s="451">
        <f t="shared" si="123"/>
        <v>34.64</v>
      </c>
      <c r="L89" s="451"/>
      <c r="M89" s="221">
        <f t="shared" si="124"/>
        <v>0.30715935334872979</v>
      </c>
      <c r="N89" s="176">
        <f t="shared" si="125"/>
        <v>13.601016166281754</v>
      </c>
      <c r="O89" s="176">
        <f t="shared" si="173"/>
        <v>4.2</v>
      </c>
      <c r="P89" s="221">
        <f t="shared" si="126"/>
        <v>2.7202032332563508</v>
      </c>
      <c r="Q89" s="221">
        <f t="shared" si="127"/>
        <v>5</v>
      </c>
      <c r="R89" s="221">
        <f t="shared" si="128"/>
        <v>3.0224480369515008</v>
      </c>
      <c r="S89" s="176">
        <f t="shared" si="129"/>
        <v>40.807653550000722</v>
      </c>
      <c r="T89" s="176">
        <f t="shared" si="130"/>
        <v>5</v>
      </c>
      <c r="U89" s="221">
        <f t="shared" si="131"/>
        <v>1.2660818713450293</v>
      </c>
      <c r="V89" s="221">
        <f t="shared" si="132"/>
        <v>0.3692738791423002</v>
      </c>
      <c r="W89" s="221">
        <f t="shared" si="133"/>
        <v>0.83294859956909817</v>
      </c>
      <c r="X89" s="201">
        <f t="shared" si="134"/>
        <v>350</v>
      </c>
      <c r="Y89" s="451">
        <f t="shared" si="174"/>
        <v>350</v>
      </c>
      <c r="AA89" s="221">
        <f t="shared" si="135"/>
        <v>3.0089079511712309</v>
      </c>
      <c r="AB89" s="177">
        <f t="shared" si="136"/>
        <v>1.9795447047179149</v>
      </c>
      <c r="AC89" s="177">
        <f t="shared" si="137"/>
        <v>2.0846937306036244</v>
      </c>
      <c r="AD89" s="177"/>
      <c r="AE89" s="177">
        <f t="shared" si="138"/>
        <v>0.53947368421052622</v>
      </c>
      <c r="AF89" s="555">
        <f t="shared" si="139"/>
        <v>1898.8697204045213</v>
      </c>
      <c r="AG89" s="538">
        <f t="shared" si="140"/>
        <v>0.15482894736842101</v>
      </c>
      <c r="AI89" s="177">
        <f t="shared" si="141"/>
        <v>2.0132891827388666</v>
      </c>
      <c r="AJ89" s="177">
        <f t="shared" si="142"/>
        <v>2.0132891827388666</v>
      </c>
      <c r="AK89" s="177">
        <f t="shared" si="143"/>
        <v>1.9955261218259113</v>
      </c>
      <c r="AM89" s="555">
        <f t="shared" si="144"/>
        <v>840</v>
      </c>
      <c r="AN89" s="469">
        <f t="shared" si="145"/>
        <v>350</v>
      </c>
      <c r="AP89">
        <f t="shared" si="146"/>
        <v>840</v>
      </c>
      <c r="AQ89">
        <f t="shared" si="147"/>
        <v>350</v>
      </c>
      <c r="AS89" s="5">
        <f t="shared" si="175"/>
        <v>2.8571428571428572</v>
      </c>
      <c r="AT89" s="5">
        <f t="shared" si="148"/>
        <v>0.58720934496550281</v>
      </c>
      <c r="AU89" s="5">
        <f t="shared" si="176"/>
        <v>2.2699335121773543</v>
      </c>
      <c r="AV89" s="5">
        <f t="shared" si="149"/>
        <v>1.3245323570650436</v>
      </c>
      <c r="AW89" s="177">
        <f t="shared" si="177"/>
        <v>0.20552327073792598</v>
      </c>
      <c r="AX89" s="177">
        <f t="shared" si="150"/>
        <v>4.9653333333333336</v>
      </c>
      <c r="AY89" s="177">
        <f t="shared" si="151"/>
        <v>1.5995114049610888</v>
      </c>
      <c r="AZ89" s="177">
        <f t="shared" si="178"/>
        <v>3.1042812936079844</v>
      </c>
      <c r="BA89" s="469">
        <f t="shared" si="152"/>
        <v>100.52933910789432</v>
      </c>
      <c r="BB89" s="469">
        <f t="shared" si="153"/>
        <v>6.9152843199999996</v>
      </c>
      <c r="BC89" s="5">
        <f t="shared" si="154"/>
        <v>0.36781330058429346</v>
      </c>
      <c r="BD89" s="469">
        <f t="shared" si="155"/>
        <v>44.720929403448551</v>
      </c>
      <c r="BE89" s="5"/>
      <c r="BF89" s="177">
        <f t="shared" si="179"/>
        <v>0.52695803882843362</v>
      </c>
      <c r="BG89" s="177">
        <f t="shared" si="156"/>
        <v>2.0721258035410903</v>
      </c>
      <c r="BH89" s="177"/>
      <c r="BI89" s="538">
        <f t="shared" si="157"/>
        <v>3.0545325215449986E-2</v>
      </c>
      <c r="BJ89" s="538">
        <f t="shared" si="158"/>
        <v>0.12204559025763009</v>
      </c>
      <c r="BK89" s="538">
        <f t="shared" si="159"/>
        <v>1.7499999999999998E-2</v>
      </c>
      <c r="BL89" s="538">
        <f t="shared" si="160"/>
        <v>9.4494456000000004E-2</v>
      </c>
      <c r="BM89">
        <f t="shared" si="161"/>
        <v>6.96E-3</v>
      </c>
      <c r="BN89">
        <f t="shared" si="162"/>
        <v>6.6500000000000004E-5</v>
      </c>
      <c r="BO89" s="538">
        <f t="shared" si="163"/>
        <v>0.27729823578158858</v>
      </c>
      <c r="BP89" s="469">
        <f t="shared" si="180"/>
        <v>277.29823578158857</v>
      </c>
      <c r="BQ89" s="538">
        <f t="shared" si="164"/>
        <v>0.64891908841154189</v>
      </c>
      <c r="BR89" s="538"/>
      <c r="BT89" s="469">
        <f t="shared" si="181"/>
        <v>648.91908841154191</v>
      </c>
      <c r="BU89" s="538">
        <f t="shared" si="165"/>
        <v>2.7768477468590898E-2</v>
      </c>
      <c r="BV89" s="538">
        <f t="shared" si="166"/>
        <v>0.12881116037102427</v>
      </c>
      <c r="BW89" s="538">
        <f t="shared" si="167"/>
        <v>0</v>
      </c>
      <c r="BX89" s="538">
        <f t="shared" si="168"/>
        <v>0.17759380021397422</v>
      </c>
      <c r="BY89" s="538">
        <f t="shared" si="169"/>
        <v>7.0933333333333348E-2</v>
      </c>
      <c r="BZ89" s="469">
        <f t="shared" si="182"/>
        <v>248.52713354730759</v>
      </c>
      <c r="CA89" s="177">
        <f t="shared" si="183"/>
        <v>1.174744457740438</v>
      </c>
      <c r="CB89" s="5">
        <f t="shared" si="184"/>
        <v>4.2</v>
      </c>
      <c r="CC89" s="177">
        <f t="shared" si="185"/>
        <v>0.78143250028405908</v>
      </c>
      <c r="CD89" s="5">
        <f t="shared" si="186"/>
        <v>78.143250028405902</v>
      </c>
      <c r="CG89" s="571">
        <f t="shared" si="170"/>
        <v>-50</v>
      </c>
      <c r="CH89">
        <f t="shared" si="171"/>
        <v>-50</v>
      </c>
    </row>
    <row r="90" spans="5:86" x14ac:dyDescent="0.2">
      <c r="E90" s="174">
        <v>85</v>
      </c>
      <c r="F90" s="221">
        <f t="shared" si="172"/>
        <v>0.85</v>
      </c>
      <c r="G90" s="221"/>
      <c r="H90" s="221">
        <f t="shared" si="120"/>
        <v>4.25</v>
      </c>
      <c r="I90" s="551">
        <f t="shared" si="121"/>
        <v>24</v>
      </c>
      <c r="J90" s="176">
        <f t="shared" si="122"/>
        <v>10.64</v>
      </c>
      <c r="K90" s="451">
        <f t="shared" si="123"/>
        <v>34.64</v>
      </c>
      <c r="L90" s="451"/>
      <c r="M90" s="221">
        <f t="shared" si="124"/>
        <v>0.30715935334872979</v>
      </c>
      <c r="N90" s="176">
        <f t="shared" si="125"/>
        <v>13.601016166281754</v>
      </c>
      <c r="O90" s="176">
        <f t="shared" si="173"/>
        <v>4.25</v>
      </c>
      <c r="P90" s="221">
        <f t="shared" si="126"/>
        <v>2.7202032332563508</v>
      </c>
      <c r="Q90" s="221">
        <f t="shared" si="127"/>
        <v>5</v>
      </c>
      <c r="R90" s="221">
        <f t="shared" si="128"/>
        <v>3.0224480369515008</v>
      </c>
      <c r="S90" s="176">
        <f t="shared" si="129"/>
        <v>40.188911603450208</v>
      </c>
      <c r="T90" s="176">
        <f t="shared" si="130"/>
        <v>5</v>
      </c>
      <c r="U90" s="221">
        <f t="shared" si="131"/>
        <v>1.2811542745753273</v>
      </c>
      <c r="V90" s="221">
        <f t="shared" si="132"/>
        <v>0.3736699967511371</v>
      </c>
      <c r="W90" s="221">
        <f t="shared" si="133"/>
        <v>0.8428646543258731</v>
      </c>
      <c r="X90" s="201">
        <f t="shared" si="134"/>
        <v>350</v>
      </c>
      <c r="Y90" s="451">
        <f t="shared" si="174"/>
        <v>350</v>
      </c>
      <c r="AA90" s="221">
        <f t="shared" si="135"/>
        <v>3.0089079511712309</v>
      </c>
      <c r="AB90" s="177">
        <f t="shared" si="136"/>
        <v>1.9795447047179149</v>
      </c>
      <c r="AC90" s="177">
        <f t="shared" si="137"/>
        <v>2.0846937306036244</v>
      </c>
      <c r="AD90" s="177"/>
      <c r="AE90" s="177">
        <f t="shared" si="138"/>
        <v>0.53947368421052622</v>
      </c>
      <c r="AF90" s="555">
        <f t="shared" si="139"/>
        <v>1921.475312314099</v>
      </c>
      <c r="AG90" s="538">
        <f t="shared" si="140"/>
        <v>0.15482894736842101</v>
      </c>
      <c r="AI90" s="177">
        <f t="shared" si="141"/>
        <v>2.025237591392008</v>
      </c>
      <c r="AJ90" s="177">
        <f t="shared" si="142"/>
        <v>2.025237591392008</v>
      </c>
      <c r="AK90" s="177">
        <f t="shared" si="143"/>
        <v>2.003491727594672</v>
      </c>
      <c r="AM90" s="555">
        <f t="shared" si="144"/>
        <v>850</v>
      </c>
      <c r="AN90" s="469">
        <f t="shared" si="145"/>
        <v>350</v>
      </c>
      <c r="AP90">
        <f t="shared" si="146"/>
        <v>850</v>
      </c>
      <c r="AQ90">
        <f t="shared" si="147"/>
        <v>350</v>
      </c>
      <c r="AS90" s="5">
        <f t="shared" si="175"/>
        <v>2.8571428571428572</v>
      </c>
      <c r="AT90" s="5">
        <f t="shared" si="148"/>
        <v>0.59069429748933566</v>
      </c>
      <c r="AU90" s="5">
        <f t="shared" si="176"/>
        <v>2.2664485596535213</v>
      </c>
      <c r="AV90" s="5">
        <f t="shared" si="149"/>
        <v>1.3323931522315842</v>
      </c>
      <c r="AW90" s="177">
        <f t="shared" si="177"/>
        <v>0.20674300412126748</v>
      </c>
      <c r="AX90" s="177">
        <f t="shared" si="150"/>
        <v>5.0244444444444447</v>
      </c>
      <c r="AY90" s="177">
        <f t="shared" si="151"/>
        <v>1.6065338876883044</v>
      </c>
      <c r="AZ90" s="177">
        <f t="shared" si="178"/>
        <v>3.1275060445032294</v>
      </c>
      <c r="BA90" s="469">
        <f t="shared" si="152"/>
        <v>100.52933910789432</v>
      </c>
      <c r="BB90" s="469">
        <f t="shared" si="153"/>
        <v>7.0505568611111098</v>
      </c>
      <c r="BC90" s="5">
        <f t="shared" si="154"/>
        <v>0.3716206164555349</v>
      </c>
      <c r="BD90" s="469">
        <f t="shared" si="155"/>
        <v>45.184751752441969</v>
      </c>
      <c r="BE90" s="5"/>
      <c r="BF90" s="177">
        <f t="shared" si="179"/>
        <v>0.5316560543546307</v>
      </c>
      <c r="BG90" s="177">
        <f t="shared" si="156"/>
        <v>2.0828227068704943</v>
      </c>
      <c r="BH90" s="177"/>
      <c r="BI90" s="538">
        <f t="shared" si="157"/>
        <v>3.109239761451274E-2</v>
      </c>
      <c r="BJ90" s="538">
        <f t="shared" si="158"/>
        <v>0.12276990279018354</v>
      </c>
      <c r="BK90" s="538">
        <f t="shared" si="159"/>
        <v>1.7499999999999998E-2</v>
      </c>
      <c r="BL90" s="538">
        <f t="shared" si="160"/>
        <v>9.4494456000000004E-2</v>
      </c>
      <c r="BM90">
        <f t="shared" si="161"/>
        <v>6.96E-3</v>
      </c>
      <c r="BN90">
        <f t="shared" si="162"/>
        <v>6.6500000000000004E-5</v>
      </c>
      <c r="BO90" s="538">
        <f t="shared" si="163"/>
        <v>0.27867938758777444</v>
      </c>
      <c r="BP90" s="469">
        <f t="shared" si="180"/>
        <v>278.67938758777444</v>
      </c>
      <c r="BQ90" s="538">
        <f t="shared" si="164"/>
        <v>0.6561346927187075</v>
      </c>
      <c r="BR90" s="538"/>
      <c r="BT90" s="469">
        <f t="shared" si="181"/>
        <v>656.13469271870747</v>
      </c>
      <c r="BU90" s="538">
        <f t="shared" si="165"/>
        <v>2.8265816013193404E-2</v>
      </c>
      <c r="BV90" s="538">
        <f t="shared" si="166"/>
        <v>0.13014451284765999</v>
      </c>
      <c r="BW90" s="538">
        <f t="shared" si="167"/>
        <v>0</v>
      </c>
      <c r="BX90" s="538">
        <f t="shared" si="168"/>
        <v>0.17969683510367807</v>
      </c>
      <c r="BY90" s="538">
        <f t="shared" si="169"/>
        <v>7.1777777777777788E-2</v>
      </c>
      <c r="BZ90" s="469">
        <f t="shared" si="182"/>
        <v>251.47461288145584</v>
      </c>
      <c r="CA90" s="177">
        <f t="shared" si="183"/>
        <v>1.1862886931879377</v>
      </c>
      <c r="CB90" s="5">
        <f t="shared" si="184"/>
        <v>4.25</v>
      </c>
      <c r="CC90" s="177">
        <f t="shared" si="185"/>
        <v>0.78178335255181663</v>
      </c>
      <c r="CD90" s="5">
        <f t="shared" si="186"/>
        <v>78.178335255181665</v>
      </c>
      <c r="CG90" s="571">
        <f t="shared" si="170"/>
        <v>-50</v>
      </c>
      <c r="CH90">
        <f t="shared" si="171"/>
        <v>-50</v>
      </c>
    </row>
    <row r="91" spans="5:86" x14ac:dyDescent="0.2">
      <c r="E91" s="174">
        <v>86</v>
      </c>
      <c r="F91" s="221">
        <f t="shared" si="172"/>
        <v>0.86</v>
      </c>
      <c r="G91" s="221"/>
      <c r="H91" s="221">
        <f t="shared" si="120"/>
        <v>4.3</v>
      </c>
      <c r="I91" s="551">
        <f t="shared" si="121"/>
        <v>24</v>
      </c>
      <c r="J91" s="176">
        <f t="shared" si="122"/>
        <v>10.64</v>
      </c>
      <c r="K91" s="451">
        <f t="shared" si="123"/>
        <v>34.64</v>
      </c>
      <c r="L91" s="451"/>
      <c r="M91" s="221">
        <f t="shared" si="124"/>
        <v>0.30715935334872979</v>
      </c>
      <c r="N91" s="176">
        <f t="shared" si="125"/>
        <v>13.601016166281754</v>
      </c>
      <c r="O91" s="176">
        <f t="shared" si="173"/>
        <v>4.3</v>
      </c>
      <c r="P91" s="221">
        <f t="shared" si="126"/>
        <v>2.7202032332563508</v>
      </c>
      <c r="Q91" s="221">
        <f t="shared" si="127"/>
        <v>5</v>
      </c>
      <c r="R91" s="221">
        <f t="shared" si="128"/>
        <v>3.0224480369515008</v>
      </c>
      <c r="S91" s="176">
        <f t="shared" si="129"/>
        <v>39.584601596548282</v>
      </c>
      <c r="T91" s="176">
        <f t="shared" si="130"/>
        <v>5</v>
      </c>
      <c r="U91" s="221">
        <f t="shared" si="131"/>
        <v>1.2962266778056251</v>
      </c>
      <c r="V91" s="221">
        <f t="shared" si="132"/>
        <v>0.37806611435997395</v>
      </c>
      <c r="W91" s="221">
        <f t="shared" si="133"/>
        <v>0.85278070908264803</v>
      </c>
      <c r="X91" s="201">
        <f t="shared" si="134"/>
        <v>350</v>
      </c>
      <c r="Y91" s="451">
        <f t="shared" si="174"/>
        <v>350</v>
      </c>
      <c r="AA91" s="221">
        <f t="shared" si="135"/>
        <v>3.0089079511712309</v>
      </c>
      <c r="AB91" s="177">
        <f t="shared" si="136"/>
        <v>1.9795447047179149</v>
      </c>
      <c r="AC91" s="177">
        <f t="shared" si="137"/>
        <v>2.0846937306036244</v>
      </c>
      <c r="AD91" s="177"/>
      <c r="AE91" s="177">
        <f t="shared" si="138"/>
        <v>0.53947368421052622</v>
      </c>
      <c r="AF91" s="555">
        <f t="shared" si="139"/>
        <v>1944.0809042236767</v>
      </c>
      <c r="AG91" s="538">
        <f t="shared" si="140"/>
        <v>0.15482894736842101</v>
      </c>
      <c r="AI91" s="177">
        <f t="shared" si="141"/>
        <v>2.0371159195885911</v>
      </c>
      <c r="AJ91" s="177">
        <f t="shared" si="142"/>
        <v>2.0371159195885911</v>
      </c>
      <c r="AK91" s="177">
        <f t="shared" si="143"/>
        <v>2.011410613059061</v>
      </c>
      <c r="AM91" s="555">
        <f t="shared" si="144"/>
        <v>860</v>
      </c>
      <c r="AN91" s="469">
        <f t="shared" si="145"/>
        <v>350</v>
      </c>
      <c r="AP91">
        <f t="shared" si="146"/>
        <v>860</v>
      </c>
      <c r="AQ91">
        <f t="shared" si="147"/>
        <v>350</v>
      </c>
      <c r="AS91" s="5">
        <f t="shared" si="175"/>
        <v>2.8571428571428572</v>
      </c>
      <c r="AT91" s="5">
        <f t="shared" si="148"/>
        <v>0.59415880988000569</v>
      </c>
      <c r="AU91" s="5">
        <f t="shared" si="176"/>
        <v>2.2629840472628517</v>
      </c>
      <c r="AV91" s="5">
        <f t="shared" si="149"/>
        <v>1.3402078418345993</v>
      </c>
      <c r="AW91" s="177">
        <f t="shared" si="177"/>
        <v>0.207955583458002</v>
      </c>
      <c r="AX91" s="177">
        <f t="shared" si="150"/>
        <v>5.0835555555555576</v>
      </c>
      <c r="AY91" s="177">
        <f t="shared" si="151"/>
        <v>1.6134862899589613</v>
      </c>
      <c r="AZ91" s="177">
        <f t="shared" si="178"/>
        <v>3.1506654795838749</v>
      </c>
      <c r="BA91" s="469">
        <f t="shared" si="152"/>
        <v>100.52933910789432</v>
      </c>
      <c r="BB91" s="469">
        <f t="shared" si="153"/>
        <v>7.1870752311111108</v>
      </c>
      <c r="BC91" s="5">
        <f t="shared" si="154"/>
        <v>0.37541787821104405</v>
      </c>
      <c r="BD91" s="469">
        <f t="shared" si="155"/>
        <v>45.647367607547515</v>
      </c>
      <c r="BE91" s="5"/>
      <c r="BF91" s="177">
        <f t="shared" si="179"/>
        <v>0.53634027213077373</v>
      </c>
      <c r="BG91" s="177">
        <f t="shared" si="156"/>
        <v>2.0934369212098187</v>
      </c>
      <c r="BH91" s="177"/>
      <c r="BI91" s="538">
        <f t="shared" si="157"/>
        <v>3.1642697626024362E-2</v>
      </c>
      <c r="BJ91" s="538">
        <f t="shared" si="158"/>
        <v>0.12348996704546041</v>
      </c>
      <c r="BK91" s="538">
        <f t="shared" si="159"/>
        <v>1.7499999999999998E-2</v>
      </c>
      <c r="BL91" s="538">
        <f t="shared" si="160"/>
        <v>9.4494456000000004E-2</v>
      </c>
      <c r="BM91">
        <f t="shared" si="161"/>
        <v>6.96E-3</v>
      </c>
      <c r="BN91">
        <f t="shared" si="162"/>
        <v>6.6500000000000004E-5</v>
      </c>
      <c r="BO91" s="538">
        <f t="shared" si="163"/>
        <v>0.28006039922573206</v>
      </c>
      <c r="BP91" s="469">
        <f t="shared" si="180"/>
        <v>280.06039922573206</v>
      </c>
      <c r="BQ91" s="538">
        <f t="shared" si="164"/>
        <v>0.66334133013165164</v>
      </c>
      <c r="BR91" s="538"/>
      <c r="BT91" s="469">
        <f t="shared" si="181"/>
        <v>663.3413301316516</v>
      </c>
      <c r="BU91" s="538">
        <f t="shared" si="165"/>
        <v>2.8766088750931243E-2</v>
      </c>
      <c r="BV91" s="538">
        <f t="shared" si="166"/>
        <v>0.13147434429253332</v>
      </c>
      <c r="BW91" s="538">
        <f t="shared" si="167"/>
        <v>0</v>
      </c>
      <c r="BX91" s="538">
        <f t="shared" si="168"/>
        <v>0.18179981955368077</v>
      </c>
      <c r="BY91" s="538">
        <f t="shared" si="169"/>
        <v>7.2622222222222255E-2</v>
      </c>
      <c r="BZ91" s="469">
        <f t="shared" si="182"/>
        <v>254.42204177590298</v>
      </c>
      <c r="CA91" s="177">
        <f t="shared" si="183"/>
        <v>1.1978237711332866</v>
      </c>
      <c r="CB91" s="5">
        <f t="shared" si="184"/>
        <v>4.3</v>
      </c>
      <c r="CC91" s="177">
        <f t="shared" si="185"/>
        <v>0.78212765250451544</v>
      </c>
      <c r="CD91" s="5">
        <f t="shared" si="186"/>
        <v>78.21276525045154</v>
      </c>
      <c r="CG91" s="571">
        <f t="shared" si="170"/>
        <v>-50</v>
      </c>
      <c r="CH91">
        <f t="shared" si="171"/>
        <v>-50</v>
      </c>
    </row>
    <row r="92" spans="5:86" x14ac:dyDescent="0.2">
      <c r="E92" s="174">
        <v>87</v>
      </c>
      <c r="F92" s="221">
        <f t="shared" si="172"/>
        <v>0.87</v>
      </c>
      <c r="G92" s="221"/>
      <c r="H92" s="221">
        <f t="shared" si="120"/>
        <v>4.3499999999999996</v>
      </c>
      <c r="I92" s="551">
        <f t="shared" si="121"/>
        <v>24</v>
      </c>
      <c r="J92" s="176">
        <f t="shared" si="122"/>
        <v>10.64</v>
      </c>
      <c r="K92" s="451">
        <f t="shared" si="123"/>
        <v>34.64</v>
      </c>
      <c r="L92" s="451"/>
      <c r="M92" s="221">
        <f t="shared" si="124"/>
        <v>0.30715935334872979</v>
      </c>
      <c r="N92" s="176">
        <f t="shared" si="125"/>
        <v>13.601016166281754</v>
      </c>
      <c r="O92" s="176">
        <f t="shared" si="173"/>
        <v>4.3499999999999996</v>
      </c>
      <c r="P92" s="221">
        <f t="shared" si="126"/>
        <v>2.7202032332563508</v>
      </c>
      <c r="Q92" s="221">
        <f t="shared" si="127"/>
        <v>5</v>
      </c>
      <c r="R92" s="221">
        <f t="shared" si="128"/>
        <v>3.0224480369515008</v>
      </c>
      <c r="S92" s="176">
        <f t="shared" si="129"/>
        <v>38.994226290378592</v>
      </c>
      <c r="T92" s="176">
        <f t="shared" si="130"/>
        <v>5</v>
      </c>
      <c r="U92" s="221">
        <f t="shared" si="131"/>
        <v>1.3112990810359231</v>
      </c>
      <c r="V92" s="221">
        <f t="shared" si="132"/>
        <v>0.38246223196881091</v>
      </c>
      <c r="W92" s="221">
        <f t="shared" si="133"/>
        <v>0.86269676383942318</v>
      </c>
      <c r="X92" s="201">
        <f t="shared" si="134"/>
        <v>350</v>
      </c>
      <c r="Y92" s="451">
        <f t="shared" si="174"/>
        <v>350</v>
      </c>
      <c r="AA92" s="221">
        <f t="shared" si="135"/>
        <v>3.0089079511712309</v>
      </c>
      <c r="AB92" s="177">
        <f t="shared" si="136"/>
        <v>1.9795447047179149</v>
      </c>
      <c r="AC92" s="177">
        <f t="shared" si="137"/>
        <v>2.0846937306036244</v>
      </c>
      <c r="AD92" s="177"/>
      <c r="AE92" s="177">
        <f t="shared" si="138"/>
        <v>0.53947368421052622</v>
      </c>
      <c r="AF92" s="555">
        <f t="shared" si="139"/>
        <v>1966.6864961332544</v>
      </c>
      <c r="AG92" s="538">
        <f t="shared" si="140"/>
        <v>0.15482894736842101</v>
      </c>
      <c r="AI92" s="177">
        <f t="shared" si="141"/>
        <v>2.048925386170819</v>
      </c>
      <c r="AJ92" s="177">
        <f t="shared" si="142"/>
        <v>2.048925386170819</v>
      </c>
      <c r="AK92" s="177">
        <f t="shared" si="143"/>
        <v>2.019283590780546</v>
      </c>
      <c r="AM92" s="555">
        <f t="shared" si="144"/>
        <v>870</v>
      </c>
      <c r="AN92" s="469">
        <f t="shared" si="145"/>
        <v>350</v>
      </c>
      <c r="AP92">
        <f t="shared" si="146"/>
        <v>870</v>
      </c>
      <c r="AQ92">
        <f t="shared" si="147"/>
        <v>350</v>
      </c>
      <c r="AS92" s="5">
        <f t="shared" si="175"/>
        <v>2.8571428571428572</v>
      </c>
      <c r="AT92" s="5">
        <f t="shared" si="148"/>
        <v>0.59760323763315548</v>
      </c>
      <c r="AU92" s="5">
        <f t="shared" si="176"/>
        <v>2.2595396195097015</v>
      </c>
      <c r="AV92" s="5">
        <f t="shared" si="149"/>
        <v>1.3479772277439597</v>
      </c>
      <c r="AW92" s="177">
        <f t="shared" si="177"/>
        <v>0.20916113317160442</v>
      </c>
      <c r="AX92" s="177">
        <f t="shared" si="150"/>
        <v>5.1426666666666687</v>
      </c>
      <c r="AY92" s="177">
        <f t="shared" si="151"/>
        <v>1.6203698306152632</v>
      </c>
      <c r="AZ92" s="177">
        <f t="shared" si="178"/>
        <v>3.1737610571988806</v>
      </c>
      <c r="BA92" s="469">
        <f t="shared" si="152"/>
        <v>100.52933910789432</v>
      </c>
      <c r="BB92" s="469">
        <f t="shared" si="153"/>
        <v>7.324839429999999</v>
      </c>
      <c r="BC92" s="5">
        <f t="shared" si="154"/>
        <v>0.37920514447790121</v>
      </c>
      <c r="BD92" s="469">
        <f t="shared" si="155"/>
        <v>46.108784004014822</v>
      </c>
      <c r="BE92" s="5"/>
      <c r="BF92" s="177">
        <f t="shared" si="179"/>
        <v>0.54101089242340794</v>
      </c>
      <c r="BG92" s="177">
        <f t="shared" si="156"/>
        <v>2.1039698606627497</v>
      </c>
      <c r="BH92" s="177"/>
      <c r="BI92" s="538">
        <f t="shared" si="157"/>
        <v>3.2196206429284953E-2</v>
      </c>
      <c r="BJ92" s="538">
        <f t="shared" si="158"/>
        <v>0.12420585690967505</v>
      </c>
      <c r="BK92" s="538">
        <f t="shared" si="159"/>
        <v>1.7499999999999998E-2</v>
      </c>
      <c r="BL92" s="538">
        <f t="shared" si="160"/>
        <v>9.4494456000000004E-2</v>
      </c>
      <c r="BM92">
        <f t="shared" si="161"/>
        <v>6.96E-3</v>
      </c>
      <c r="BN92">
        <f t="shared" si="162"/>
        <v>6.6500000000000004E-5</v>
      </c>
      <c r="BO92" s="538">
        <f t="shared" si="163"/>
        <v>0.28144132498987945</v>
      </c>
      <c r="BP92" s="469">
        <f t="shared" si="180"/>
        <v>281.44132498987943</v>
      </c>
      <c r="BQ92" s="538">
        <f t="shared" si="164"/>
        <v>0.67053905293770044</v>
      </c>
      <c r="BR92" s="538"/>
      <c r="BT92" s="469">
        <f t="shared" si="181"/>
        <v>670.53905293770049</v>
      </c>
      <c r="BU92" s="538">
        <f t="shared" si="165"/>
        <v>2.9269278572077229E-2</v>
      </c>
      <c r="BV92" s="538">
        <f t="shared" si="166"/>
        <v>0.13280067523731692</v>
      </c>
      <c r="BW92" s="538">
        <f t="shared" si="167"/>
        <v>0</v>
      </c>
      <c r="BX92" s="538">
        <f t="shared" si="168"/>
        <v>0.18390275717538832</v>
      </c>
      <c r="BY92" s="538">
        <f t="shared" si="169"/>
        <v>7.3466666666666694E-2</v>
      </c>
      <c r="BZ92" s="469">
        <f t="shared" si="182"/>
        <v>257.36942384205503</v>
      </c>
      <c r="CA92" s="177">
        <f t="shared" si="183"/>
        <v>1.2093498017696351</v>
      </c>
      <c r="CB92" s="5">
        <f t="shared" si="184"/>
        <v>4.3499999999999996</v>
      </c>
      <c r="CC92" s="177">
        <f t="shared" si="185"/>
        <v>0.78246560391204767</v>
      </c>
      <c r="CD92" s="5">
        <f t="shared" si="186"/>
        <v>78.246560391204767</v>
      </c>
      <c r="CG92" s="571">
        <f t="shared" si="170"/>
        <v>-50</v>
      </c>
      <c r="CH92">
        <f t="shared" si="171"/>
        <v>-50</v>
      </c>
    </row>
    <row r="93" spans="5:86" x14ac:dyDescent="0.2">
      <c r="E93" s="174">
        <v>88</v>
      </c>
      <c r="F93" s="221">
        <f t="shared" si="172"/>
        <v>0.88</v>
      </c>
      <c r="G93" s="221"/>
      <c r="H93" s="221">
        <f t="shared" si="120"/>
        <v>4.4000000000000004</v>
      </c>
      <c r="I93" s="551">
        <f t="shared" si="121"/>
        <v>24</v>
      </c>
      <c r="J93" s="176">
        <f t="shared" si="122"/>
        <v>10.64</v>
      </c>
      <c r="K93" s="451">
        <f t="shared" si="123"/>
        <v>34.64</v>
      </c>
      <c r="L93" s="451"/>
      <c r="M93" s="221">
        <f t="shared" si="124"/>
        <v>0.30715935334872979</v>
      </c>
      <c r="N93" s="176">
        <f t="shared" si="125"/>
        <v>13.601016166281754</v>
      </c>
      <c r="O93" s="176">
        <f t="shared" si="173"/>
        <v>4.4000000000000004</v>
      </c>
      <c r="P93" s="221">
        <f t="shared" si="126"/>
        <v>2.7202032332563508</v>
      </c>
      <c r="Q93" s="221">
        <f t="shared" si="127"/>
        <v>5</v>
      </c>
      <c r="R93" s="221">
        <f t="shared" si="128"/>
        <v>3.0224480369515008</v>
      </c>
      <c r="S93" s="176">
        <f t="shared" si="129"/>
        <v>38.417311052907358</v>
      </c>
      <c r="T93" s="176">
        <f t="shared" si="130"/>
        <v>5</v>
      </c>
      <c r="U93" s="221">
        <f t="shared" si="131"/>
        <v>1.3263714842662211</v>
      </c>
      <c r="V93" s="221">
        <f t="shared" si="132"/>
        <v>0.38685834957764781</v>
      </c>
      <c r="W93" s="221">
        <f t="shared" si="133"/>
        <v>0.87261281859619799</v>
      </c>
      <c r="X93" s="201">
        <f t="shared" si="134"/>
        <v>350</v>
      </c>
      <c r="Y93" s="451">
        <f t="shared" si="174"/>
        <v>350</v>
      </c>
      <c r="AA93" s="221">
        <f t="shared" si="135"/>
        <v>3.0089079511712309</v>
      </c>
      <c r="AB93" s="177">
        <f t="shared" si="136"/>
        <v>1.9795447047179149</v>
      </c>
      <c r="AC93" s="177">
        <f t="shared" si="137"/>
        <v>2.0846937306036244</v>
      </c>
      <c r="AD93" s="177"/>
      <c r="AE93" s="177">
        <f t="shared" si="138"/>
        <v>0.53947368421052622</v>
      </c>
      <c r="AF93" s="555">
        <f t="shared" si="139"/>
        <v>1989.2920880428319</v>
      </c>
      <c r="AG93" s="538">
        <f t="shared" si="140"/>
        <v>0.15482894736842101</v>
      </c>
      <c r="AI93" s="177">
        <f t="shared" si="141"/>
        <v>2.0606671750550127</v>
      </c>
      <c r="AJ93" s="177">
        <f t="shared" si="142"/>
        <v>2.0606671750550127</v>
      </c>
      <c r="AK93" s="177">
        <f t="shared" si="143"/>
        <v>2.0271114500366751</v>
      </c>
      <c r="AM93" s="555">
        <f t="shared" si="144"/>
        <v>880</v>
      </c>
      <c r="AN93" s="469">
        <f t="shared" si="145"/>
        <v>350</v>
      </c>
      <c r="AP93">
        <f t="shared" si="146"/>
        <v>880</v>
      </c>
      <c r="AQ93">
        <f t="shared" si="147"/>
        <v>350</v>
      </c>
      <c r="AS93" s="5">
        <f t="shared" si="175"/>
        <v>2.8571428571428572</v>
      </c>
      <c r="AT93" s="5">
        <f t="shared" si="148"/>
        <v>0.60102792605771194</v>
      </c>
      <c r="AU93" s="5">
        <f t="shared" si="176"/>
        <v>2.2561149310851452</v>
      </c>
      <c r="AV93" s="5">
        <f t="shared" si="149"/>
        <v>1.355702088851982</v>
      </c>
      <c r="AW93" s="177">
        <f t="shared" si="177"/>
        <v>0.21035977412019918</v>
      </c>
      <c r="AX93" s="177">
        <f t="shared" si="150"/>
        <v>5.2017777777777781</v>
      </c>
      <c r="AY93" s="177">
        <f t="shared" si="151"/>
        <v>1.6271856935735312</v>
      </c>
      <c r="AZ93" s="177">
        <f t="shared" si="178"/>
        <v>3.1967941940012601</v>
      </c>
      <c r="BA93" s="469">
        <f t="shared" si="152"/>
        <v>100.52933910789432</v>
      </c>
      <c r="BB93" s="469">
        <f t="shared" si="153"/>
        <v>7.4638494577777781</v>
      </c>
      <c r="BC93" s="5">
        <f t="shared" si="154"/>
        <v>0.38298247286939191</v>
      </c>
      <c r="BD93" s="469">
        <f t="shared" si="155"/>
        <v>46.569007855438144</v>
      </c>
      <c r="BE93" s="5"/>
      <c r="BF93" s="177">
        <f t="shared" si="179"/>
        <v>0.54566811032687446</v>
      </c>
      <c r="BG93" s="177">
        <f t="shared" si="156"/>
        <v>2.1144228988752776</v>
      </c>
      <c r="BH93" s="177"/>
      <c r="BI93" s="538">
        <f t="shared" si="157"/>
        <v>3.2752905529047222E-2</v>
      </c>
      <c r="BJ93" s="538">
        <f t="shared" si="158"/>
        <v>0.12491764415183487</v>
      </c>
      <c r="BK93" s="538">
        <f t="shared" si="159"/>
        <v>1.7499999999999998E-2</v>
      </c>
      <c r="BL93" s="538">
        <f t="shared" si="160"/>
        <v>9.4494456000000004E-2</v>
      </c>
      <c r="BM93">
        <f t="shared" si="161"/>
        <v>6.96E-3</v>
      </c>
      <c r="BN93">
        <f t="shared" si="162"/>
        <v>6.6500000000000004E-5</v>
      </c>
      <c r="BO93" s="538">
        <f t="shared" si="163"/>
        <v>0.28282221743591984</v>
      </c>
      <c r="BP93" s="469">
        <f t="shared" si="180"/>
        <v>282.82221743591987</v>
      </c>
      <c r="BQ93" s="538">
        <f t="shared" si="164"/>
        <v>0.67772791252001341</v>
      </c>
      <c r="BR93" s="538"/>
      <c r="BT93" s="469">
        <f t="shared" si="181"/>
        <v>677.72791252001343</v>
      </c>
      <c r="BU93" s="538">
        <f t="shared" si="165"/>
        <v>2.9775368662770203E-2</v>
      </c>
      <c r="BV93" s="538">
        <f t="shared" si="166"/>
        <v>0.13412352585864395</v>
      </c>
      <c r="BW93" s="538">
        <f t="shared" si="167"/>
        <v>0</v>
      </c>
      <c r="BX93" s="538">
        <f t="shared" si="168"/>
        <v>0.186005651516649</v>
      </c>
      <c r="BY93" s="538">
        <f t="shared" si="169"/>
        <v>7.4311111111111119E-2</v>
      </c>
      <c r="BZ93" s="469">
        <f t="shared" si="182"/>
        <v>260.31676262776011</v>
      </c>
      <c r="CA93" s="177">
        <f t="shared" si="183"/>
        <v>1.2208668925836934</v>
      </c>
      <c r="CB93" s="5">
        <f t="shared" si="184"/>
        <v>4.4000000000000004</v>
      </c>
      <c r="CC93" s="177">
        <f t="shared" si="185"/>
        <v>0.78279740191063163</v>
      </c>
      <c r="CD93" s="5">
        <f t="shared" si="186"/>
        <v>78.279740191063169</v>
      </c>
      <c r="CG93" s="571">
        <f t="shared" si="170"/>
        <v>-50</v>
      </c>
      <c r="CH93">
        <f t="shared" si="171"/>
        <v>-50</v>
      </c>
    </row>
    <row r="94" spans="5:86" x14ac:dyDescent="0.2">
      <c r="E94" s="174">
        <v>89</v>
      </c>
      <c r="F94" s="221">
        <f t="shared" si="172"/>
        <v>0.89</v>
      </c>
      <c r="G94" s="221"/>
      <c r="H94" s="221">
        <f t="shared" si="120"/>
        <v>4.45</v>
      </c>
      <c r="I94" s="551">
        <f t="shared" si="121"/>
        <v>24</v>
      </c>
      <c r="J94" s="176">
        <f t="shared" si="122"/>
        <v>10.64</v>
      </c>
      <c r="K94" s="451">
        <f t="shared" si="123"/>
        <v>34.64</v>
      </c>
      <c r="L94" s="451"/>
      <c r="M94" s="221">
        <f t="shared" si="124"/>
        <v>0.30715935334872979</v>
      </c>
      <c r="N94" s="176">
        <f t="shared" si="125"/>
        <v>13.601016166281754</v>
      </c>
      <c r="O94" s="176">
        <f t="shared" si="173"/>
        <v>4.45</v>
      </c>
      <c r="P94" s="221">
        <f t="shared" si="126"/>
        <v>2.7202032332563508</v>
      </c>
      <c r="Q94" s="221">
        <f t="shared" si="127"/>
        <v>5</v>
      </c>
      <c r="R94" s="221">
        <f t="shared" si="128"/>
        <v>3.0224480369515008</v>
      </c>
      <c r="S94" s="176">
        <f t="shared" si="129"/>
        <v>37.853402589008255</v>
      </c>
      <c r="T94" s="176">
        <f t="shared" si="130"/>
        <v>5</v>
      </c>
      <c r="U94" s="221">
        <f t="shared" si="131"/>
        <v>1.3414438874965191</v>
      </c>
      <c r="V94" s="221">
        <f t="shared" si="132"/>
        <v>0.39125446718648477</v>
      </c>
      <c r="W94" s="221">
        <f t="shared" si="133"/>
        <v>0.88252887335297303</v>
      </c>
      <c r="X94" s="201">
        <f t="shared" si="134"/>
        <v>350</v>
      </c>
      <c r="Y94" s="451">
        <f t="shared" si="174"/>
        <v>350</v>
      </c>
      <c r="AA94" s="221">
        <f t="shared" si="135"/>
        <v>3.0089079511712309</v>
      </c>
      <c r="AB94" s="177">
        <f t="shared" si="136"/>
        <v>1.9795447047179149</v>
      </c>
      <c r="AC94" s="177">
        <f t="shared" si="137"/>
        <v>2.0846937306036244</v>
      </c>
      <c r="AD94" s="177"/>
      <c r="AE94" s="177">
        <f t="shared" si="138"/>
        <v>0.53947368421052622</v>
      </c>
      <c r="AF94" s="555">
        <f t="shared" si="139"/>
        <v>2011.8976799524096</v>
      </c>
      <c r="AG94" s="538">
        <f t="shared" si="140"/>
        <v>0.15482894736842101</v>
      </c>
      <c r="AI94" s="177">
        <f t="shared" si="141"/>
        <v>2.0723424366168772</v>
      </c>
      <c r="AJ94" s="177">
        <f t="shared" si="142"/>
        <v>2.0723424366168772</v>
      </c>
      <c r="AK94" s="177">
        <f t="shared" si="143"/>
        <v>2.034894957744585</v>
      </c>
      <c r="AM94" s="555">
        <f t="shared" si="144"/>
        <v>890</v>
      </c>
      <c r="AN94" s="469">
        <f t="shared" si="145"/>
        <v>350</v>
      </c>
      <c r="AP94">
        <f t="shared" si="146"/>
        <v>890</v>
      </c>
      <c r="AQ94">
        <f t="shared" si="147"/>
        <v>350</v>
      </c>
      <c r="AS94" s="5">
        <f t="shared" si="175"/>
        <v>2.8571428571428572</v>
      </c>
      <c r="AT94" s="5">
        <f t="shared" si="148"/>
        <v>0.60443321067992251</v>
      </c>
      <c r="AU94" s="5">
        <f t="shared" si="176"/>
        <v>2.2527096464629346</v>
      </c>
      <c r="AV94" s="5">
        <f t="shared" si="149"/>
        <v>1.3633831819847877</v>
      </c>
      <c r="AW94" s="177">
        <f t="shared" si="177"/>
        <v>0.21155162373797287</v>
      </c>
      <c r="AX94" s="177">
        <f t="shared" si="150"/>
        <v>5.2608888888888901</v>
      </c>
      <c r="AY94" s="177">
        <f t="shared" si="151"/>
        <v>1.6339350292094696</v>
      </c>
      <c r="AZ94" s="177">
        <f t="shared" si="178"/>
        <v>3.2197662666147826</v>
      </c>
      <c r="BA94" s="469">
        <f t="shared" si="152"/>
        <v>100.52933910789432</v>
      </c>
      <c r="BB94" s="469">
        <f t="shared" si="153"/>
        <v>7.6041053144444453</v>
      </c>
      <c r="BC94" s="5">
        <f t="shared" si="154"/>
        <v>0.38674992001389108</v>
      </c>
      <c r="BD94" s="469">
        <f t="shared" si="155"/>
        <v>47.028045957222496</v>
      </c>
      <c r="BE94" s="5"/>
      <c r="BF94" s="177">
        <f t="shared" si="179"/>
        <v>0.55031211595407536</v>
      </c>
      <c r="BG94" s="177">
        <f t="shared" si="156"/>
        <v>2.1247973706389418</v>
      </c>
      <c r="BH94" s="177"/>
      <c r="BI94" s="538">
        <f t="shared" si="157"/>
        <v>3.3312776746243687E-2</v>
      </c>
      <c r="BJ94" s="538">
        <f t="shared" si="158"/>
        <v>0.12562539850771509</v>
      </c>
      <c r="BK94" s="538">
        <f t="shared" si="159"/>
        <v>1.7499999999999998E-2</v>
      </c>
      <c r="BL94" s="538">
        <f t="shared" si="160"/>
        <v>9.4494456000000004E-2</v>
      </c>
      <c r="BM94">
        <f t="shared" si="161"/>
        <v>6.96E-3</v>
      </c>
      <c r="BN94">
        <f t="shared" si="162"/>
        <v>6.6500000000000004E-5</v>
      </c>
      <c r="BO94" s="538">
        <f t="shared" si="163"/>
        <v>0.28420312745409448</v>
      </c>
      <c r="BP94" s="469">
        <f t="shared" si="180"/>
        <v>284.2031274540945</v>
      </c>
      <c r="BQ94" s="538">
        <f t="shared" si="164"/>
        <v>0.68490795938334592</v>
      </c>
      <c r="BR94" s="538"/>
      <c r="BT94" s="469">
        <f t="shared" si="181"/>
        <v>684.90795938334588</v>
      </c>
      <c r="BU94" s="538">
        <f t="shared" si="165"/>
        <v>3.0284342496585171E-2</v>
      </c>
      <c r="BV94" s="538">
        <f t="shared" si="166"/>
        <v>0.1354429159882248</v>
      </c>
      <c r="BW94" s="538">
        <f t="shared" si="167"/>
        <v>0</v>
      </c>
      <c r="BX94" s="538">
        <f t="shared" si="168"/>
        <v>0.18810850606359464</v>
      </c>
      <c r="BY94" s="538">
        <f t="shared" si="169"/>
        <v>7.5155555555555587E-2</v>
      </c>
      <c r="BZ94" s="469">
        <f t="shared" si="182"/>
        <v>263.2640616191502</v>
      </c>
      <c r="CA94" s="177">
        <f t="shared" si="183"/>
        <v>1.2323751484565906</v>
      </c>
      <c r="CB94" s="5">
        <f t="shared" si="184"/>
        <v>4.45</v>
      </c>
      <c r="CC94" s="177">
        <f t="shared" si="185"/>
        <v>0.78312323346139512</v>
      </c>
      <c r="CD94" s="5">
        <f t="shared" si="186"/>
        <v>78.312323346139507</v>
      </c>
      <c r="CG94" s="571">
        <f t="shared" si="170"/>
        <v>-50</v>
      </c>
      <c r="CH94">
        <f t="shared" si="171"/>
        <v>-50</v>
      </c>
    </row>
    <row r="95" spans="5:86" x14ac:dyDescent="0.2">
      <c r="E95" s="174">
        <v>90</v>
      </c>
      <c r="F95" s="221">
        <f t="shared" si="172"/>
        <v>0.9</v>
      </c>
      <c r="G95" s="221"/>
      <c r="H95" s="221">
        <f t="shared" si="120"/>
        <v>4.5</v>
      </c>
      <c r="I95" s="551">
        <f t="shared" si="121"/>
        <v>24</v>
      </c>
      <c r="J95" s="176">
        <f t="shared" si="122"/>
        <v>10.64</v>
      </c>
      <c r="K95" s="451">
        <f t="shared" si="123"/>
        <v>34.64</v>
      </c>
      <c r="L95" s="451"/>
      <c r="M95" s="221">
        <f t="shared" si="124"/>
        <v>0.30715935334872979</v>
      </c>
      <c r="N95" s="176">
        <f t="shared" si="125"/>
        <v>13.601016166281754</v>
      </c>
      <c r="O95" s="176">
        <f t="shared" si="173"/>
        <v>4.5</v>
      </c>
      <c r="P95" s="221">
        <f t="shared" si="126"/>
        <v>2.7202032332563508</v>
      </c>
      <c r="Q95" s="221">
        <f t="shared" si="127"/>
        <v>5</v>
      </c>
      <c r="R95" s="221">
        <f t="shared" si="128"/>
        <v>3.0224480369515008</v>
      </c>
      <c r="S95" s="176">
        <f t="shared" si="129"/>
        <v>37.302067755153459</v>
      </c>
      <c r="T95" s="176">
        <f t="shared" si="130"/>
        <v>5</v>
      </c>
      <c r="U95" s="221">
        <f t="shared" si="131"/>
        <v>1.3565162907268171</v>
      </c>
      <c r="V95" s="221">
        <f t="shared" si="132"/>
        <v>0.39565058479532161</v>
      </c>
      <c r="W95" s="221">
        <f t="shared" si="133"/>
        <v>0.89244492810974796</v>
      </c>
      <c r="X95" s="201">
        <f t="shared" si="134"/>
        <v>350</v>
      </c>
      <c r="Y95" s="451">
        <f t="shared" si="174"/>
        <v>350</v>
      </c>
      <c r="AA95" s="221">
        <f t="shared" si="135"/>
        <v>3.0089079511712309</v>
      </c>
      <c r="AB95" s="177">
        <f t="shared" si="136"/>
        <v>1.9795447047179149</v>
      </c>
      <c r="AC95" s="177">
        <f t="shared" si="137"/>
        <v>2.0846937306036244</v>
      </c>
      <c r="AD95" s="177"/>
      <c r="AE95" s="177">
        <f t="shared" si="138"/>
        <v>0.53947368421052622</v>
      </c>
      <c r="AF95" s="555">
        <f t="shared" si="139"/>
        <v>2034.5032718619875</v>
      </c>
      <c r="AG95" s="538">
        <f t="shared" si="140"/>
        <v>0.15482894736842101</v>
      </c>
      <c r="AI95" s="177">
        <f t="shared" si="141"/>
        <v>2.0839522890069109</v>
      </c>
      <c r="AJ95" s="177">
        <f t="shared" si="142"/>
        <v>2.0839522890069109</v>
      </c>
      <c r="AK95" s="177">
        <f t="shared" si="143"/>
        <v>2.0426348593379409</v>
      </c>
      <c r="AM95" s="555">
        <f t="shared" si="144"/>
        <v>900</v>
      </c>
      <c r="AN95" s="469">
        <f t="shared" si="145"/>
        <v>350</v>
      </c>
      <c r="AP95">
        <f t="shared" si="146"/>
        <v>900</v>
      </c>
      <c r="AQ95">
        <f t="shared" si="147"/>
        <v>350</v>
      </c>
      <c r="AS95" s="5">
        <f t="shared" si="175"/>
        <v>2.8571428571428572</v>
      </c>
      <c r="AT95" s="5">
        <f t="shared" si="148"/>
        <v>0.60781941762701563</v>
      </c>
      <c r="AU95" s="5">
        <f t="shared" si="176"/>
        <v>2.2493234395158415</v>
      </c>
      <c r="AV95" s="5">
        <f t="shared" si="149"/>
        <v>1.3710212427677044</v>
      </c>
      <c r="AW95" s="177">
        <f t="shared" si="177"/>
        <v>0.21273679616945546</v>
      </c>
      <c r="AX95" s="177">
        <f t="shared" si="150"/>
        <v>5.3200000000000012</v>
      </c>
      <c r="AY95" s="177">
        <f t="shared" si="151"/>
        <v>1.6406189556735775</v>
      </c>
      <c r="AZ95" s="177">
        <f t="shared" si="178"/>
        <v>3.2426786132163188</v>
      </c>
      <c r="BA95" s="469">
        <f t="shared" si="152"/>
        <v>100.52933910789432</v>
      </c>
      <c r="BB95" s="469">
        <f t="shared" si="153"/>
        <v>7.7456069999999997</v>
      </c>
      <c r="BC95" s="5">
        <f t="shared" si="154"/>
        <v>0.39050754158261131</v>
      </c>
      <c r="BD95" s="469">
        <f t="shared" si="155"/>
        <v>47.485904989913365</v>
      </c>
      <c r="BE95" s="5"/>
      <c r="BF95" s="177">
        <f t="shared" si="179"/>
        <v>0.55494309461813707</v>
      </c>
      <c r="BG95" s="177">
        <f t="shared" si="156"/>
        <v>2.1350945734132654</v>
      </c>
      <c r="BH95" s="177"/>
      <c r="BI95" s="538">
        <f t="shared" si="157"/>
        <v>3.3875802209079008E-2</v>
      </c>
      <c r="BJ95" s="538">
        <f t="shared" si="158"/>
        <v>0.12632918775959895</v>
      </c>
      <c r="BK95" s="538">
        <f t="shared" si="159"/>
        <v>1.7499999999999998E-2</v>
      </c>
      <c r="BL95" s="538">
        <f t="shared" si="160"/>
        <v>9.4494456000000004E-2</v>
      </c>
      <c r="BM95">
        <f t="shared" si="161"/>
        <v>6.96E-3</v>
      </c>
      <c r="BN95">
        <f t="shared" si="162"/>
        <v>6.6500000000000004E-5</v>
      </c>
      <c r="BO95" s="538">
        <f t="shared" si="163"/>
        <v>0.2855841043386243</v>
      </c>
      <c r="BP95" s="469">
        <f t="shared" si="180"/>
        <v>285.58410433862429</v>
      </c>
      <c r="BQ95" s="538">
        <f t="shared" si="164"/>
        <v>0.69207924317879443</v>
      </c>
      <c r="BR95" s="538"/>
      <c r="BT95" s="469">
        <f t="shared" si="181"/>
        <v>692.0792431787944</v>
      </c>
      <c r="BU95" s="538">
        <f t="shared" si="165"/>
        <v>3.0796183826435466E-2</v>
      </c>
      <c r="BV95" s="538">
        <f t="shared" si="166"/>
        <v>0.13675886512256322</v>
      </c>
      <c r="BW95" s="538">
        <f t="shared" si="167"/>
        <v>0</v>
      </c>
      <c r="BX95" s="538">
        <f t="shared" si="168"/>
        <v>0.19021132424240578</v>
      </c>
      <c r="BY95" s="538">
        <f t="shared" si="169"/>
        <v>7.6000000000000012E-2</v>
      </c>
      <c r="BZ95" s="469">
        <f t="shared" si="182"/>
        <v>266.21132424240579</v>
      </c>
      <c r="CA95" s="177">
        <f t="shared" si="183"/>
        <v>1.2438746717598246</v>
      </c>
      <c r="CB95" s="5">
        <f t="shared" si="184"/>
        <v>4.5</v>
      </c>
      <c r="CC95" s="177">
        <f t="shared" si="185"/>
        <v>0.78344327777981915</v>
      </c>
      <c r="CD95" s="5">
        <f t="shared" si="186"/>
        <v>78.344327777981917</v>
      </c>
      <c r="CG95" s="571">
        <f t="shared" si="170"/>
        <v>-50</v>
      </c>
      <c r="CH95">
        <f t="shared" si="171"/>
        <v>-50</v>
      </c>
    </row>
    <row r="96" spans="5:86" x14ac:dyDescent="0.2">
      <c r="E96" s="174">
        <v>91</v>
      </c>
      <c r="F96" s="221">
        <f t="shared" si="172"/>
        <v>0.91</v>
      </c>
      <c r="G96" s="221"/>
      <c r="H96" s="221">
        <f t="shared" si="120"/>
        <v>4.55</v>
      </c>
      <c r="I96" s="551">
        <f t="shared" si="121"/>
        <v>24</v>
      </c>
      <c r="J96" s="176">
        <f t="shared" si="122"/>
        <v>10.64</v>
      </c>
      <c r="K96" s="451">
        <f t="shared" si="123"/>
        <v>34.64</v>
      </c>
      <c r="L96" s="451"/>
      <c r="M96" s="221">
        <f t="shared" si="124"/>
        <v>0.30715935334872979</v>
      </c>
      <c r="N96" s="176">
        <f t="shared" si="125"/>
        <v>13.601016166281754</v>
      </c>
      <c r="O96" s="176">
        <f t="shared" si="173"/>
        <v>4.55</v>
      </c>
      <c r="P96" s="221">
        <f t="shared" si="126"/>
        <v>2.7202032332563508</v>
      </c>
      <c r="Q96" s="221">
        <f t="shared" si="127"/>
        <v>5</v>
      </c>
      <c r="R96" s="221">
        <f t="shared" si="128"/>
        <v>3.0224480369515008</v>
      </c>
      <c r="S96" s="176">
        <f t="shared" si="129"/>
        <v>36.762892452258207</v>
      </c>
      <c r="T96" s="221">
        <f t="shared" si="130"/>
        <v>5</v>
      </c>
      <c r="U96" s="221">
        <f t="shared" si="131"/>
        <v>1.3715886939571149</v>
      </c>
      <c r="V96" s="221">
        <f t="shared" si="132"/>
        <v>0.40004670240415852</v>
      </c>
      <c r="W96" s="221">
        <f t="shared" si="133"/>
        <v>0.90236098286652289</v>
      </c>
      <c r="X96" s="201">
        <f t="shared" si="134"/>
        <v>350</v>
      </c>
      <c r="Y96" s="451">
        <f t="shared" si="174"/>
        <v>350</v>
      </c>
      <c r="AA96" s="221">
        <f t="shared" si="135"/>
        <v>3.0089079511712309</v>
      </c>
      <c r="AB96" s="177">
        <f t="shared" si="136"/>
        <v>1.9795447047179149</v>
      </c>
      <c r="AC96" s="177">
        <f t="shared" si="137"/>
        <v>2.0846937306036244</v>
      </c>
      <c r="AD96" s="177"/>
      <c r="AE96" s="177">
        <f t="shared" si="138"/>
        <v>0.53947368421052622</v>
      </c>
      <c r="AF96" s="555">
        <f t="shared" si="139"/>
        <v>2057.1088637715652</v>
      </c>
      <c r="AG96" s="538">
        <f t="shared" si="140"/>
        <v>0.15482894736842101</v>
      </c>
      <c r="AI96" s="177">
        <f t="shared" si="141"/>
        <v>2.0954978194002285</v>
      </c>
      <c r="AJ96" s="177">
        <f t="shared" si="142"/>
        <v>2.0954978194002285</v>
      </c>
      <c r="AK96" s="177">
        <f t="shared" si="143"/>
        <v>2.0503318796001526</v>
      </c>
      <c r="AM96" s="555">
        <f t="shared" si="144"/>
        <v>910</v>
      </c>
      <c r="AN96" s="469">
        <f t="shared" si="145"/>
        <v>350</v>
      </c>
      <c r="AP96">
        <f t="shared" si="146"/>
        <v>910</v>
      </c>
      <c r="AQ96">
        <f t="shared" si="147"/>
        <v>350</v>
      </c>
      <c r="AS96" s="5">
        <f t="shared" si="175"/>
        <v>2.8571428571428572</v>
      </c>
      <c r="AT96" s="5">
        <f t="shared" si="148"/>
        <v>0.61118686399173328</v>
      </c>
      <c r="AU96" s="5">
        <f t="shared" si="176"/>
        <v>2.2459559931511239</v>
      </c>
      <c r="AV96" s="5">
        <f t="shared" si="149"/>
        <v>1.3786169864475186</v>
      </c>
      <c r="AW96" s="177">
        <f t="shared" si="177"/>
        <v>0.21391540239710663</v>
      </c>
      <c r="AX96" s="177">
        <f t="shared" si="150"/>
        <v>5.3791111111111132</v>
      </c>
      <c r="AY96" s="177">
        <f t="shared" si="151"/>
        <v>1.6472385601409691</v>
      </c>
      <c r="AZ96" s="177">
        <f t="shared" si="178"/>
        <v>3.265532535038989</v>
      </c>
      <c r="BA96" s="469">
        <f t="shared" si="152"/>
        <v>100.52933910789432</v>
      </c>
      <c r="BB96" s="469">
        <f t="shared" si="153"/>
        <v>7.888354514444444</v>
      </c>
      <c r="BC96" s="5">
        <f t="shared" si="154"/>
        <v>0.39425539231626588</v>
      </c>
      <c r="BD96" s="469">
        <f t="shared" si="155"/>
        <v>47.942591522396356</v>
      </c>
      <c r="BE96" s="5"/>
      <c r="BF96" s="177">
        <f t="shared" si="179"/>
        <v>0.55956122700551114</v>
      </c>
      <c r="BG96" s="177">
        <f t="shared" si="156"/>
        <v>2.1453157687723188</v>
      </c>
      <c r="BH96" s="177"/>
      <c r="BI96" s="538">
        <f t="shared" si="157"/>
        <v>3.4441964344470451E-2</v>
      </c>
      <c r="BJ96" s="538">
        <f t="shared" si="158"/>
        <v>0.12702907781204187</v>
      </c>
      <c r="BK96" s="538">
        <f t="shared" si="159"/>
        <v>1.7499999999999998E-2</v>
      </c>
      <c r="BL96" s="538">
        <f t="shared" si="160"/>
        <v>9.4494456000000004E-2</v>
      </c>
      <c r="BM96">
        <f t="shared" si="161"/>
        <v>6.96E-3</v>
      </c>
      <c r="BN96">
        <f t="shared" si="162"/>
        <v>6.6500000000000004E-5</v>
      </c>
      <c r="BO96" s="538">
        <f t="shared" si="163"/>
        <v>0.28696519585357716</v>
      </c>
      <c r="BP96" s="469">
        <f t="shared" si="180"/>
        <v>286.96519585357714</v>
      </c>
      <c r="BQ96" s="538">
        <f t="shared" si="164"/>
        <v>0.6992418127275779</v>
      </c>
      <c r="BR96" s="538"/>
      <c r="BT96" s="469">
        <f t="shared" si="181"/>
        <v>699.24181272757789</v>
      </c>
      <c r="BU96" s="538">
        <f t="shared" si="165"/>
        <v>3.1310876676791319E-2</v>
      </c>
      <c r="BV96" s="538">
        <f t="shared" si="166"/>
        <v>0.13807139243229494</v>
      </c>
      <c r="BW96" s="538">
        <f t="shared" si="167"/>
        <v>0</v>
      </c>
      <c r="BX96" s="538">
        <f t="shared" si="168"/>
        <v>0.19231410942101057</v>
      </c>
      <c r="BY96" s="538">
        <f t="shared" si="169"/>
        <v>7.6844444444444479E-2</v>
      </c>
      <c r="BZ96" s="469">
        <f t="shared" si="182"/>
        <v>269.15855386545508</v>
      </c>
      <c r="CA96" s="177">
        <f t="shared" si="183"/>
        <v>1.2553655624466102</v>
      </c>
      <c r="CB96" s="5">
        <f t="shared" si="184"/>
        <v>4.55</v>
      </c>
      <c r="CC96" s="177">
        <f t="shared" si="185"/>
        <v>0.7837577067381869</v>
      </c>
      <c r="CD96" s="5">
        <f t="shared" si="186"/>
        <v>78.375770673818693</v>
      </c>
      <c r="CG96" s="571">
        <f t="shared" si="170"/>
        <v>-50</v>
      </c>
      <c r="CH96">
        <f t="shared" si="171"/>
        <v>-50</v>
      </c>
    </row>
    <row r="97" spans="5:86" x14ac:dyDescent="0.2">
      <c r="E97" s="174">
        <v>92</v>
      </c>
      <c r="F97" s="221">
        <f t="shared" si="172"/>
        <v>0.92</v>
      </c>
      <c r="G97" s="221"/>
      <c r="H97" s="221">
        <f t="shared" si="120"/>
        <v>4.6000000000000005</v>
      </c>
      <c r="I97" s="551">
        <f t="shared" si="121"/>
        <v>24</v>
      </c>
      <c r="J97" s="176">
        <f t="shared" si="122"/>
        <v>10.64</v>
      </c>
      <c r="K97" s="451">
        <f t="shared" si="123"/>
        <v>34.64</v>
      </c>
      <c r="L97" s="451"/>
      <c r="M97" s="221">
        <f t="shared" si="124"/>
        <v>0.30715935334872979</v>
      </c>
      <c r="N97" s="176">
        <f t="shared" si="125"/>
        <v>13.601016166281754</v>
      </c>
      <c r="O97" s="176">
        <f t="shared" si="173"/>
        <v>4.6000000000000005</v>
      </c>
      <c r="P97" s="221">
        <f t="shared" si="126"/>
        <v>2.7202032332563508</v>
      </c>
      <c r="Q97" s="221">
        <f t="shared" si="127"/>
        <v>5</v>
      </c>
      <c r="R97" s="221">
        <f t="shared" si="128"/>
        <v>3.0224480369515008</v>
      </c>
      <c r="S97" s="176">
        <f t="shared" si="129"/>
        <v>36.235480590732294</v>
      </c>
      <c r="T97" s="542">
        <f t="shared" si="130"/>
        <v>5</v>
      </c>
      <c r="U97" s="221">
        <f t="shared" si="131"/>
        <v>1.3866610971874131</v>
      </c>
      <c r="V97" s="221">
        <f t="shared" si="132"/>
        <v>0.40444282001299542</v>
      </c>
      <c r="W97" s="221">
        <f t="shared" si="133"/>
        <v>0.91227703762329793</v>
      </c>
      <c r="X97" s="201">
        <f t="shared" si="134"/>
        <v>350</v>
      </c>
      <c r="Y97" s="451">
        <f t="shared" si="174"/>
        <v>350</v>
      </c>
      <c r="AA97" s="221">
        <f t="shared" si="135"/>
        <v>3.0089079511712309</v>
      </c>
      <c r="AB97" s="177">
        <f t="shared" si="136"/>
        <v>1.9795447047179149</v>
      </c>
      <c r="AC97" s="177">
        <f t="shared" si="137"/>
        <v>2.0846937306036244</v>
      </c>
      <c r="AD97" s="177"/>
      <c r="AE97" s="177">
        <f t="shared" si="138"/>
        <v>0.53947368421052622</v>
      </c>
      <c r="AF97" s="555">
        <f t="shared" si="139"/>
        <v>2079.7144556811427</v>
      </c>
      <c r="AG97" s="538">
        <f t="shared" si="140"/>
        <v>0.15482894736842101</v>
      </c>
      <c r="AI97" s="177">
        <f t="shared" si="141"/>
        <v>2.1069800851847367</v>
      </c>
      <c r="AJ97" s="177">
        <f t="shared" si="142"/>
        <v>2.1069800851847367</v>
      </c>
      <c r="AK97" s="177">
        <f t="shared" si="143"/>
        <v>2.0579867234564913</v>
      </c>
      <c r="AM97" s="555">
        <f t="shared" si="144"/>
        <v>920</v>
      </c>
      <c r="AN97" s="469">
        <f t="shared" si="145"/>
        <v>350</v>
      </c>
      <c r="AP97">
        <f t="shared" si="146"/>
        <v>920</v>
      </c>
      <c r="AQ97">
        <f t="shared" si="147"/>
        <v>350</v>
      </c>
      <c r="AS97" s="5">
        <f t="shared" si="175"/>
        <v>2.8571428571428572</v>
      </c>
      <c r="AT97" s="5">
        <f t="shared" si="148"/>
        <v>0.61453585817888146</v>
      </c>
      <c r="AU97" s="5">
        <f t="shared" si="176"/>
        <v>2.2426069989639759</v>
      </c>
      <c r="AV97" s="5">
        <f t="shared" si="149"/>
        <v>1.3861711086741688</v>
      </c>
      <c r="AW97" s="177">
        <f t="shared" si="177"/>
        <v>0.21508755036260852</v>
      </c>
      <c r="AX97" s="177">
        <f t="shared" si="150"/>
        <v>5.4382222222222234</v>
      </c>
      <c r="AY97" s="177">
        <f t="shared" si="151"/>
        <v>1.6537948999995515</v>
      </c>
      <c r="AZ97" s="177">
        <f t="shared" si="178"/>
        <v>3.2883292978008929</v>
      </c>
      <c r="BA97" s="469">
        <f t="shared" si="152"/>
        <v>100.52933910789432</v>
      </c>
      <c r="BB97" s="469">
        <f t="shared" si="153"/>
        <v>8.0323478577777774</v>
      </c>
      <c r="BC97" s="5">
        <f t="shared" si="154"/>
        <v>0.39799352605070559</v>
      </c>
      <c r="BD97" s="469">
        <f t="shared" si="155"/>
        <v>48.398112014973563</v>
      </c>
      <c r="BE97" s="5"/>
      <c r="BF97" s="177">
        <f t="shared" si="179"/>
        <v>0.56416668934099667</v>
      </c>
      <c r="BG97" s="177">
        <f t="shared" si="156"/>
        <v>2.1554621837799699</v>
      </c>
      <c r="BH97" s="177"/>
      <c r="BI97" s="538">
        <f t="shared" si="157"/>
        <v>3.5011245869817867E-2</v>
      </c>
      <c r="BJ97" s="538">
        <f t="shared" si="158"/>
        <v>0.12772513276389874</v>
      </c>
      <c r="BK97" s="538">
        <f t="shared" si="159"/>
        <v>1.7499999999999998E-2</v>
      </c>
      <c r="BL97" s="538">
        <f t="shared" si="160"/>
        <v>9.4494456000000004E-2</v>
      </c>
      <c r="BM97">
        <f t="shared" si="161"/>
        <v>6.96E-3</v>
      </c>
      <c r="BN97">
        <f t="shared" si="162"/>
        <v>6.6500000000000004E-5</v>
      </c>
      <c r="BO97" s="538">
        <f t="shared" si="163"/>
        <v>0.28834644829538086</v>
      </c>
      <c r="BP97" s="469">
        <f t="shared" si="180"/>
        <v>288.34644829538087</v>
      </c>
      <c r="BQ97" s="538">
        <f t="shared" si="164"/>
        <v>0.70639571604390161</v>
      </c>
      <c r="BR97" s="538"/>
      <c r="BT97" s="469">
        <f t="shared" si="181"/>
        <v>706.39571604390164</v>
      </c>
      <c r="BU97" s="538">
        <f t="shared" si="165"/>
        <v>3.1828405336198066E-2</v>
      </c>
      <c r="BV97" s="538">
        <f t="shared" si="166"/>
        <v>0.1393805167711655</v>
      </c>
      <c r="BW97" s="538">
        <f t="shared" si="167"/>
        <v>0</v>
      </c>
      <c r="BX97" s="538">
        <f t="shared" si="168"/>
        <v>0.19441686491071572</v>
      </c>
      <c r="BY97" s="538">
        <f t="shared" si="169"/>
        <v>7.7688888888888918E-2</v>
      </c>
      <c r="BZ97" s="469">
        <f t="shared" si="182"/>
        <v>272.10575379960466</v>
      </c>
      <c r="CA97" s="177">
        <f t="shared" si="183"/>
        <v>1.266847918138887</v>
      </c>
      <c r="CB97" s="5">
        <f t="shared" si="184"/>
        <v>4.6000000000000005</v>
      </c>
      <c r="CC97" s="177">
        <f t="shared" si="185"/>
        <v>0.78406668524300815</v>
      </c>
      <c r="CD97" s="5">
        <f t="shared" si="186"/>
        <v>78.406668524300812</v>
      </c>
      <c r="CG97" s="571">
        <f t="shared" si="170"/>
        <v>-50</v>
      </c>
      <c r="CH97">
        <f t="shared" si="171"/>
        <v>-50</v>
      </c>
    </row>
    <row r="98" spans="5:86" x14ac:dyDescent="0.2">
      <c r="E98" s="174">
        <v>93</v>
      </c>
      <c r="F98" s="221">
        <f t="shared" si="172"/>
        <v>0.93</v>
      </c>
      <c r="G98" s="221"/>
      <c r="H98" s="221">
        <f t="shared" si="120"/>
        <v>4.6500000000000004</v>
      </c>
      <c r="I98" s="551">
        <f t="shared" si="121"/>
        <v>24</v>
      </c>
      <c r="J98" s="176">
        <f t="shared" si="122"/>
        <v>10.64</v>
      </c>
      <c r="K98" s="451">
        <f t="shared" si="123"/>
        <v>34.64</v>
      </c>
      <c r="L98" s="451"/>
      <c r="M98" s="221">
        <f t="shared" si="124"/>
        <v>0.30715935334872979</v>
      </c>
      <c r="N98" s="176">
        <f t="shared" si="125"/>
        <v>13.601016166281754</v>
      </c>
      <c r="O98" s="176">
        <f t="shared" si="173"/>
        <v>4.6500000000000004</v>
      </c>
      <c r="P98" s="221">
        <f t="shared" si="126"/>
        <v>2.7202032332563508</v>
      </c>
      <c r="Q98" s="221">
        <f t="shared" si="127"/>
        <v>5</v>
      </c>
      <c r="R98" s="221">
        <f t="shared" si="128"/>
        <v>3.0224480369515008</v>
      </c>
      <c r="S98" s="176">
        <f t="shared" si="129"/>
        <v>35.719453122303726</v>
      </c>
      <c r="T98" s="542">
        <f t="shared" si="130"/>
        <v>5</v>
      </c>
      <c r="U98" s="221">
        <f t="shared" si="131"/>
        <v>1.4017335004177109</v>
      </c>
      <c r="V98" s="221">
        <f t="shared" si="132"/>
        <v>0.40883893762183238</v>
      </c>
      <c r="W98" s="221">
        <f t="shared" si="133"/>
        <v>0.92219309238007285</v>
      </c>
      <c r="X98" s="201">
        <f t="shared" si="134"/>
        <v>350</v>
      </c>
      <c r="Y98" s="451">
        <f t="shared" si="174"/>
        <v>350</v>
      </c>
      <c r="AA98" s="221">
        <f t="shared" si="135"/>
        <v>3.0089079511712309</v>
      </c>
      <c r="AB98" s="177">
        <f t="shared" si="136"/>
        <v>1.9795447047179149</v>
      </c>
      <c r="AC98" s="177">
        <f t="shared" si="137"/>
        <v>2.0846937306036244</v>
      </c>
      <c r="AD98" s="177"/>
      <c r="AE98" s="177">
        <f t="shared" si="138"/>
        <v>0.53947368421052622</v>
      </c>
      <c r="AF98" s="555">
        <f t="shared" si="139"/>
        <v>2102.3200475907206</v>
      </c>
      <c r="AG98" s="538">
        <f t="shared" si="140"/>
        <v>0.15482894736842101</v>
      </c>
      <c r="AI98" s="177">
        <f t="shared" si="141"/>
        <v>2.118400115091351</v>
      </c>
      <c r="AJ98" s="177">
        <f t="shared" si="142"/>
        <v>2.118400115091351</v>
      </c>
      <c r="AK98" s="177">
        <f t="shared" si="143"/>
        <v>2.0656000767275673</v>
      </c>
      <c r="AM98" s="555">
        <f t="shared" si="144"/>
        <v>930</v>
      </c>
      <c r="AN98" s="469">
        <f t="shared" si="145"/>
        <v>350</v>
      </c>
      <c r="AP98">
        <f t="shared" si="146"/>
        <v>930</v>
      </c>
      <c r="AQ98">
        <f t="shared" si="147"/>
        <v>350</v>
      </c>
      <c r="AS98" s="5">
        <f t="shared" si="175"/>
        <v>2.8571428571428572</v>
      </c>
      <c r="AT98" s="5">
        <f t="shared" si="148"/>
        <v>0.61786670023497736</v>
      </c>
      <c r="AU98" s="5">
        <f t="shared" si="176"/>
        <v>2.2392761569078798</v>
      </c>
      <c r="AV98" s="5">
        <f t="shared" si="149"/>
        <v>1.3936842862443097</v>
      </c>
      <c r="AW98" s="177">
        <f t="shared" si="177"/>
        <v>0.21625334508224206</v>
      </c>
      <c r="AX98" s="177">
        <f t="shared" si="150"/>
        <v>5.4973333333333345</v>
      </c>
      <c r="AY98" s="177">
        <f t="shared" si="151"/>
        <v>1.6602890039802398</v>
      </c>
      <c r="AZ98" s="177">
        <f t="shared" si="178"/>
        <v>3.311070133063871</v>
      </c>
      <c r="BA98" s="469">
        <f t="shared" si="152"/>
        <v>100.52933910789432</v>
      </c>
      <c r="BB98" s="469">
        <f t="shared" si="153"/>
        <v>8.1775870300000015</v>
      </c>
      <c r="BC98" s="5">
        <f t="shared" si="154"/>
        <v>0.40172199574157563</v>
      </c>
      <c r="BD98" s="469">
        <f t="shared" si="155"/>
        <v>48.852472822322412</v>
      </c>
      <c r="BE98" s="5"/>
      <c r="BF98" s="177">
        <f t="shared" si="179"/>
        <v>0.56875965354515223</v>
      </c>
      <c r="BG98" s="177">
        <f t="shared" si="156"/>
        <v>2.1655350122980832</v>
      </c>
      <c r="BH98" s="177"/>
      <c r="BI98" s="538">
        <f t="shared" si="157"/>
        <v>3.5583629785088181E-2</v>
      </c>
      <c r="BJ98" s="538">
        <f t="shared" si="158"/>
        <v>0.1284174149768377</v>
      </c>
      <c r="BK98" s="538">
        <f t="shared" si="159"/>
        <v>1.7499999999999998E-2</v>
      </c>
      <c r="BL98" s="538">
        <f t="shared" si="160"/>
        <v>9.4494456000000004E-2</v>
      </c>
      <c r="BM98">
        <f t="shared" si="161"/>
        <v>6.96E-3</v>
      </c>
      <c r="BN98">
        <f t="shared" si="162"/>
        <v>6.6500000000000004E-5</v>
      </c>
      <c r="BO98" s="538">
        <f t="shared" si="163"/>
        <v>0.28972790655218505</v>
      </c>
      <c r="BP98" s="469">
        <f t="shared" si="180"/>
        <v>289.72790655218506</v>
      </c>
      <c r="BQ98" s="538">
        <f t="shared" si="164"/>
        <v>0.71354100035694901</v>
      </c>
      <c r="BR98" s="538"/>
      <c r="BT98" s="469">
        <f t="shared" si="181"/>
        <v>713.54100035694898</v>
      </c>
      <c r="BU98" s="538">
        <f t="shared" si="165"/>
        <v>3.234875435008016E-2</v>
      </c>
      <c r="BV98" s="538">
        <f t="shared" si="166"/>
        <v>0.14068625668466578</v>
      </c>
      <c r="BW98" s="538">
        <f t="shared" si="167"/>
        <v>0</v>
      </c>
      <c r="BX98" s="538">
        <f t="shared" si="168"/>
        <v>0.1965195939677761</v>
      </c>
      <c r="BY98" s="538">
        <f t="shared" si="169"/>
        <v>7.8533333333333358E-2</v>
      </c>
      <c r="BZ98" s="469">
        <f t="shared" si="182"/>
        <v>275.05292730110949</v>
      </c>
      <c r="CA98" s="177">
        <f t="shared" si="183"/>
        <v>1.2783218342102436</v>
      </c>
      <c r="CB98" s="5">
        <f t="shared" si="184"/>
        <v>4.6500000000000004</v>
      </c>
      <c r="CC98" s="177">
        <f t="shared" si="185"/>
        <v>0.78437037158922418</v>
      </c>
      <c r="CD98" s="5">
        <f t="shared" si="186"/>
        <v>78.437037158922422</v>
      </c>
      <c r="CG98" s="571">
        <f t="shared" si="170"/>
        <v>-50</v>
      </c>
      <c r="CH98">
        <f t="shared" si="171"/>
        <v>-50</v>
      </c>
    </row>
    <row r="99" spans="5:86" x14ac:dyDescent="0.2">
      <c r="E99" s="174">
        <v>94</v>
      </c>
      <c r="F99" s="221">
        <f t="shared" si="172"/>
        <v>0.94</v>
      </c>
      <c r="G99" s="221"/>
      <c r="H99" s="221">
        <f t="shared" si="120"/>
        <v>4.6999999999999993</v>
      </c>
      <c r="I99" s="551">
        <f t="shared" si="121"/>
        <v>24</v>
      </c>
      <c r="J99" s="176">
        <f t="shared" si="122"/>
        <v>10.64</v>
      </c>
      <c r="K99" s="451">
        <f t="shared" si="123"/>
        <v>34.64</v>
      </c>
      <c r="L99" s="451"/>
      <c r="M99" s="221">
        <f t="shared" si="124"/>
        <v>0.30715935334872979</v>
      </c>
      <c r="N99" s="176">
        <f t="shared" si="125"/>
        <v>13.601016166281754</v>
      </c>
      <c r="O99" s="176">
        <f t="shared" si="173"/>
        <v>4.6999999999999993</v>
      </c>
      <c r="P99" s="221">
        <f t="shared" si="126"/>
        <v>2.7202032332563508</v>
      </c>
      <c r="Q99" s="221">
        <f t="shared" si="127"/>
        <v>5</v>
      </c>
      <c r="R99" s="221">
        <f t="shared" si="128"/>
        <v>3.0224480369515008</v>
      </c>
      <c r="S99" s="176">
        <f t="shared" si="129"/>
        <v>35.214447133642103</v>
      </c>
      <c r="T99" s="542">
        <f t="shared" si="130"/>
        <v>5</v>
      </c>
      <c r="U99" s="221">
        <f t="shared" si="131"/>
        <v>1.4168059036480087</v>
      </c>
      <c r="V99" s="221">
        <f t="shared" si="132"/>
        <v>0.41323505523066922</v>
      </c>
      <c r="W99" s="221">
        <f t="shared" si="133"/>
        <v>0.93210914713684778</v>
      </c>
      <c r="X99" s="201">
        <f t="shared" si="134"/>
        <v>350</v>
      </c>
      <c r="Y99" s="451">
        <f t="shared" si="174"/>
        <v>350</v>
      </c>
      <c r="AA99" s="221">
        <f t="shared" si="135"/>
        <v>3.0089079511712309</v>
      </c>
      <c r="AB99" s="177">
        <f t="shared" si="136"/>
        <v>1.9795447047179149</v>
      </c>
      <c r="AC99" s="177">
        <f t="shared" si="137"/>
        <v>2.0846937306036244</v>
      </c>
      <c r="AD99" s="177"/>
      <c r="AE99" s="177">
        <f t="shared" si="138"/>
        <v>0.53947368421052622</v>
      </c>
      <c r="AF99" s="555">
        <f t="shared" si="139"/>
        <v>2124.9256395002976</v>
      </c>
      <c r="AG99" s="538">
        <f t="shared" si="140"/>
        <v>0.15482894736842101</v>
      </c>
      <c r="AI99" s="177">
        <f t="shared" si="141"/>
        <v>2.1297589102696617</v>
      </c>
      <c r="AJ99" s="177">
        <f t="shared" si="142"/>
        <v>2.1297589102696617</v>
      </c>
      <c r="AK99" s="177">
        <f t="shared" si="143"/>
        <v>2.0731726068464411</v>
      </c>
      <c r="AM99" s="555">
        <f t="shared" si="144"/>
        <v>940</v>
      </c>
      <c r="AN99" s="469">
        <f t="shared" si="145"/>
        <v>350</v>
      </c>
      <c r="AP99">
        <f t="shared" si="146"/>
        <v>940</v>
      </c>
      <c r="AQ99">
        <f t="shared" si="147"/>
        <v>350</v>
      </c>
      <c r="AS99" s="5">
        <f t="shared" si="175"/>
        <v>2.8571428571428572</v>
      </c>
      <c r="AT99" s="5">
        <f t="shared" si="148"/>
        <v>0.6211796821619846</v>
      </c>
      <c r="AU99" s="5">
        <f t="shared" si="176"/>
        <v>2.2359631749808724</v>
      </c>
      <c r="AV99" s="5">
        <f t="shared" si="149"/>
        <v>1.4011571778089877</v>
      </c>
      <c r="AW99" s="177">
        <f t="shared" si="177"/>
        <v>0.21741288875669459</v>
      </c>
      <c r="AX99" s="177">
        <f t="shared" si="150"/>
        <v>5.5564444444444456</v>
      </c>
      <c r="AY99" s="177">
        <f t="shared" si="151"/>
        <v>1.6667218732326246</v>
      </c>
      <c r="AZ99" s="177">
        <f t="shared" si="178"/>
        <v>3.3337562395264326</v>
      </c>
      <c r="BA99" s="469">
        <f t="shared" si="152"/>
        <v>100.52933910789432</v>
      </c>
      <c r="BB99" s="469">
        <f t="shared" si="153"/>
        <v>8.3240720311111112</v>
      </c>
      <c r="BC99" s="5">
        <f t="shared" si="154"/>
        <v>0.40544085348804387</v>
      </c>
      <c r="BD99" s="469">
        <f t="shared" si="155"/>
        <v>49.305680196343047</v>
      </c>
      <c r="BE99" s="5"/>
      <c r="BF99" s="177">
        <f t="shared" si="179"/>
        <v>0.57334028738452025</v>
      </c>
      <c r="BG99" s="177">
        <f t="shared" si="156"/>
        <v>2.175535416231607</v>
      </c>
      <c r="BH99" s="177"/>
      <c r="BI99" s="538">
        <f t="shared" si="157"/>
        <v>3.6159099365198073E-2</v>
      </c>
      <c r="BJ99" s="538">
        <f t="shared" si="158"/>
        <v>0.12910598514054689</v>
      </c>
      <c r="BK99" s="538">
        <f t="shared" si="159"/>
        <v>1.7499999999999998E-2</v>
      </c>
      <c r="BL99" s="538">
        <f t="shared" si="160"/>
        <v>9.4494456000000004E-2</v>
      </c>
      <c r="BM99">
        <f t="shared" si="161"/>
        <v>6.96E-3</v>
      </c>
      <c r="BN99">
        <f t="shared" si="162"/>
        <v>6.6500000000000004E-5</v>
      </c>
      <c r="BO99" s="538">
        <f t="shared" si="163"/>
        <v>0.29110961416026271</v>
      </c>
      <c r="BP99" s="469">
        <f t="shared" si="180"/>
        <v>291.10961416026271</v>
      </c>
      <c r="BQ99" s="538">
        <f t="shared" si="164"/>
        <v>0.72067771213204168</v>
      </c>
      <c r="BR99" s="538"/>
      <c r="BT99" s="469">
        <f t="shared" si="181"/>
        <v>720.67771213204173</v>
      </c>
      <c r="BU99" s="538">
        <f t="shared" si="165"/>
        <v>3.2871908513816432E-2</v>
      </c>
      <c r="BV99" s="538">
        <f t="shared" si="166"/>
        <v>0.14198863041834095</v>
      </c>
      <c r="BW99" s="538">
        <f t="shared" si="167"/>
        <v>0</v>
      </c>
      <c r="BX99" s="538">
        <f t="shared" si="168"/>
        <v>0.19862229979490278</v>
      </c>
      <c r="BY99" s="538">
        <f t="shared" si="169"/>
        <v>7.9377777777777811E-2</v>
      </c>
      <c r="BZ99" s="469">
        <f t="shared" si="182"/>
        <v>278.0000775726806</v>
      </c>
      <c r="CA99" s="177">
        <f t="shared" si="183"/>
        <v>1.2897874038649848</v>
      </c>
      <c r="CB99" s="5">
        <f t="shared" si="184"/>
        <v>4.6999999999999993</v>
      </c>
      <c r="CC99" s="177">
        <f t="shared" si="185"/>
        <v>0.78466891779285297</v>
      </c>
      <c r="CD99" s="5">
        <f t="shared" si="186"/>
        <v>78.466891779285291</v>
      </c>
      <c r="CG99" s="571">
        <f t="shared" si="170"/>
        <v>-50</v>
      </c>
      <c r="CH99">
        <f t="shared" si="171"/>
        <v>-50</v>
      </c>
    </row>
    <row r="100" spans="5:86" x14ac:dyDescent="0.2">
      <c r="E100" s="174">
        <v>95</v>
      </c>
      <c r="F100" s="221">
        <f t="shared" si="172"/>
        <v>0.95</v>
      </c>
      <c r="G100" s="221"/>
      <c r="H100" s="221">
        <f t="shared" si="120"/>
        <v>4.75</v>
      </c>
      <c r="I100" s="551">
        <f t="shared" si="121"/>
        <v>24</v>
      </c>
      <c r="J100" s="176">
        <f t="shared" si="122"/>
        <v>10.64</v>
      </c>
      <c r="K100" s="451">
        <f t="shared" si="123"/>
        <v>34.64</v>
      </c>
      <c r="L100" s="451"/>
      <c r="M100" s="221">
        <f t="shared" si="124"/>
        <v>0.30715935334872979</v>
      </c>
      <c r="N100" s="176">
        <f t="shared" si="125"/>
        <v>13.601016166281754</v>
      </c>
      <c r="O100" s="176">
        <f t="shared" si="173"/>
        <v>4.75</v>
      </c>
      <c r="P100" s="221">
        <f t="shared" si="126"/>
        <v>2.7202032332563508</v>
      </c>
      <c r="Q100" s="221">
        <f t="shared" si="127"/>
        <v>5</v>
      </c>
      <c r="R100" s="221">
        <f t="shared" si="128"/>
        <v>3.0224480369515008</v>
      </c>
      <c r="S100" s="176">
        <f t="shared" si="129"/>
        <v>34.720114997227981</v>
      </c>
      <c r="T100" s="542">
        <f t="shared" si="130"/>
        <v>5</v>
      </c>
      <c r="U100" s="221">
        <f t="shared" si="131"/>
        <v>1.4318783068783068</v>
      </c>
      <c r="V100" s="221">
        <f t="shared" si="132"/>
        <v>0.41763117283950607</v>
      </c>
      <c r="W100" s="221">
        <f t="shared" si="133"/>
        <v>0.94202520189362271</v>
      </c>
      <c r="X100" s="201">
        <f t="shared" si="134"/>
        <v>350</v>
      </c>
      <c r="Y100" s="451">
        <f t="shared" si="174"/>
        <v>350</v>
      </c>
      <c r="AA100" s="221">
        <f t="shared" si="135"/>
        <v>3.0089079511712309</v>
      </c>
      <c r="AB100" s="177">
        <f t="shared" si="136"/>
        <v>1.9795447047179149</v>
      </c>
      <c r="AC100" s="177">
        <f t="shared" si="137"/>
        <v>2.0846937306036244</v>
      </c>
      <c r="AD100" s="177"/>
      <c r="AE100" s="177">
        <f t="shared" si="138"/>
        <v>0.53947368421052622</v>
      </c>
      <c r="AF100" s="555">
        <f t="shared" si="139"/>
        <v>2147.5312314098751</v>
      </c>
      <c r="AG100" s="538">
        <f t="shared" si="140"/>
        <v>0.15482894736842101</v>
      </c>
      <c r="AI100" s="177">
        <f t="shared" si="141"/>
        <v>2.1410574453122422</v>
      </c>
      <c r="AJ100" s="177">
        <f t="shared" si="142"/>
        <v>2.1410574453122422</v>
      </c>
      <c r="AK100" s="177">
        <f t="shared" si="143"/>
        <v>2.0807049635414949</v>
      </c>
      <c r="AM100" s="555">
        <f t="shared" si="144"/>
        <v>950</v>
      </c>
      <c r="AN100" s="469">
        <f t="shared" si="145"/>
        <v>350</v>
      </c>
      <c r="AP100">
        <f t="shared" si="146"/>
        <v>950</v>
      </c>
      <c r="AQ100">
        <f t="shared" si="147"/>
        <v>350</v>
      </c>
      <c r="AS100" s="5">
        <f t="shared" si="175"/>
        <v>2.8571428571428572</v>
      </c>
      <c r="AT100" s="5">
        <f t="shared" si="148"/>
        <v>0.62447508821607067</v>
      </c>
      <c r="AU100" s="5">
        <f t="shared" si="176"/>
        <v>2.2326677689267864</v>
      </c>
      <c r="AV100" s="5">
        <f t="shared" si="149"/>
        <v>1.4085904245475278</v>
      </c>
      <c r="AW100" s="177">
        <f t="shared" si="177"/>
        <v>0.21856628087562474</v>
      </c>
      <c r="AX100" s="177">
        <f t="shared" si="150"/>
        <v>5.6155555555555567</v>
      </c>
      <c r="AY100" s="177">
        <f t="shared" si="151"/>
        <v>1.673094482349279</v>
      </c>
      <c r="AZ100" s="177">
        <f t="shared" si="178"/>
        <v>3.3563887842547082</v>
      </c>
      <c r="BA100" s="469">
        <f t="shared" si="152"/>
        <v>100.52933910789432</v>
      </c>
      <c r="BB100" s="469">
        <f t="shared" si="153"/>
        <v>8.4718028611111116</v>
      </c>
      <c r="BC100" s="5">
        <f t="shared" si="154"/>
        <v>0.40915015055564175</v>
      </c>
      <c r="BD100" s="469">
        <f t="shared" si="155"/>
        <v>49.757740288899235</v>
      </c>
      <c r="BE100" s="5"/>
      <c r="BF100" s="177">
        <f t="shared" si="179"/>
        <v>0.57790875461507152</v>
      </c>
      <c r="BG100" s="177">
        <f t="shared" si="156"/>
        <v>2.1854645267142501</v>
      </c>
      <c r="BH100" s="177"/>
      <c r="BI100" s="538">
        <f t="shared" si="157"/>
        <v>3.6737638152681724E-2</v>
      </c>
      <c r="BJ100" s="538">
        <f t="shared" si="158"/>
        <v>0.12979090233482812</v>
      </c>
      <c r="BK100" s="538">
        <f t="shared" si="159"/>
        <v>1.7499999999999998E-2</v>
      </c>
      <c r="BL100" s="538">
        <f t="shared" si="160"/>
        <v>9.4494456000000004E-2</v>
      </c>
      <c r="BM100">
        <f t="shared" si="161"/>
        <v>6.96E-3</v>
      </c>
      <c r="BN100">
        <f t="shared" si="162"/>
        <v>6.6500000000000004E-5</v>
      </c>
      <c r="BO100" s="538">
        <f t="shared" si="163"/>
        <v>0.29249161335762663</v>
      </c>
      <c r="BP100" s="469">
        <f t="shared" si="180"/>
        <v>292.49161335762665</v>
      </c>
      <c r="BQ100" s="538">
        <f t="shared" si="164"/>
        <v>0.72780589709101251</v>
      </c>
      <c r="BR100" s="538"/>
      <c r="BT100" s="469">
        <f t="shared" si="181"/>
        <v>727.80589709101253</v>
      </c>
      <c r="BU100" s="538">
        <f t="shared" si="165"/>
        <v>3.3397852866074294E-2</v>
      </c>
      <c r="BV100" s="538">
        <f t="shared" si="166"/>
        <v>0.14328765592579024</v>
      </c>
      <c r="BW100" s="538">
        <f t="shared" si="167"/>
        <v>0</v>
      </c>
      <c r="BX100" s="538">
        <f t="shared" si="168"/>
        <v>0.20072498554271667</v>
      </c>
      <c r="BY100" s="538">
        <f t="shared" si="169"/>
        <v>8.0222222222222236E-2</v>
      </c>
      <c r="BZ100" s="469">
        <f t="shared" si="182"/>
        <v>280.94720776493892</v>
      </c>
      <c r="CA100" s="177">
        <f t="shared" si="183"/>
        <v>1.301244718213578</v>
      </c>
      <c r="CB100" s="5">
        <f t="shared" si="184"/>
        <v>4.75</v>
      </c>
      <c r="CC100" s="177">
        <f t="shared" si="185"/>
        <v>0.78496246990359275</v>
      </c>
      <c r="CD100" s="5">
        <f t="shared" si="186"/>
        <v>78.496246990359282</v>
      </c>
      <c r="CG100" s="571">
        <f t="shared" si="170"/>
        <v>-50</v>
      </c>
      <c r="CH100">
        <f t="shared" si="171"/>
        <v>-50</v>
      </c>
    </row>
    <row r="101" spans="5:86" x14ac:dyDescent="0.2">
      <c r="E101" s="174">
        <v>96</v>
      </c>
      <c r="F101" s="221">
        <f t="shared" si="172"/>
        <v>0.96</v>
      </c>
      <c r="G101" s="221"/>
      <c r="H101" s="221">
        <f t="shared" ref="H101:H105" si="187">F101*Vout</f>
        <v>4.8</v>
      </c>
      <c r="I101" s="551">
        <f t="shared" si="121"/>
        <v>24</v>
      </c>
      <c r="J101" s="176">
        <f t="shared" si="122"/>
        <v>10.64</v>
      </c>
      <c r="K101" s="451">
        <f t="shared" si="123"/>
        <v>34.64</v>
      </c>
      <c r="L101" s="451"/>
      <c r="M101" s="221">
        <f t="shared" si="124"/>
        <v>0.30715935334872979</v>
      </c>
      <c r="N101" s="176">
        <f t="shared" ref="N101:N105" si="188">M101*I101*Isw_max*0.5*Efficiency</f>
        <v>13.601016166281754</v>
      </c>
      <c r="O101" s="176">
        <f t="shared" si="173"/>
        <v>4.8</v>
      </c>
      <c r="P101" s="221">
        <f t="shared" ref="P101:P105" si="189">N101/Vout</f>
        <v>2.7202032332563508</v>
      </c>
      <c r="Q101" s="221">
        <f t="shared" si="127"/>
        <v>5</v>
      </c>
      <c r="R101" s="221">
        <f t="shared" ref="R101:R105" si="190">Isw_max/2*I101*Nps*(Q101+Vfwd1)/Q101/(I101+Nps*(Q101+Vfwd1))</f>
        <v>3.0224480369515008</v>
      </c>
      <c r="S101" s="176">
        <f t="shared" si="129"/>
        <v>34.236123575294343</v>
      </c>
      <c r="T101" s="542">
        <f t="shared" ref="T101:T105" si="191">MIN(Vout, S101)</f>
        <v>5</v>
      </c>
      <c r="U101" s="221">
        <f t="shared" si="131"/>
        <v>1.4469507101086048</v>
      </c>
      <c r="V101" s="221">
        <f t="shared" ref="V101:V105" si="192">L*U101/I101*1000000</f>
        <v>0.42202729044834303</v>
      </c>
      <c r="W101" s="221">
        <f t="shared" si="133"/>
        <v>0.95194125665039786</v>
      </c>
      <c r="X101" s="201">
        <f t="shared" si="134"/>
        <v>350</v>
      </c>
      <c r="Y101" s="451">
        <f t="shared" si="174"/>
        <v>350</v>
      </c>
      <c r="AA101" s="221">
        <f t="shared" si="135"/>
        <v>3.0089079511712309</v>
      </c>
      <c r="AB101" s="177">
        <f t="shared" ref="AB101:AB105" si="193">L*AA101/J101*1000000</f>
        <v>1.9795447047179149</v>
      </c>
      <c r="AC101" s="177">
        <f t="shared" ref="AC101:AC105" si="194">0.5*AB101*AA101*Nps*X101/1000</f>
        <v>2.0846937306036244</v>
      </c>
      <c r="AD101" s="177"/>
      <c r="AE101" s="177">
        <f t="shared" si="138"/>
        <v>0.53947368421052622</v>
      </c>
      <c r="AF101" s="555">
        <f t="shared" ref="AF101:AF105" si="195">MAX(12, F101/(0.5*AE101/1000000*Isw_min*Nps)/1000)</f>
        <v>2170.136823319453</v>
      </c>
      <c r="AG101" s="538">
        <f t="shared" si="140"/>
        <v>0.15482894736842101</v>
      </c>
      <c r="AI101" s="177">
        <f t="shared" si="141"/>
        <v>2.1522966692305578</v>
      </c>
      <c r="AJ101" s="177">
        <f t="shared" ref="AJ101:AJ105" si="196">MAX(IF(F101&gt;AC101,U101,AI101),Isw_min)</f>
        <v>2.1522966692305578</v>
      </c>
      <c r="AK101" s="177">
        <f t="shared" ref="AK101:AK105" si="197">IF(F101&gt;AG101, (AJ101-Isw_min)/1.2*0.8+1.2, AF101*0.2/350+1)</f>
        <v>2.0881977794870386</v>
      </c>
      <c r="AM101" s="555">
        <f t="shared" si="144"/>
        <v>960</v>
      </c>
      <c r="AN101" s="469">
        <f t="shared" si="145"/>
        <v>350</v>
      </c>
      <c r="AP101">
        <f t="shared" si="146"/>
        <v>960</v>
      </c>
      <c r="AQ101">
        <f t="shared" si="147"/>
        <v>350</v>
      </c>
      <c r="AS101" s="5">
        <f t="shared" si="175"/>
        <v>2.8571428571428572</v>
      </c>
      <c r="AT101" s="5">
        <f t="shared" si="148"/>
        <v>0.62775319519224593</v>
      </c>
      <c r="AU101" s="5">
        <f t="shared" si="176"/>
        <v>2.2293896619506111</v>
      </c>
      <c r="AV101" s="5">
        <f t="shared" si="149"/>
        <v>1.4159846508095775</v>
      </c>
      <c r="AW101" s="177">
        <f t="shared" si="177"/>
        <v>0.21971361831728606</v>
      </c>
      <c r="AX101" s="177">
        <f t="shared" si="150"/>
        <v>5.674666666666667</v>
      </c>
      <c r="AY101" s="177">
        <f t="shared" si="151"/>
        <v>1.6794077803416689</v>
      </c>
      <c r="AZ101" s="177">
        <f t="shared" si="178"/>
        <v>3.3789689038550117</v>
      </c>
      <c r="BA101" s="469">
        <f t="shared" si="152"/>
        <v>100.52933910789432</v>
      </c>
      <c r="BB101" s="469">
        <f t="shared" si="153"/>
        <v>8.6207795199999993</v>
      </c>
      <c r="BC101" s="5">
        <f t="shared" si="154"/>
        <v>0.4128499373982612</v>
      </c>
      <c r="BD101" s="469">
        <f t="shared" si="155"/>
        <v>50.208659154458026</v>
      </c>
      <c r="BE101" s="5"/>
      <c r="BF101" s="177">
        <f t="shared" si="179"/>
        <v>0.58246521511923632</v>
      </c>
      <c r="BG101" s="177">
        <f t="shared" si="156"/>
        <v>2.1953234452381598</v>
      </c>
      <c r="BH101" s="177"/>
      <c r="BI101" s="538">
        <f t="shared" si="157"/>
        <v>3.7319229950628807E-2</v>
      </c>
      <c r="BJ101" s="538">
        <f t="shared" si="158"/>
        <v>0.13047222408875642</v>
      </c>
      <c r="BK101" s="538">
        <f t="shared" si="159"/>
        <v>1.7499999999999998E-2</v>
      </c>
      <c r="BL101" s="538">
        <f t="shared" si="160"/>
        <v>9.4494456000000004E-2</v>
      </c>
      <c r="BM101">
        <f t="shared" si="161"/>
        <v>6.96E-3</v>
      </c>
      <c r="BN101">
        <f t="shared" si="162"/>
        <v>6.6500000000000004E-5</v>
      </c>
      <c r="BO101" s="538">
        <f t="shared" ref="BO101:BO105" si="198">(BJ101+BK101+BL101+BM101+BN101+BI101*(1+RdsonTC*(Ta-25)))/(1-BI101*RdsonTC*ThetaJA)</f>
        <v>0.29387394513502624</v>
      </c>
      <c r="BP101" s="469">
        <f t="shared" si="180"/>
        <v>293.87394513502625</v>
      </c>
      <c r="BQ101" s="538">
        <f t="shared" si="164"/>
        <v>0.73492560023182318</v>
      </c>
      <c r="BR101" s="538"/>
      <c r="BT101" s="469">
        <f t="shared" si="181"/>
        <v>734.92560023182318</v>
      </c>
      <c r="BU101" s="538">
        <f t="shared" si="165"/>
        <v>3.3926572682389827E-2</v>
      </c>
      <c r="BV101" s="538">
        <f t="shared" si="166"/>
        <v>0.14458335087637031</v>
      </c>
      <c r="BW101" s="538">
        <f t="shared" si="167"/>
        <v>0</v>
      </c>
      <c r="BX101" s="538">
        <f t="shared" ref="BX101:BX105" si="199">(BW101+(BU101+BV101)*(1+Ltc*(Ta-25)))/(1-(BU101+BV101)*Ltc*ThetaCa)</f>
        <v>0.20282765431114622</v>
      </c>
      <c r="BY101" s="538">
        <f t="shared" si="169"/>
        <v>8.1066666666666676E-2</v>
      </c>
      <c r="BZ101" s="469">
        <f t="shared" si="182"/>
        <v>283.89432097781287</v>
      </c>
      <c r="CA101" s="177">
        <f t="shared" si="183"/>
        <v>1.3126938663446623</v>
      </c>
      <c r="CB101" s="5">
        <f t="shared" si="184"/>
        <v>4.8</v>
      </c>
      <c r="CC101" s="177">
        <f t="shared" si="185"/>
        <v>0.78525116829879105</v>
      </c>
      <c r="CD101" s="5">
        <f t="shared" si="186"/>
        <v>78.52511682987911</v>
      </c>
      <c r="CG101" s="571">
        <f t="shared" si="170"/>
        <v>-50</v>
      </c>
      <c r="CH101">
        <f t="shared" si="171"/>
        <v>-50</v>
      </c>
    </row>
    <row r="102" spans="5:86" x14ac:dyDescent="0.2">
      <c r="E102" s="174">
        <v>97</v>
      </c>
      <c r="F102" s="221">
        <f t="shared" ref="F102:F105" si="200">IF(PLOT_TYPE=1, E102/100*Iout_max, min_I*EXP(N102*rr/100))</f>
        <v>0.97</v>
      </c>
      <c r="G102" s="221"/>
      <c r="H102" s="221">
        <f t="shared" si="187"/>
        <v>4.8499999999999996</v>
      </c>
      <c r="I102" s="551">
        <f t="shared" si="121"/>
        <v>24</v>
      </c>
      <c r="J102" s="176">
        <f t="shared" si="122"/>
        <v>10.64</v>
      </c>
      <c r="K102" s="451">
        <f t="shared" si="123"/>
        <v>34.64</v>
      </c>
      <c r="L102" s="451"/>
      <c r="M102" s="221">
        <f t="shared" si="124"/>
        <v>0.30715935334872979</v>
      </c>
      <c r="N102" s="176">
        <f t="shared" si="188"/>
        <v>13.601016166281754</v>
      </c>
      <c r="O102" s="176">
        <f t="shared" si="173"/>
        <v>4.8499999999999996</v>
      </c>
      <c r="P102" s="221">
        <f t="shared" si="189"/>
        <v>2.7202032332563508</v>
      </c>
      <c r="Q102" s="221">
        <f t="shared" si="127"/>
        <v>5</v>
      </c>
      <c r="R102" s="221">
        <f t="shared" si="190"/>
        <v>3.0224480369515008</v>
      </c>
      <c r="S102" s="176">
        <f t="shared" si="129"/>
        <v>33.76215347300986</v>
      </c>
      <c r="T102" s="542">
        <f t="shared" si="191"/>
        <v>5</v>
      </c>
      <c r="U102" s="221">
        <f t="shared" si="131"/>
        <v>1.4620231133389028</v>
      </c>
      <c r="V102" s="221">
        <f t="shared" si="192"/>
        <v>0.42642340805718004</v>
      </c>
      <c r="W102" s="221">
        <f t="shared" si="133"/>
        <v>0.9618573114071729</v>
      </c>
      <c r="X102" s="201">
        <f t="shared" si="134"/>
        <v>350</v>
      </c>
      <c r="Y102" s="451">
        <f t="shared" si="174"/>
        <v>350</v>
      </c>
      <c r="AA102" s="221">
        <f t="shared" si="135"/>
        <v>3.0089079511712309</v>
      </c>
      <c r="AB102" s="177">
        <f t="shared" si="193"/>
        <v>1.9795447047179149</v>
      </c>
      <c r="AC102" s="177">
        <f t="shared" si="194"/>
        <v>2.0846937306036244</v>
      </c>
      <c r="AD102" s="177"/>
      <c r="AE102" s="177">
        <f t="shared" si="138"/>
        <v>0.53947368421052622</v>
      </c>
      <c r="AF102" s="555">
        <f t="shared" si="195"/>
        <v>2192.7424152290309</v>
      </c>
      <c r="AG102" s="538">
        <f t="shared" si="140"/>
        <v>0.15482894736842101</v>
      </c>
      <c r="AI102" s="177">
        <f t="shared" si="141"/>
        <v>2.1634775063852456</v>
      </c>
      <c r="AJ102" s="177">
        <f t="shared" si="196"/>
        <v>2.1634775063852456</v>
      </c>
      <c r="AK102" s="177">
        <f t="shared" si="197"/>
        <v>2.0956516709234974</v>
      </c>
      <c r="AM102" s="555">
        <f t="shared" si="144"/>
        <v>970</v>
      </c>
      <c r="AN102" s="469">
        <f t="shared" si="145"/>
        <v>350</v>
      </c>
      <c r="AP102">
        <f t="shared" si="146"/>
        <v>970</v>
      </c>
      <c r="AQ102">
        <f t="shared" si="147"/>
        <v>350</v>
      </c>
      <c r="AS102" s="5">
        <f t="shared" si="175"/>
        <v>2.8571428571428572</v>
      </c>
      <c r="AT102" s="5">
        <f t="shared" si="148"/>
        <v>0.63101427269569665</v>
      </c>
      <c r="AU102" s="5">
        <f t="shared" si="176"/>
        <v>2.2261285844471606</v>
      </c>
      <c r="AV102" s="5">
        <f t="shared" si="149"/>
        <v>1.423340464727135</v>
      </c>
      <c r="AW102" s="177">
        <f t="shared" si="177"/>
        <v>0.22085499544349382</v>
      </c>
      <c r="AX102" s="177">
        <f t="shared" si="150"/>
        <v>5.7337777777777781</v>
      </c>
      <c r="AY102" s="177">
        <f t="shared" si="151"/>
        <v>1.6856626915704307</v>
      </c>
      <c r="AZ102" s="177">
        <f t="shared" si="178"/>
        <v>3.4014977055913609</v>
      </c>
      <c r="BA102" s="469">
        <f t="shared" si="152"/>
        <v>100.52933910789432</v>
      </c>
      <c r="BB102" s="469">
        <f t="shared" si="153"/>
        <v>8.7710020077777777</v>
      </c>
      <c r="BC102" s="5">
        <f t="shared" si="154"/>
        <v>0.41654026367934899</v>
      </c>
      <c r="BD102" s="469">
        <f t="shared" si="155"/>
        <v>50.658442752632993</v>
      </c>
      <c r="BE102" s="5"/>
      <c r="BF102" s="177">
        <f t="shared" si="179"/>
        <v>0.58700982503687948</v>
      </c>
      <c r="BG102" s="177">
        <f t="shared" si="156"/>
        <v>2.2051132447308115</v>
      </c>
      <c r="BH102" s="177"/>
      <c r="BI102" s="538">
        <f t="shared" si="157"/>
        <v>3.7903858815881063E-2</v>
      </c>
      <c r="BJ102" s="538">
        <f t="shared" si="158"/>
        <v>0.13115000643707359</v>
      </c>
      <c r="BK102" s="538">
        <f t="shared" si="159"/>
        <v>1.7499999999999998E-2</v>
      </c>
      <c r="BL102" s="538">
        <f t="shared" si="160"/>
        <v>9.4494456000000004E-2</v>
      </c>
      <c r="BM102">
        <f t="shared" si="161"/>
        <v>6.96E-3</v>
      </c>
      <c r="BN102">
        <f t="shared" si="162"/>
        <v>6.6500000000000004E-5</v>
      </c>
      <c r="BO102" s="538">
        <f t="shared" si="198"/>
        <v>0.29525664928447592</v>
      </c>
      <c r="BP102" s="469">
        <f t="shared" si="180"/>
        <v>295.25664928447594</v>
      </c>
      <c r="BQ102" s="538">
        <f t="shared" si="164"/>
        <v>0.74203686584746575</v>
      </c>
      <c r="BR102" s="538"/>
      <c r="BT102" s="469">
        <f t="shared" si="181"/>
        <v>742.03686584746572</v>
      </c>
      <c r="BU102" s="538">
        <f t="shared" si="165"/>
        <v>3.4458053468982786E-2</v>
      </c>
      <c r="BV102" s="538">
        <f t="shared" si="166"/>
        <v>0.14587573266261741</v>
      </c>
      <c r="BW102" s="538">
        <f t="shared" si="167"/>
        <v>0</v>
      </c>
      <c r="BX102" s="538">
        <f t="shared" si="199"/>
        <v>0.20493030915077454</v>
      </c>
      <c r="BY102" s="538">
        <f t="shared" si="169"/>
        <v>8.1911111111111115E-2</v>
      </c>
      <c r="BZ102" s="469">
        <f t="shared" si="182"/>
        <v>286.84142026188562</v>
      </c>
      <c r="CA102" s="177">
        <f t="shared" si="183"/>
        <v>1.3241349353938272</v>
      </c>
      <c r="CB102" s="5">
        <f t="shared" si="184"/>
        <v>4.8499999999999996</v>
      </c>
      <c r="CC102" s="177">
        <f t="shared" si="185"/>
        <v>0.78553514796006552</v>
      </c>
      <c r="CD102" s="5">
        <f t="shared" si="186"/>
        <v>78.553514796006553</v>
      </c>
      <c r="CG102" s="571">
        <f t="shared" si="170"/>
        <v>-50</v>
      </c>
      <c r="CH102">
        <f t="shared" si="171"/>
        <v>-50</v>
      </c>
    </row>
    <row r="103" spans="5:86" x14ac:dyDescent="0.2">
      <c r="E103" s="174">
        <v>98</v>
      </c>
      <c r="F103" s="221">
        <f t="shared" si="200"/>
        <v>0.98</v>
      </c>
      <c r="G103" s="221"/>
      <c r="H103" s="221">
        <f t="shared" si="187"/>
        <v>4.9000000000000004</v>
      </c>
      <c r="I103" s="551">
        <f t="shared" si="121"/>
        <v>24</v>
      </c>
      <c r="J103" s="176">
        <f t="shared" si="122"/>
        <v>10.64</v>
      </c>
      <c r="K103" s="451">
        <f t="shared" si="123"/>
        <v>34.64</v>
      </c>
      <c r="L103" s="451"/>
      <c r="M103" s="221">
        <f t="shared" si="124"/>
        <v>0.30715935334872979</v>
      </c>
      <c r="N103" s="176">
        <f t="shared" si="188"/>
        <v>13.601016166281754</v>
      </c>
      <c r="O103" s="176">
        <f t="shared" si="173"/>
        <v>4.9000000000000004</v>
      </c>
      <c r="P103" s="221">
        <f t="shared" si="189"/>
        <v>2.7202032332563508</v>
      </c>
      <c r="Q103" s="221">
        <f t="shared" si="127"/>
        <v>5</v>
      </c>
      <c r="R103" s="221">
        <f t="shared" si="190"/>
        <v>3.0224480369515008</v>
      </c>
      <c r="S103" s="176">
        <f t="shared" si="129"/>
        <v>33.297898337387004</v>
      </c>
      <c r="T103" s="542">
        <f t="shared" si="191"/>
        <v>5</v>
      </c>
      <c r="U103" s="221">
        <f t="shared" si="131"/>
        <v>1.4770955165692008</v>
      </c>
      <c r="V103" s="221">
        <f t="shared" si="192"/>
        <v>0.43081952566601689</v>
      </c>
      <c r="W103" s="221">
        <f t="shared" si="133"/>
        <v>0.97177336616394783</v>
      </c>
      <c r="X103" s="201">
        <f t="shared" si="134"/>
        <v>350</v>
      </c>
      <c r="Y103" s="451">
        <f t="shared" si="174"/>
        <v>350</v>
      </c>
      <c r="AA103" s="221">
        <f t="shared" si="135"/>
        <v>3.0089079511712309</v>
      </c>
      <c r="AB103" s="177">
        <f t="shared" si="193"/>
        <v>1.9795447047179149</v>
      </c>
      <c r="AC103" s="177">
        <f t="shared" si="194"/>
        <v>2.0846937306036244</v>
      </c>
      <c r="AD103" s="177"/>
      <c r="AE103" s="177">
        <f t="shared" si="138"/>
        <v>0.53947368421052622</v>
      </c>
      <c r="AF103" s="555">
        <f t="shared" si="195"/>
        <v>2215.3480071386084</v>
      </c>
      <c r="AG103" s="538">
        <f t="shared" si="140"/>
        <v>0.15482894736842101</v>
      </c>
      <c r="AI103" s="177">
        <f t="shared" si="141"/>
        <v>2.1746008573733455</v>
      </c>
      <c r="AJ103" s="177">
        <f t="shared" si="196"/>
        <v>2.1746008573733455</v>
      </c>
      <c r="AK103" s="177">
        <f t="shared" si="197"/>
        <v>2.1030672382488973</v>
      </c>
      <c r="AM103" s="555">
        <f t="shared" si="144"/>
        <v>980</v>
      </c>
      <c r="AN103" s="469">
        <f t="shared" si="145"/>
        <v>350</v>
      </c>
      <c r="AP103">
        <f t="shared" si="146"/>
        <v>980</v>
      </c>
      <c r="AQ103">
        <f t="shared" si="147"/>
        <v>350</v>
      </c>
      <c r="AS103" s="5">
        <f t="shared" si="175"/>
        <v>2.8571428571428572</v>
      </c>
      <c r="AT103" s="5">
        <f t="shared" si="148"/>
        <v>0.63425858340055907</v>
      </c>
      <c r="AU103" s="5">
        <f t="shared" si="176"/>
        <v>2.2228842737422982</v>
      </c>
      <c r="AV103" s="5">
        <f t="shared" si="149"/>
        <v>1.4306584587982534</v>
      </c>
      <c r="AW103" s="177">
        <f t="shared" si="177"/>
        <v>0.22199050419019567</v>
      </c>
      <c r="AX103" s="177">
        <f t="shared" si="150"/>
        <v>5.7928888888888883</v>
      </c>
      <c r="AY103" s="177">
        <f t="shared" si="151"/>
        <v>1.6918601166326046</v>
      </c>
      <c r="AZ103" s="177">
        <f t="shared" si="178"/>
        <v>3.4239762684510646</v>
      </c>
      <c r="BA103" s="469">
        <f t="shared" si="152"/>
        <v>100.52933910789432</v>
      </c>
      <c r="BB103" s="469">
        <f t="shared" si="153"/>
        <v>8.9224703244444434</v>
      </c>
      <c r="BC103" s="5">
        <f t="shared" si="154"/>
        <v>0.42022117829233258</v>
      </c>
      <c r="BD103" s="469">
        <f t="shared" si="155"/>
        <v>51.107096950635473</v>
      </c>
      <c r="BE103" s="5"/>
      <c r="BF103" s="177">
        <f t="shared" si="179"/>
        <v>0.59154273689054193</v>
      </c>
      <c r="BG103" s="177">
        <f t="shared" si="156"/>
        <v>2.2148349705820913</v>
      </c>
      <c r="BH103" s="177"/>
      <c r="BI103" s="538">
        <f t="shared" si="157"/>
        <v>3.8491509052474823E-2</v>
      </c>
      <c r="BJ103" s="538">
        <f t="shared" si="158"/>
        <v>0.13182430397397221</v>
      </c>
      <c r="BK103" s="538">
        <f t="shared" si="159"/>
        <v>1.7499999999999998E-2</v>
      </c>
      <c r="BL103" s="538">
        <f t="shared" si="160"/>
        <v>9.4494456000000004E-2</v>
      </c>
      <c r="BM103">
        <f t="shared" si="161"/>
        <v>6.96E-3</v>
      </c>
      <c r="BN103">
        <f t="shared" si="162"/>
        <v>6.6500000000000004E-5</v>
      </c>
      <c r="BO103" s="538">
        <f t="shared" si="198"/>
        <v>0.29663976444546003</v>
      </c>
      <c r="BP103" s="469">
        <f t="shared" si="180"/>
        <v>296.63976444546</v>
      </c>
      <c r="BQ103" s="538">
        <f t="shared" si="164"/>
        <v>0.74913973754418173</v>
      </c>
      <c r="BR103" s="538"/>
      <c r="BT103" s="469">
        <f t="shared" si="181"/>
        <v>749.13973754418168</v>
      </c>
      <c r="BU103" s="538">
        <f t="shared" si="165"/>
        <v>3.4992280956795289E-2</v>
      </c>
      <c r="BV103" s="538">
        <f t="shared" si="166"/>
        <v>0.1471648184074012</v>
      </c>
      <c r="BW103" s="538">
        <f t="shared" si="167"/>
        <v>0</v>
      </c>
      <c r="BX103" s="538">
        <f t="shared" si="199"/>
        <v>0.20703295306413746</v>
      </c>
      <c r="BY103" s="538">
        <f t="shared" si="169"/>
        <v>8.2755555555555568E-2</v>
      </c>
      <c r="BZ103" s="469">
        <f t="shared" si="182"/>
        <v>289.788508619693</v>
      </c>
      <c r="CA103" s="177">
        <f t="shared" si="183"/>
        <v>1.3355680106093348</v>
      </c>
      <c r="CB103" s="5">
        <f t="shared" si="184"/>
        <v>4.9000000000000004</v>
      </c>
      <c r="CC103" s="177">
        <f t="shared" si="185"/>
        <v>0.78581453873376572</v>
      </c>
      <c r="CD103" s="5">
        <f t="shared" si="186"/>
        <v>78.581453873376574</v>
      </c>
      <c r="CG103" s="571">
        <f t="shared" si="170"/>
        <v>-50</v>
      </c>
      <c r="CH103">
        <f t="shared" si="171"/>
        <v>-50</v>
      </c>
    </row>
    <row r="104" spans="5:86" x14ac:dyDescent="0.2">
      <c r="E104" s="174">
        <v>99</v>
      </c>
      <c r="F104" s="221">
        <f t="shared" si="200"/>
        <v>0.99</v>
      </c>
      <c r="G104" s="221"/>
      <c r="H104" s="221">
        <f t="shared" si="187"/>
        <v>4.95</v>
      </c>
      <c r="I104" s="551">
        <f t="shared" si="121"/>
        <v>24</v>
      </c>
      <c r="J104" s="176">
        <f t="shared" si="122"/>
        <v>10.64</v>
      </c>
      <c r="K104" s="451">
        <f t="shared" si="123"/>
        <v>34.64</v>
      </c>
      <c r="L104" s="451"/>
      <c r="M104" s="221">
        <f t="shared" si="124"/>
        <v>0.30715935334872979</v>
      </c>
      <c r="N104" s="176">
        <f t="shared" si="188"/>
        <v>13.601016166281754</v>
      </c>
      <c r="O104" s="176">
        <f t="shared" si="173"/>
        <v>4.95</v>
      </c>
      <c r="P104" s="221">
        <f t="shared" si="189"/>
        <v>2.7202032332563508</v>
      </c>
      <c r="Q104" s="221">
        <f t="shared" si="127"/>
        <v>5</v>
      </c>
      <c r="R104" s="221">
        <f t="shared" si="190"/>
        <v>3.0224480369515008</v>
      </c>
      <c r="S104" s="176">
        <f t="shared" si="129"/>
        <v>32.843064198681837</v>
      </c>
      <c r="T104" s="542">
        <f t="shared" si="191"/>
        <v>5</v>
      </c>
      <c r="U104" s="221">
        <f t="shared" si="131"/>
        <v>1.4921679197994988</v>
      </c>
      <c r="V104" s="221">
        <f t="shared" si="192"/>
        <v>0.43521564327485385</v>
      </c>
      <c r="W104" s="221">
        <f t="shared" si="133"/>
        <v>0.98168942092072287</v>
      </c>
      <c r="X104" s="201">
        <f t="shared" si="134"/>
        <v>350</v>
      </c>
      <c r="Y104" s="451">
        <f t="shared" si="174"/>
        <v>350</v>
      </c>
      <c r="AA104" s="221">
        <f t="shared" si="135"/>
        <v>3.0089079511712309</v>
      </c>
      <c r="AB104" s="177">
        <f t="shared" si="193"/>
        <v>1.9795447047179149</v>
      </c>
      <c r="AC104" s="177">
        <f t="shared" si="194"/>
        <v>2.0846937306036244</v>
      </c>
      <c r="AD104" s="177"/>
      <c r="AE104" s="177">
        <f t="shared" si="138"/>
        <v>0.53947368421052622</v>
      </c>
      <c r="AF104" s="555">
        <f t="shared" si="195"/>
        <v>2237.9535990481859</v>
      </c>
      <c r="AG104" s="538">
        <f t="shared" si="140"/>
        <v>0.15482894736842101</v>
      </c>
      <c r="AI104" s="177">
        <f t="shared" si="141"/>
        <v>2.1856675998748889</v>
      </c>
      <c r="AJ104" s="177">
        <f t="shared" si="196"/>
        <v>2.1856675998748889</v>
      </c>
      <c r="AK104" s="177">
        <f t="shared" si="197"/>
        <v>2.1104450665832593</v>
      </c>
      <c r="AM104" s="555">
        <f t="shared" si="144"/>
        <v>990</v>
      </c>
      <c r="AN104" s="469">
        <f t="shared" si="145"/>
        <v>350</v>
      </c>
      <c r="AP104">
        <f t="shared" si="146"/>
        <v>990</v>
      </c>
      <c r="AQ104">
        <f t="shared" si="147"/>
        <v>350</v>
      </c>
      <c r="AS104" s="5">
        <f t="shared" si="175"/>
        <v>2.8571428571428572</v>
      </c>
      <c r="AT104" s="5">
        <f t="shared" si="148"/>
        <v>0.63748638329684271</v>
      </c>
      <c r="AU104" s="5">
        <f t="shared" si="176"/>
        <v>2.2196564738460145</v>
      </c>
      <c r="AV104" s="5">
        <f t="shared" si="149"/>
        <v>1.4379392104440059</v>
      </c>
      <c r="AW104" s="177">
        <f t="shared" si="177"/>
        <v>0.22312023415389495</v>
      </c>
      <c r="AX104" s="177">
        <f t="shared" si="150"/>
        <v>5.8520000000000012</v>
      </c>
      <c r="AY104" s="177">
        <f t="shared" si="151"/>
        <v>1.6980009332082222</v>
      </c>
      <c r="AZ104" s="177">
        <f t="shared" si="178"/>
        <v>3.4464056441613176</v>
      </c>
      <c r="BA104" s="469">
        <f t="shared" si="152"/>
        <v>100.52933910789432</v>
      </c>
      <c r="BB104" s="469">
        <f t="shared" si="153"/>
        <v>9.0751844699999999</v>
      </c>
      <c r="BC104" s="5">
        <f t="shared" si="154"/>
        <v>0.42389272938031525</v>
      </c>
      <c r="BD104" s="469">
        <f t="shared" si="155"/>
        <v>51.554627525637841</v>
      </c>
      <c r="BE104" s="5"/>
      <c r="BF104" s="177">
        <f t="shared" si="179"/>
        <v>0.59606409970525853</v>
      </c>
      <c r="BG104" s="177">
        <f t="shared" si="156"/>
        <v>2.2244896416243543</v>
      </c>
      <c r="BH104" s="177"/>
      <c r="BI104" s="538">
        <f t="shared" si="157"/>
        <v>3.9082165205318445E-2</v>
      </c>
      <c r="BJ104" s="538">
        <f t="shared" si="158"/>
        <v>0.13249516990441576</v>
      </c>
      <c r="BK104" s="538">
        <f t="shared" si="159"/>
        <v>1.7499999999999998E-2</v>
      </c>
      <c r="BL104" s="538">
        <f t="shared" si="160"/>
        <v>9.4494456000000004E-2</v>
      </c>
      <c r="BM104">
        <f t="shared" si="161"/>
        <v>6.96E-3</v>
      </c>
      <c r="BN104">
        <f t="shared" si="162"/>
        <v>6.6500000000000004E-5</v>
      </c>
      <c r="BO104" s="538">
        <f t="shared" si="198"/>
        <v>0.29802332814894422</v>
      </c>
      <c r="BP104" s="469">
        <f t="shared" si="180"/>
        <v>298.02332814894424</v>
      </c>
      <c r="BQ104" s="538">
        <f t="shared" si="164"/>
        <v>0.75623425825902524</v>
      </c>
      <c r="BR104" s="538"/>
      <c r="BT104" s="469">
        <f t="shared" si="181"/>
        <v>756.23425825902518</v>
      </c>
      <c r="BU104" s="538">
        <f t="shared" si="165"/>
        <v>3.5529241095744041E-2</v>
      </c>
      <c r="BV104" s="538">
        <f t="shared" si="166"/>
        <v>0.14845062497082143</v>
      </c>
      <c r="BW104" s="538">
        <f t="shared" si="167"/>
        <v>0</v>
      </c>
      <c r="BX104" s="538">
        <f t="shared" si="199"/>
        <v>0.20913558900697374</v>
      </c>
      <c r="BY104" s="538">
        <f t="shared" si="169"/>
        <v>8.3600000000000008E-2</v>
      </c>
      <c r="BZ104" s="469">
        <f t="shared" si="182"/>
        <v>292.73558900697373</v>
      </c>
      <c r="CA104" s="177">
        <f t="shared" si="183"/>
        <v>1.3469931754149433</v>
      </c>
      <c r="CB104" s="5">
        <f t="shared" si="184"/>
        <v>4.95</v>
      </c>
      <c r="CC104" s="177">
        <f t="shared" si="185"/>
        <v>0.78608946557637283</v>
      </c>
      <c r="CD104" s="5">
        <f t="shared" si="186"/>
        <v>78.608946557637282</v>
      </c>
      <c r="CG104" s="571">
        <f t="shared" si="170"/>
        <v>-50</v>
      </c>
      <c r="CH104">
        <f t="shared" si="171"/>
        <v>-50</v>
      </c>
    </row>
    <row r="105" spans="5:86" x14ac:dyDescent="0.2">
      <c r="E105" s="174">
        <v>100</v>
      </c>
      <c r="F105" s="221">
        <f t="shared" si="200"/>
        <v>1</v>
      </c>
      <c r="G105" s="221"/>
      <c r="H105" s="221">
        <f t="shared" si="187"/>
        <v>5</v>
      </c>
      <c r="I105" s="551">
        <f t="shared" si="121"/>
        <v>24</v>
      </c>
      <c r="J105" s="176">
        <f t="shared" si="122"/>
        <v>10.64</v>
      </c>
      <c r="K105" s="451">
        <f t="shared" si="123"/>
        <v>34.64</v>
      </c>
      <c r="L105" s="451"/>
      <c r="M105" s="221">
        <f t="shared" si="124"/>
        <v>0.30715935334872979</v>
      </c>
      <c r="N105" s="176">
        <f t="shared" si="188"/>
        <v>13.601016166281754</v>
      </c>
      <c r="O105" s="176">
        <f t="shared" si="173"/>
        <v>5</v>
      </c>
      <c r="P105" s="221">
        <f t="shared" si="189"/>
        <v>2.7202032332563508</v>
      </c>
      <c r="Q105" s="221">
        <f t="shared" si="127"/>
        <v>5</v>
      </c>
      <c r="R105" s="221">
        <f t="shared" si="190"/>
        <v>3.0224480369515008</v>
      </c>
      <c r="S105" s="176">
        <f t="shared" si="129"/>
        <v>32.397368851311093</v>
      </c>
      <c r="T105" s="542">
        <f t="shared" si="191"/>
        <v>5</v>
      </c>
      <c r="U105" s="221">
        <f t="shared" si="131"/>
        <v>1.5072403230297966</v>
      </c>
      <c r="V105" s="221">
        <f t="shared" si="192"/>
        <v>0.43961176088369064</v>
      </c>
      <c r="W105" s="221">
        <f t="shared" si="133"/>
        <v>0.99160547567749768</v>
      </c>
      <c r="X105" s="201">
        <f t="shared" si="134"/>
        <v>350</v>
      </c>
      <c r="Y105" s="451">
        <f t="shared" si="174"/>
        <v>350</v>
      </c>
      <c r="AA105" s="221">
        <f t="shared" si="135"/>
        <v>3.0089079511712309</v>
      </c>
      <c r="AB105" s="177">
        <f t="shared" si="193"/>
        <v>1.9795447047179149</v>
      </c>
      <c r="AC105" s="177">
        <f t="shared" si="194"/>
        <v>2.0846937306036244</v>
      </c>
      <c r="AD105" s="177"/>
      <c r="AE105" s="177">
        <f t="shared" si="138"/>
        <v>0.53947368421052622</v>
      </c>
      <c r="AF105" s="555">
        <f t="shared" si="195"/>
        <v>2260.5591909577638</v>
      </c>
      <c r="AG105" s="538">
        <f t="shared" si="140"/>
        <v>0.15482894736842101</v>
      </c>
      <c r="AI105" s="177">
        <f t="shared" si="141"/>
        <v>2.1966785894611043</v>
      </c>
      <c r="AJ105" s="177">
        <f t="shared" si="196"/>
        <v>2.1966785894611043</v>
      </c>
      <c r="AK105" s="177">
        <f t="shared" si="197"/>
        <v>2.1177857263074031</v>
      </c>
      <c r="AM105" s="555">
        <f t="shared" si="144"/>
        <v>1000</v>
      </c>
      <c r="AN105" s="469">
        <f t="shared" si="145"/>
        <v>350</v>
      </c>
      <c r="AP105">
        <f t="shared" si="146"/>
        <v>1000</v>
      </c>
      <c r="AQ105" s="3">
        <f t="shared" si="147"/>
        <v>350</v>
      </c>
      <c r="AS105" s="5">
        <f t="shared" si="175"/>
        <v>2.8571428571428572</v>
      </c>
      <c r="AT105" s="5">
        <f t="shared" si="148"/>
        <v>0.64069792192615549</v>
      </c>
      <c r="AU105" s="5">
        <f t="shared" si="176"/>
        <v>2.2164449352167015</v>
      </c>
      <c r="AV105" s="5">
        <f t="shared" si="149"/>
        <v>1.4451832825402002</v>
      </c>
      <c r="AW105" s="177">
        <f t="shared" si="177"/>
        <v>0.22424427267415442</v>
      </c>
      <c r="AX105" s="177">
        <f t="shared" si="150"/>
        <v>5.9111111111111132</v>
      </c>
      <c r="AY105" s="177">
        <f t="shared" si="151"/>
        <v>1.7040859968685114</v>
      </c>
      <c r="AZ105" s="177">
        <f t="shared" si="178"/>
        <v>3.4687868581594943</v>
      </c>
      <c r="BA105" s="469">
        <f t="shared" si="152"/>
        <v>100.52933910789432</v>
      </c>
      <c r="BB105" s="469">
        <f t="shared" si="153"/>
        <v>9.2291444444444437</v>
      </c>
      <c r="BC105" s="5">
        <f t="shared" si="154"/>
        <v>0.42755496435507351</v>
      </c>
      <c r="BD105" s="469">
        <f t="shared" si="155"/>
        <v>52.001040167053276</v>
      </c>
      <c r="BE105" s="5"/>
      <c r="BF105" s="177">
        <f t="shared" si="179"/>
        <v>0.60057405912323725</v>
      </c>
      <c r="BG105" s="177">
        <f t="shared" si="156"/>
        <v>2.234078251068075</v>
      </c>
      <c r="BH105" s="177"/>
      <c r="BI105" s="538">
        <f t="shared" si="157"/>
        <v>3.9675812054093783E-2</v>
      </c>
      <c r="BJ105" s="538">
        <f t="shared" si="158"/>
        <v>0.13316265609313213</v>
      </c>
      <c r="BK105" s="538">
        <f t="shared" si="159"/>
        <v>1.7499999999999998E-2</v>
      </c>
      <c r="BL105" s="538">
        <f t="shared" si="160"/>
        <v>9.4494456000000004E-2</v>
      </c>
      <c r="BM105">
        <f t="shared" si="161"/>
        <v>6.96E-3</v>
      </c>
      <c r="BN105">
        <f t="shared" si="162"/>
        <v>6.6500000000000004E-5</v>
      </c>
      <c r="BO105" s="538">
        <f t="shared" si="198"/>
        <v>0.2994073768593204</v>
      </c>
      <c r="BP105" s="469">
        <f t="shared" si="180"/>
        <v>299.40737685932038</v>
      </c>
      <c r="BQ105" s="538">
        <f t="shared" si="164"/>
        <v>0.76332047027680772</v>
      </c>
      <c r="BR105" s="538"/>
      <c r="BT105" s="469">
        <f t="shared" si="181"/>
        <v>763.32047027680767</v>
      </c>
      <c r="BU105" s="538">
        <f t="shared" si="165"/>
        <v>3.6068920049176167E-2</v>
      </c>
      <c r="BV105" s="538">
        <f t="shared" si="166"/>
        <v>0.14973316895686165</v>
      </c>
      <c r="BW105" s="538">
        <f t="shared" si="167"/>
        <v>0</v>
      </c>
      <c r="BX105" s="538">
        <f t="shared" si="199"/>
        <v>0.21123821988943223</v>
      </c>
      <c r="BY105" s="538">
        <f t="shared" si="169"/>
        <v>8.4444444444444475E-2</v>
      </c>
      <c r="BZ105" s="469">
        <f t="shared" si="182"/>
        <v>295.68266433387669</v>
      </c>
      <c r="CA105" s="177">
        <f t="shared" si="183"/>
        <v>1.3584105114700049</v>
      </c>
      <c r="CB105" s="5">
        <f t="shared" si="184"/>
        <v>5</v>
      </c>
      <c r="CC105" s="177">
        <f t="shared" si="185"/>
        <v>0.78636004878584764</v>
      </c>
      <c r="CD105" s="5">
        <f t="shared" si="186"/>
        <v>78.636004878584771</v>
      </c>
      <c r="CG105" s="571">
        <f t="shared" si="170"/>
        <v>-50</v>
      </c>
      <c r="CH105">
        <f t="shared" si="171"/>
        <v>-50</v>
      </c>
    </row>
    <row r="106" spans="5:86" x14ac:dyDescent="0.2">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x14ac:dyDescent="0.2">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2.7488910820451844</v>
      </c>
    </row>
    <row r="109" spans="5:86" ht="45" customHeight="1" thickBot="1" x14ac:dyDescent="0.25">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
      <c r="E110" s="174">
        <v>0.1</v>
      </c>
      <c r="F110" s="221">
        <v>1.0000000000000001E-9</v>
      </c>
      <c r="G110" s="221"/>
      <c r="H110" s="221">
        <f t="shared" ref="H110:H141" si="201">F110*Vout</f>
        <v>5.0000000000000001E-9</v>
      </c>
      <c r="I110" s="551">
        <f t="shared" ref="I110:I141" si="202">VIN_min</f>
        <v>23</v>
      </c>
      <c r="J110" s="451">
        <f t="shared" ref="J110:J141" si="203">(T110+Vfwd1)*Nps</f>
        <v>10.64</v>
      </c>
      <c r="K110" s="451">
        <f t="shared" ref="K110:K141" si="204">(Vout+Vfwd1)*Nps+I110</f>
        <v>33.64</v>
      </c>
      <c r="L110" s="451"/>
      <c r="M110" s="221">
        <f t="shared" ref="M110:M141" si="205">(Vout+Vfwd1)*Nps/((Vout+Vfwd1)*Nps+I110)</f>
        <v>0.31629013079667062</v>
      </c>
      <c r="N110" s="176">
        <f t="shared" ref="N110:N141" si="206">M110*I110*(Isw_max+VIN_min/Lmag*ILIM_delay)*0.5*Efficiency</f>
        <v>13.744455410225921</v>
      </c>
      <c r="O110" s="176">
        <f t="shared" si="173"/>
        <v>5.0000000000000001E-9</v>
      </c>
      <c r="P110" s="221">
        <f t="shared" ref="P110:P141" si="207">N110/Vout</f>
        <v>2.7488910820451844</v>
      </c>
      <c r="Q110" s="221">
        <f t="shared" ref="Q110:Q141" si="208">MIN(Vout,N110/F110)</f>
        <v>5</v>
      </c>
      <c r="R110" s="221"/>
      <c r="S110" s="176">
        <f t="shared" ref="S110:S141" si="209">(SQRT(Isw_max^2*Nps^2*I110^2+4*Isw_max*F110/Efficiency*(Nps^2*Vfwd1*I110-Nps*I110^2)+4*(F110/Efficiency)^2*Nps^2*Vfwd1^2+8*(F110/Efficiency)^2*Nps*Vfwd1*I110+4*(F110/Efficiency)^2*I110^2)-2*F110/Efficiency*I110-2*F110/Efficiency*Nps*Vfwd1+Isw_max*Nps*I110)/(4*F110/Efficiency*Nps)</f>
        <v>42434999988.5</v>
      </c>
      <c r="T110" s="176">
        <f t="shared" ref="T110:T141" si="210">MIN(Vout, S110)</f>
        <v>5</v>
      </c>
      <c r="U110" s="221">
        <f t="shared" ref="U110:U141" si="211">MIN(2*Vout*F110/(Efficiency*I110*M110), Isw_max)</f>
        <v>1.5273691475064473E-9</v>
      </c>
      <c r="V110" s="221">
        <f t="shared" ref="V110:V141" si="212">L*U110/I110*1000000</f>
        <v>4.6485147967587525E-10</v>
      </c>
      <c r="W110" s="221">
        <f t="shared" ref="W110:W141" si="213">L*U110/J110*1000000</f>
        <v>1.0048481233595047E-9</v>
      </c>
      <c r="X110" s="201">
        <f t="shared" ref="X110:X141" si="214">IF(1/((350000*L)*(1/I110+1/J110))&gt;Isw_min, 350, 0.001/((Isw_min*L)*(1/I110+1/J110)))</f>
        <v>350</v>
      </c>
      <c r="Y110" s="451">
        <f t="shared" ref="Y110:Y169" si="215">MIN(1/(V110+W110)*1000, 350)</f>
        <v>350</v>
      </c>
      <c r="AA110" s="221">
        <f t="shared" ref="AA110:AA141" si="216">1/((X110*1000*L)*(1/I110+1/J110))</f>
        <v>2.9692542891116021</v>
      </c>
      <c r="AB110" s="177">
        <f t="shared" ref="AB110:AB141" si="217">L*AA110/J110*1000000</f>
        <v>1.9534567691523697</v>
      </c>
      <c r="AC110" s="177">
        <f t="shared" ref="AC110:AC141" si="218">0.5*AB110*AA110*Nps*X110/1000</f>
        <v>2.0301084616399181</v>
      </c>
      <c r="AD110" s="177"/>
      <c r="AE110" s="177">
        <f t="shared" ref="AE110:AE141" si="219">L*Isw_min/J110*1000000</f>
        <v>0.53947368421052622</v>
      </c>
      <c r="AF110" s="555">
        <f t="shared" ref="AF110:AF141" si="220">MAX(12000,F110/(0.5*AE110/1000000*Isw_min*Nps))/1000</f>
        <v>12</v>
      </c>
      <c r="AG110" s="538">
        <f t="shared" ref="AG110:AG141" si="221">0.5*AE110/1000000*Isw_min*Nps*X110*1000</f>
        <v>0.15482894736842101</v>
      </c>
      <c r="AI110" s="177">
        <f t="shared" ref="AI110:AI141" si="222">SQRT(F110/(0.5*L/J110*Fsw_DCM*Nps))</f>
        <v>6.590035768383313E-5</v>
      </c>
      <c r="AJ110" s="177">
        <f t="shared" ref="AJ110:AJ141" si="223">MAX(IF(F110&gt;AC110,U110,AI110),Isw_min)</f>
        <v>0.82</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0.24956521739130433</v>
      </c>
      <c r="AU110" s="5">
        <f t="shared" ref="AU110:AU169" si="230">AS110-AT110</f>
        <v>83.083768115942021</v>
      </c>
      <c r="AV110" s="5"/>
      <c r="AW110" s="177">
        <f t="shared" ref="AW110:AW169" si="231">AT110/AS110</f>
        <v>2.9947826086956521E-3</v>
      </c>
      <c r="AX110" s="177">
        <f t="shared" si="150"/>
        <v>2.8240799999999996E-2</v>
      </c>
      <c r="AY110" s="177">
        <f t="shared" si="151"/>
        <v>0.81754427826086951</v>
      </c>
      <c r="AZ110" s="177">
        <f t="shared" si="178"/>
        <v>3.4543450123674727E-2</v>
      </c>
      <c r="BA110" s="469">
        <f t="shared" ref="BA110:BA141" si="232">L*Isw_max^2/(2*Vout_ripple*Vout)*1000000000*((1+M110)/2)^2</f>
        <v>101.93868054563885</v>
      </c>
      <c r="BB110" s="469">
        <f t="shared" ref="BB110:BB141" si="233">L*F110^2/(2*Cout*Vout*Nps^2)*1000000000*((1+M110)/(1-M110))^2+F110*RCoutEsr</f>
        <v>3.000000006486309E-9</v>
      </c>
      <c r="BC110" s="5">
        <f t="shared" ref="BC110:BC116" si="234">H110/Efficiency/I110*AU110/Vinripple1</f>
        <v>1.672378585264533E-8</v>
      </c>
      <c r="BD110" s="469">
        <f t="shared" ref="BD110:BD141" si="235">((CB110/I110/Efficiency)*AU110/Cin+(CB110/I110/Efficiency)*RCinEsr)*1000</f>
        <v>2.0075789399985997E-6</v>
      </c>
      <c r="BF110" s="177">
        <f t="shared" si="179"/>
        <v>2.5908118586567649E-2</v>
      </c>
      <c r="BG110" s="177">
        <f t="shared" si="156"/>
        <v>0.94543556676198226</v>
      </c>
      <c r="BI110" s="538">
        <f t="shared" ref="BI110:BI169" si="236">Rdson*BF110^2</f>
        <v>7.3835366956521729E-5</v>
      </c>
      <c r="BJ110" s="538">
        <f t="shared" ref="BJ110:BJ169" si="237">0.5*K110*AJ110*AN110*1000*Trise</f>
        <v>1.6550879999999999E-3</v>
      </c>
      <c r="BK110" s="538">
        <f t="shared" ref="BK110:BK169" si="238">Qg*Vdd*AN110*1000</f>
        <v>5.9999999999999995E-4</v>
      </c>
      <c r="BL110" s="538">
        <f t="shared" ref="BL110:BL169" si="239">0.5*(Coss+Csw)*K110^2*AN110*1000</f>
        <v>3.0554539200000003E-3</v>
      </c>
      <c r="BM110">
        <f t="shared" ref="BM110:BM169" si="240">I110*IQ</f>
        <v>6.6699999999999997E-3</v>
      </c>
      <c r="BN110">
        <f t="shared" ref="BN110:BN141" si="241">(I110-Vdd)*Qg*AN110</f>
        <v>2.1600000000000001E-6</v>
      </c>
      <c r="BO110" s="538">
        <f t="shared" ref="BO110:BO141" si="242">(BJ110+BK110+BL110+BM110+BN110+BI110*(1+RdsonTC*(Ta-25)))/(1-BI110*RdsonTC*ThetaJA)</f>
        <v>1.2066669441210903E-2</v>
      </c>
      <c r="BP110" s="469">
        <f t="shared" ref="BP110:BP169" si="243">SUM(BI110:BM110)*1000</f>
        <v>12.054377286956523</v>
      </c>
      <c r="BQ110" s="538">
        <f t="shared" ref="BQ110:BQ141" si="244">(Vfwd2*F110+BG110^2*Rdiode)*(1+Diode_TC/1000*(Ta-25))</f>
        <v>6.8290018974649286E-2</v>
      </c>
      <c r="BT110" s="469">
        <f t="shared" ref="BT110:BT169" si="245">SUM(BQ110:BS110)*1000</f>
        <v>68.290018974649286</v>
      </c>
      <c r="BU110" s="538">
        <f t="shared" ref="BU110:BU169" si="246">Rdcr_pri*BF110^2</f>
        <v>6.7123060869565221E-5</v>
      </c>
      <c r="BV110" s="538">
        <f t="shared" ref="BV110:BV169" si="247">Rdcr_sec*BG110^2</f>
        <v>2.6815452326956517E-2</v>
      </c>
      <c r="BW110" s="538">
        <f t="shared" ref="BW110:BW169" si="248">AJ110^2.5*AN110^2.5*k_core</f>
        <v>0</v>
      </c>
      <c r="BX110" s="538"/>
      <c r="BY110" s="538">
        <f t="shared" ref="BY110:BY169" si="249">0.5*Lleak*0.000000001*AJ110^2*AN110*1000</f>
        <v>4.0343999999999997E-4</v>
      </c>
      <c r="BZ110" s="469">
        <f t="shared" ref="BZ110:BZ169" si="250">SUM(BU110:BY110)*1000</f>
        <v>27.286015387826083</v>
      </c>
      <c r="CA110" s="177">
        <f t="shared" ref="CA110:CA169" si="251">SUM(BI110:BM110,BQ110:BS110,BU110:BY110)</f>
        <v>0.10763041164943189</v>
      </c>
      <c r="CB110" s="5">
        <f t="shared" ref="CB110:CB169" si="252">MIN(H110,O110)</f>
        <v>5.0000000000000001E-9</v>
      </c>
      <c r="CC110" s="177">
        <f t="shared" ref="CC110:CC169" si="253">CB110/(CB110+CA110)</f>
        <v>4.6455269389932178E-8</v>
      </c>
      <c r="CD110" s="5">
        <f t="shared" ref="CD110:CD169" si="254">CC110*100</f>
        <v>4.645526938993218E-6</v>
      </c>
      <c r="CG110" s="571">
        <f t="shared" ref="CG110:CG141" si="255">IF(ABS(F110-Ioutmax_Vinmin)&lt;Iout/200, AN110, -50)</f>
        <v>-50</v>
      </c>
      <c r="CH110">
        <f t="shared" ref="CH110:CH141" si="256">IF(ABS(F110-Ioutmax_Vinmin)&lt;Iout/200, N110*CC110, -50)</f>
        <v>-50</v>
      </c>
    </row>
    <row r="111" spans="5:86" x14ac:dyDescent="0.2">
      <c r="E111" s="174">
        <v>1</v>
      </c>
      <c r="F111" s="221">
        <f t="shared" ref="F111:F142" si="257">IF(PLOT_TYPE=1, E111/100*Iout_max, min_I*EXP(N111*rr/100))</f>
        <v>0.01</v>
      </c>
      <c r="G111" s="221"/>
      <c r="H111" s="221">
        <f t="shared" si="201"/>
        <v>0.05</v>
      </c>
      <c r="I111" s="551">
        <f t="shared" si="202"/>
        <v>23</v>
      </c>
      <c r="J111" s="451">
        <f t="shared" si="203"/>
        <v>10.64</v>
      </c>
      <c r="K111" s="451">
        <f t="shared" si="204"/>
        <v>33.64</v>
      </c>
      <c r="L111" s="451"/>
      <c r="M111" s="221">
        <f t="shared" si="205"/>
        <v>0.31629013079667062</v>
      </c>
      <c r="N111" s="176">
        <f t="shared" si="206"/>
        <v>13.744455410225921</v>
      </c>
      <c r="O111" s="176">
        <f t="shared" si="173"/>
        <v>0.05</v>
      </c>
      <c r="P111" s="221">
        <f t="shared" si="207"/>
        <v>2.7488910820451844</v>
      </c>
      <c r="Q111" s="221">
        <f t="shared" si="208"/>
        <v>5</v>
      </c>
      <c r="R111" s="221"/>
      <c r="S111" s="176">
        <f t="shared" si="209"/>
        <v>4232.0008694992921</v>
      </c>
      <c r="T111" s="176">
        <f t="shared" si="210"/>
        <v>5</v>
      </c>
      <c r="U111" s="221">
        <f t="shared" si="211"/>
        <v>1.5273691475064475E-2</v>
      </c>
      <c r="V111" s="221">
        <f t="shared" si="212"/>
        <v>4.648514796758753E-3</v>
      </c>
      <c r="W111" s="221">
        <f t="shared" si="213"/>
        <v>1.0048481233595049E-2</v>
      </c>
      <c r="X111" s="201">
        <f t="shared" si="214"/>
        <v>350</v>
      </c>
      <c r="Y111" s="451">
        <f t="shared" si="215"/>
        <v>350</v>
      </c>
      <c r="AA111" s="221">
        <f t="shared" si="216"/>
        <v>2.9692542891116021</v>
      </c>
      <c r="AB111" s="177">
        <f t="shared" si="217"/>
        <v>1.9534567691523697</v>
      </c>
      <c r="AC111" s="177">
        <f t="shared" si="218"/>
        <v>2.0301084616399181</v>
      </c>
      <c r="AD111" s="177"/>
      <c r="AE111" s="177">
        <f t="shared" si="219"/>
        <v>0.53947368421052622</v>
      </c>
      <c r="AF111" s="555">
        <f t="shared" si="220"/>
        <v>22.605591909577637</v>
      </c>
      <c r="AG111" s="538">
        <f t="shared" si="221"/>
        <v>0.15482894736842101</v>
      </c>
      <c r="AI111" s="177">
        <f t="shared" si="222"/>
        <v>0.20839522890069109</v>
      </c>
      <c r="AJ111" s="177">
        <f t="shared" si="223"/>
        <v>0.82</v>
      </c>
      <c r="AK111" s="177">
        <f t="shared" si="224"/>
        <v>1.0129174810911872</v>
      </c>
      <c r="AM111" s="555">
        <f t="shared" si="225"/>
        <v>10</v>
      </c>
      <c r="AN111" s="469">
        <f t="shared" si="226"/>
        <v>22.605591909577637</v>
      </c>
      <c r="AP111" s="469">
        <f t="shared" si="227"/>
        <v>10</v>
      </c>
      <c r="AQ111" s="469">
        <f t="shared" si="228"/>
        <v>22.605591909577637</v>
      </c>
      <c r="AS111" s="5">
        <f t="shared" si="175"/>
        <v>44.23684210526315</v>
      </c>
      <c r="AT111" s="5">
        <f t="shared" si="229"/>
        <v>0.24956521739130433</v>
      </c>
      <c r="AU111" s="5">
        <f t="shared" si="230"/>
        <v>43.987276887871843</v>
      </c>
      <c r="AV111" s="5"/>
      <c r="AW111" s="177">
        <f t="shared" si="231"/>
        <v>5.6415694591728533E-3</v>
      </c>
      <c r="AX111" s="177">
        <f t="shared" si="150"/>
        <v>5.3200000000000004E-2</v>
      </c>
      <c r="AY111" s="177">
        <f t="shared" si="151"/>
        <v>0.81537391304347828</v>
      </c>
      <c r="AZ111" s="177">
        <f t="shared" si="178"/>
        <v>6.5246139407900347E-2</v>
      </c>
      <c r="BA111" s="469">
        <f t="shared" si="232"/>
        <v>101.93868054563885</v>
      </c>
      <c r="BB111" s="469">
        <f t="shared" si="233"/>
        <v>3.0648630850661624E-2</v>
      </c>
      <c r="BC111" s="5">
        <f t="shared" si="234"/>
        <v>8.8541217568180036E-2</v>
      </c>
      <c r="BD111" s="469">
        <f t="shared" si="235"/>
        <v>10.632192484993199</v>
      </c>
      <c r="BF111" s="177">
        <f t="shared" si="179"/>
        <v>3.5559299319811437E-2</v>
      </c>
      <c r="BG111" s="177">
        <f t="shared" si="156"/>
        <v>0.94417979127964258</v>
      </c>
      <c r="BI111" s="538">
        <f t="shared" si="236"/>
        <v>1.3909101449275364E-4</v>
      </c>
      <c r="BJ111" s="538">
        <f t="shared" si="237"/>
        <v>3.1178536585365858E-3</v>
      </c>
      <c r="BK111" s="538">
        <f t="shared" si="238"/>
        <v>1.1302795954788818E-3</v>
      </c>
      <c r="BL111" s="538">
        <f t="shared" si="239"/>
        <v>5.7558620345032731E-3</v>
      </c>
      <c r="BM111">
        <f t="shared" si="240"/>
        <v>6.6699999999999997E-3</v>
      </c>
      <c r="BN111">
        <f t="shared" si="241"/>
        <v>4.0690065437239744E-6</v>
      </c>
      <c r="BO111" s="538">
        <f t="shared" si="242"/>
        <v>1.6836364656220692E-2</v>
      </c>
      <c r="BP111" s="469">
        <f t="shared" si="243"/>
        <v>16.813086303011492</v>
      </c>
      <c r="BQ111" s="538">
        <f t="shared" si="244"/>
        <v>7.1928726539130433E-2</v>
      </c>
      <c r="BT111" s="469">
        <f t="shared" si="245"/>
        <v>71.928726539130437</v>
      </c>
      <c r="BU111" s="538">
        <f t="shared" si="246"/>
        <v>1.2644637681159422E-4</v>
      </c>
      <c r="BV111" s="538">
        <f t="shared" si="247"/>
        <v>2.6744264347826081E-2</v>
      </c>
      <c r="BW111" s="538">
        <f t="shared" si="248"/>
        <v>0</v>
      </c>
      <c r="BX111" s="538"/>
      <c r="BY111" s="538">
        <f t="shared" si="249"/>
        <v>7.6000000000000015E-4</v>
      </c>
      <c r="BZ111" s="469">
        <f t="shared" si="250"/>
        <v>27.630710724637677</v>
      </c>
      <c r="CA111" s="177">
        <f t="shared" si="251"/>
        <v>0.1163725235667796</v>
      </c>
      <c r="CB111" s="5">
        <f t="shared" si="252"/>
        <v>0.05</v>
      </c>
      <c r="CC111" s="177">
        <f t="shared" si="253"/>
        <v>0.30053039364959022</v>
      </c>
      <c r="CD111" s="5">
        <f t="shared" si="254"/>
        <v>30.053039364959023</v>
      </c>
      <c r="CG111" s="571">
        <f t="shared" si="255"/>
        <v>-50</v>
      </c>
      <c r="CH111">
        <f t="shared" si="256"/>
        <v>-50</v>
      </c>
    </row>
    <row r="112" spans="5:86" x14ac:dyDescent="0.2">
      <c r="E112" s="174">
        <v>2</v>
      </c>
      <c r="F112" s="221">
        <f t="shared" si="257"/>
        <v>0.02</v>
      </c>
      <c r="G112" s="221"/>
      <c r="H112" s="221">
        <f t="shared" si="201"/>
        <v>0.1</v>
      </c>
      <c r="I112" s="551">
        <f t="shared" si="202"/>
        <v>23</v>
      </c>
      <c r="J112" s="451">
        <f t="shared" si="203"/>
        <v>10.64</v>
      </c>
      <c r="K112" s="451">
        <f t="shared" si="204"/>
        <v>33.64</v>
      </c>
      <c r="L112" s="451"/>
      <c r="M112" s="221">
        <f t="shared" si="205"/>
        <v>0.31629013079667062</v>
      </c>
      <c r="N112" s="176">
        <f t="shared" si="206"/>
        <v>13.744455410225921</v>
      </c>
      <c r="O112" s="176">
        <f t="shared" si="173"/>
        <v>0.1</v>
      </c>
      <c r="P112" s="221">
        <f t="shared" si="207"/>
        <v>2.7488910820451844</v>
      </c>
      <c r="Q112" s="221">
        <f t="shared" si="208"/>
        <v>5</v>
      </c>
      <c r="R112" s="221"/>
      <c r="S112" s="176">
        <f t="shared" si="209"/>
        <v>2110.2517436033677</v>
      </c>
      <c r="T112" s="176">
        <f t="shared" si="210"/>
        <v>5</v>
      </c>
      <c r="U112" s="221">
        <f t="shared" si="211"/>
        <v>3.0547382950128949E-2</v>
      </c>
      <c r="V112" s="221">
        <f t="shared" si="212"/>
        <v>9.297029593517506E-3</v>
      </c>
      <c r="W112" s="221">
        <f t="shared" si="213"/>
        <v>2.0096962467190099E-2</v>
      </c>
      <c r="X112" s="201">
        <f t="shared" si="214"/>
        <v>350</v>
      </c>
      <c r="Y112" s="451">
        <f t="shared" si="215"/>
        <v>350</v>
      </c>
      <c r="AA112" s="221">
        <f t="shared" si="216"/>
        <v>2.9692542891116021</v>
      </c>
      <c r="AB112" s="177">
        <f t="shared" si="217"/>
        <v>1.9534567691523697</v>
      </c>
      <c r="AC112" s="177">
        <f t="shared" si="218"/>
        <v>2.0301084616399181</v>
      </c>
      <c r="AD112" s="177"/>
      <c r="AE112" s="177">
        <f t="shared" si="219"/>
        <v>0.53947368421052622</v>
      </c>
      <c r="AF112" s="555">
        <f t="shared" si="220"/>
        <v>45.211183819155274</v>
      </c>
      <c r="AG112" s="538">
        <f t="shared" si="221"/>
        <v>0.15482894736842101</v>
      </c>
      <c r="AI112" s="177">
        <f t="shared" si="222"/>
        <v>0.29471535904520291</v>
      </c>
      <c r="AJ112" s="177">
        <f t="shared" si="223"/>
        <v>0.82</v>
      </c>
      <c r="AK112" s="177">
        <f t="shared" si="224"/>
        <v>1.0258349621823744</v>
      </c>
      <c r="AM112" s="555">
        <f t="shared" si="225"/>
        <v>20</v>
      </c>
      <c r="AN112" s="469">
        <f t="shared" si="226"/>
        <v>45.211183819155274</v>
      </c>
      <c r="AP112" s="469">
        <f t="shared" si="227"/>
        <v>20</v>
      </c>
      <c r="AQ112" s="469">
        <f t="shared" si="228"/>
        <v>45.211183819155274</v>
      </c>
      <c r="AS112" s="5">
        <f t="shared" si="175"/>
        <v>22.118421052631575</v>
      </c>
      <c r="AT112" s="5">
        <f t="shared" si="229"/>
        <v>0.24956521739130433</v>
      </c>
      <c r="AU112" s="5">
        <f t="shared" si="230"/>
        <v>21.868855835240272</v>
      </c>
      <c r="AV112" s="5"/>
      <c r="AW112" s="177">
        <f t="shared" si="231"/>
        <v>1.1283138918345707E-2</v>
      </c>
      <c r="AX112" s="177">
        <f t="shared" si="150"/>
        <v>0.10640000000000001</v>
      </c>
      <c r="AY112" s="177">
        <f t="shared" si="151"/>
        <v>0.81074782608695639</v>
      </c>
      <c r="AZ112" s="177">
        <f t="shared" si="178"/>
        <v>0.13123686129821102</v>
      </c>
      <c r="BA112" s="469">
        <f t="shared" si="232"/>
        <v>101.93868054563885</v>
      </c>
      <c r="BB112" s="469">
        <f t="shared" si="233"/>
        <v>6.2594523402646499E-2</v>
      </c>
      <c r="BC112" s="5">
        <f t="shared" si="234"/>
        <v>8.8038872122545381E-2</v>
      </c>
      <c r="BD112" s="469">
        <f t="shared" si="235"/>
        <v>10.579157408328632</v>
      </c>
      <c r="BF112" s="177">
        <f t="shared" si="179"/>
        <v>5.0288443366561707E-2</v>
      </c>
      <c r="BG112" s="177">
        <f t="shared" si="156"/>
        <v>0.94149754284777909</v>
      </c>
      <c r="BI112" s="538">
        <f t="shared" si="236"/>
        <v>2.7818202898550727E-4</v>
      </c>
      <c r="BJ112" s="538">
        <f t="shared" si="237"/>
        <v>6.2357073170731716E-3</v>
      </c>
      <c r="BK112" s="538">
        <f t="shared" si="238"/>
        <v>2.2605591909577636E-3</v>
      </c>
      <c r="BL112" s="538">
        <f t="shared" si="239"/>
        <v>1.1511724069006546E-2</v>
      </c>
      <c r="BM112">
        <f t="shared" si="240"/>
        <v>6.6699999999999997E-3</v>
      </c>
      <c r="BN112">
        <f t="shared" si="241"/>
        <v>8.1380130874479487E-6</v>
      </c>
      <c r="BO112" s="538">
        <f t="shared" si="242"/>
        <v>2.7003251123663446E-2</v>
      </c>
      <c r="BP112" s="469">
        <f t="shared" si="243"/>
        <v>26.956172606022985</v>
      </c>
      <c r="BQ112" s="538">
        <f t="shared" si="244"/>
        <v>7.5362306411594207E-2</v>
      </c>
      <c r="BT112" s="469">
        <f t="shared" si="245"/>
        <v>75.362306411594204</v>
      </c>
      <c r="BU112" s="538">
        <f t="shared" si="246"/>
        <v>2.5289275362318843E-4</v>
      </c>
      <c r="BV112" s="538">
        <f t="shared" si="247"/>
        <v>2.6592528695652169E-2</v>
      </c>
      <c r="BW112" s="538">
        <f t="shared" si="248"/>
        <v>0</v>
      </c>
      <c r="BX112" s="538"/>
      <c r="BY112" s="538">
        <f t="shared" si="249"/>
        <v>1.5200000000000003E-3</v>
      </c>
      <c r="BZ112" s="469">
        <f t="shared" si="250"/>
        <v>28.36542144927536</v>
      </c>
      <c r="CA112" s="177">
        <f t="shared" si="251"/>
        <v>0.13068390046689254</v>
      </c>
      <c r="CB112" s="5">
        <f t="shared" si="252"/>
        <v>0.1</v>
      </c>
      <c r="CC112" s="177">
        <f t="shared" si="253"/>
        <v>0.43349362394863733</v>
      </c>
      <c r="CD112" s="5">
        <f t="shared" si="254"/>
        <v>43.349362394863732</v>
      </c>
      <c r="CG112" s="571">
        <f t="shared" si="255"/>
        <v>-50</v>
      </c>
      <c r="CH112">
        <f t="shared" si="256"/>
        <v>-50</v>
      </c>
    </row>
    <row r="113" spans="5:86" x14ac:dyDescent="0.2">
      <c r="E113" s="174">
        <v>3</v>
      </c>
      <c r="F113" s="221">
        <f t="shared" si="257"/>
        <v>0.03</v>
      </c>
      <c r="G113" s="221"/>
      <c r="H113" s="221">
        <f t="shared" si="201"/>
        <v>0.15</v>
      </c>
      <c r="I113" s="551">
        <f t="shared" si="202"/>
        <v>23</v>
      </c>
      <c r="J113" s="451">
        <f t="shared" si="203"/>
        <v>10.64</v>
      </c>
      <c r="K113" s="451">
        <f t="shared" si="204"/>
        <v>33.64</v>
      </c>
      <c r="L113" s="451"/>
      <c r="M113" s="221">
        <f t="shared" si="205"/>
        <v>0.31629013079667062</v>
      </c>
      <c r="N113" s="176">
        <f t="shared" si="206"/>
        <v>13.744455410225921</v>
      </c>
      <c r="O113" s="176">
        <f t="shared" si="173"/>
        <v>0.15</v>
      </c>
      <c r="P113" s="221">
        <f t="shared" si="207"/>
        <v>2.7488910820451844</v>
      </c>
      <c r="Q113" s="221">
        <f t="shared" si="208"/>
        <v>5</v>
      </c>
      <c r="R113" s="221"/>
      <c r="S113" s="176">
        <f t="shared" si="209"/>
        <v>1403.0026223478062</v>
      </c>
      <c r="T113" s="176">
        <f t="shared" si="210"/>
        <v>5</v>
      </c>
      <c r="U113" s="221">
        <f t="shared" si="211"/>
        <v>4.5821074425193419E-2</v>
      </c>
      <c r="V113" s="221">
        <f t="shared" si="212"/>
        <v>1.3945544390276256E-2</v>
      </c>
      <c r="W113" s="221">
        <f t="shared" si="213"/>
        <v>3.0145443700785139E-2</v>
      </c>
      <c r="X113" s="201">
        <f t="shared" si="214"/>
        <v>350</v>
      </c>
      <c r="Y113" s="451">
        <f t="shared" si="215"/>
        <v>350</v>
      </c>
      <c r="AA113" s="221">
        <f t="shared" si="216"/>
        <v>2.9692542891116021</v>
      </c>
      <c r="AB113" s="177">
        <f t="shared" si="217"/>
        <v>1.9534567691523697</v>
      </c>
      <c r="AC113" s="177">
        <f t="shared" si="218"/>
        <v>2.0301084616399181</v>
      </c>
      <c r="AD113" s="177"/>
      <c r="AE113" s="177">
        <f t="shared" si="219"/>
        <v>0.53947368421052622</v>
      </c>
      <c r="AF113" s="555">
        <f t="shared" si="220"/>
        <v>67.816775728732907</v>
      </c>
      <c r="AG113" s="538">
        <f t="shared" si="221"/>
        <v>0.15482894736842101</v>
      </c>
      <c r="AI113" s="177">
        <f t="shared" si="222"/>
        <v>0.36095112451094302</v>
      </c>
      <c r="AJ113" s="177">
        <f t="shared" si="223"/>
        <v>0.82</v>
      </c>
      <c r="AK113" s="177">
        <f t="shared" si="224"/>
        <v>1.0387524432735618</v>
      </c>
      <c r="AM113" s="555">
        <f t="shared" si="225"/>
        <v>30</v>
      </c>
      <c r="AN113" s="469">
        <f t="shared" si="226"/>
        <v>67.816775728732907</v>
      </c>
      <c r="AP113" s="469">
        <f t="shared" si="227"/>
        <v>30</v>
      </c>
      <c r="AQ113" s="469">
        <f t="shared" si="228"/>
        <v>67.816775728732907</v>
      </c>
      <c r="AS113" s="5">
        <f t="shared" si="175"/>
        <v>14.745614035087716</v>
      </c>
      <c r="AT113" s="5">
        <f t="shared" si="229"/>
        <v>0.24956521739130433</v>
      </c>
      <c r="AU113" s="5">
        <f t="shared" si="230"/>
        <v>14.496048817696412</v>
      </c>
      <c r="AV113" s="5"/>
      <c r="AW113" s="177">
        <f t="shared" si="231"/>
        <v>1.6924708377518562E-2</v>
      </c>
      <c r="AX113" s="177">
        <f t="shared" si="150"/>
        <v>0.15959999999999999</v>
      </c>
      <c r="AY113" s="177">
        <f t="shared" si="151"/>
        <v>0.80612173913043472</v>
      </c>
      <c r="AZ113" s="177">
        <f t="shared" si="178"/>
        <v>0.19798498446668969</v>
      </c>
      <c r="BA113" s="469">
        <f t="shared" si="232"/>
        <v>101.93868054563885</v>
      </c>
      <c r="BB113" s="469">
        <f t="shared" si="233"/>
        <v>9.583767765595462E-2</v>
      </c>
      <c r="BC113" s="5">
        <f t="shared" si="234"/>
        <v>8.753652667691067E-2</v>
      </c>
      <c r="BD113" s="469">
        <f t="shared" si="235"/>
        <v>10.526122331664064</v>
      </c>
      <c r="BF113" s="177">
        <f t="shared" si="179"/>
        <v>6.1590513103462835E-2</v>
      </c>
      <c r="BG113" s="177">
        <f t="shared" si="156"/>
        <v>0.93880763104905673</v>
      </c>
      <c r="BI113" s="538">
        <f t="shared" si="236"/>
        <v>4.1727304347826099E-4</v>
      </c>
      <c r="BJ113" s="538">
        <f t="shared" si="237"/>
        <v>9.3535609756097565E-3</v>
      </c>
      <c r="BK113" s="538">
        <f t="shared" si="238"/>
        <v>3.3908387864366452E-3</v>
      </c>
      <c r="BL113" s="538">
        <f t="shared" si="239"/>
        <v>1.726758610350982E-2</v>
      </c>
      <c r="BM113">
        <f t="shared" si="240"/>
        <v>6.6699999999999997E-3</v>
      </c>
      <c r="BN113">
        <f t="shared" si="241"/>
        <v>1.2207019631171922E-5</v>
      </c>
      <c r="BO113" s="538">
        <f t="shared" si="242"/>
        <v>3.7170659442503952E-2</v>
      </c>
      <c r="BP113" s="469">
        <f t="shared" si="243"/>
        <v>37.099258909034482</v>
      </c>
      <c r="BQ113" s="538">
        <f t="shared" si="244"/>
        <v>7.8795886284057967E-2</v>
      </c>
      <c r="BT113" s="469">
        <f t="shared" si="245"/>
        <v>78.795886284057971</v>
      </c>
      <c r="BU113" s="538">
        <f t="shared" si="246"/>
        <v>3.7933913043478273E-4</v>
      </c>
      <c r="BV113" s="538">
        <f t="shared" si="247"/>
        <v>2.6440793043478256E-2</v>
      </c>
      <c r="BW113" s="538">
        <f t="shared" si="248"/>
        <v>0</v>
      </c>
      <c r="BX113" s="538"/>
      <c r="BY113" s="538">
        <f t="shared" si="249"/>
        <v>2.2800000000000003E-3</v>
      </c>
      <c r="BZ113" s="469">
        <f t="shared" si="250"/>
        <v>29.100132173913043</v>
      </c>
      <c r="CA113" s="177">
        <f t="shared" si="251"/>
        <v>0.14499527736700549</v>
      </c>
      <c r="CB113" s="5">
        <f t="shared" si="252"/>
        <v>0.15</v>
      </c>
      <c r="CC113" s="177">
        <f t="shared" si="253"/>
        <v>0.5084827165330652</v>
      </c>
      <c r="CD113" s="5">
        <f t="shared" si="254"/>
        <v>50.848271653306519</v>
      </c>
      <c r="CG113" s="571">
        <f t="shared" si="255"/>
        <v>-50</v>
      </c>
      <c r="CH113">
        <f t="shared" si="256"/>
        <v>-50</v>
      </c>
    </row>
    <row r="114" spans="5:86" x14ac:dyDescent="0.2">
      <c r="E114" s="174">
        <v>4</v>
      </c>
      <c r="F114" s="221">
        <f t="shared" si="257"/>
        <v>0.04</v>
      </c>
      <c r="G114" s="221"/>
      <c r="H114" s="221">
        <f t="shared" si="201"/>
        <v>0.2</v>
      </c>
      <c r="I114" s="551">
        <f t="shared" si="202"/>
        <v>23</v>
      </c>
      <c r="J114" s="451">
        <f t="shared" si="203"/>
        <v>10.64</v>
      </c>
      <c r="K114" s="451">
        <f t="shared" si="204"/>
        <v>33.64</v>
      </c>
      <c r="L114" s="451"/>
      <c r="M114" s="221">
        <f t="shared" si="205"/>
        <v>0.31629013079667062</v>
      </c>
      <c r="N114" s="176">
        <f t="shared" si="206"/>
        <v>13.744455410225921</v>
      </c>
      <c r="O114" s="176">
        <f t="shared" si="173"/>
        <v>0.2</v>
      </c>
      <c r="P114" s="221">
        <f t="shared" si="207"/>
        <v>2.7488910820451844</v>
      </c>
      <c r="Q114" s="221">
        <f t="shared" si="208"/>
        <v>5</v>
      </c>
      <c r="R114" s="221"/>
      <c r="S114" s="176">
        <f t="shared" si="209"/>
        <v>1049.378505768542</v>
      </c>
      <c r="T114" s="176">
        <f t="shared" si="210"/>
        <v>5</v>
      </c>
      <c r="U114" s="221">
        <f t="shared" si="211"/>
        <v>6.1094765900257898E-2</v>
      </c>
      <c r="V114" s="221">
        <f t="shared" si="212"/>
        <v>1.8594059187035012E-2</v>
      </c>
      <c r="W114" s="221">
        <f t="shared" si="213"/>
        <v>4.0193924934380197E-2</v>
      </c>
      <c r="X114" s="201">
        <f t="shared" si="214"/>
        <v>350</v>
      </c>
      <c r="Y114" s="451">
        <f t="shared" si="215"/>
        <v>350</v>
      </c>
      <c r="AA114" s="221">
        <f t="shared" si="216"/>
        <v>2.9692542891116021</v>
      </c>
      <c r="AB114" s="177">
        <f t="shared" si="217"/>
        <v>1.9534567691523697</v>
      </c>
      <c r="AC114" s="177">
        <f t="shared" si="218"/>
        <v>2.0301084616399181</v>
      </c>
      <c r="AD114" s="177"/>
      <c r="AE114" s="177">
        <f t="shared" si="219"/>
        <v>0.53947368421052622</v>
      </c>
      <c r="AF114" s="555">
        <f t="shared" si="220"/>
        <v>90.422367638310547</v>
      </c>
      <c r="AG114" s="538">
        <f t="shared" si="221"/>
        <v>0.15482894736842101</v>
      </c>
      <c r="AI114" s="177">
        <f t="shared" si="222"/>
        <v>0.41679045780138219</v>
      </c>
      <c r="AJ114" s="177">
        <f t="shared" si="223"/>
        <v>0.82</v>
      </c>
      <c r="AK114" s="177">
        <f t="shared" si="224"/>
        <v>1.0516699243647489</v>
      </c>
      <c r="AM114" s="555">
        <f t="shared" si="225"/>
        <v>40</v>
      </c>
      <c r="AN114" s="469">
        <f t="shared" si="226"/>
        <v>90.422367638310547</v>
      </c>
      <c r="AP114" s="469">
        <f t="shared" si="227"/>
        <v>40</v>
      </c>
      <c r="AQ114" s="469">
        <f t="shared" si="228"/>
        <v>90.422367638310547</v>
      </c>
      <c r="AS114" s="5">
        <f t="shared" si="175"/>
        <v>11.059210526315788</v>
      </c>
      <c r="AT114" s="5">
        <f t="shared" si="229"/>
        <v>0.24956521739130433</v>
      </c>
      <c r="AU114" s="5">
        <f t="shared" si="230"/>
        <v>10.809645308924484</v>
      </c>
      <c r="AV114" s="5"/>
      <c r="AW114" s="177">
        <f t="shared" si="231"/>
        <v>2.2566277836691413E-2</v>
      </c>
      <c r="AX114" s="177">
        <f t="shared" si="150"/>
        <v>0.21280000000000002</v>
      </c>
      <c r="AY114" s="177">
        <f t="shared" si="151"/>
        <v>0.80149565217391305</v>
      </c>
      <c r="AZ114" s="177">
        <f t="shared" si="178"/>
        <v>0.26550362366011371</v>
      </c>
      <c r="BA114" s="469">
        <f t="shared" si="232"/>
        <v>101.93868054563885</v>
      </c>
      <c r="BB114" s="469">
        <f t="shared" si="233"/>
        <v>0.130378093610586</v>
      </c>
      <c r="BC114" s="5">
        <f t="shared" si="234"/>
        <v>8.7034181231276042E-2</v>
      </c>
      <c r="BD114" s="469">
        <f t="shared" si="235"/>
        <v>10.473087254999502</v>
      </c>
      <c r="BF114" s="177">
        <f t="shared" si="179"/>
        <v>7.1118598639622874E-2</v>
      </c>
      <c r="BG114" s="177">
        <f t="shared" si="156"/>
        <v>0.93610998982143023</v>
      </c>
      <c r="BI114" s="538">
        <f t="shared" si="236"/>
        <v>5.5636405797101455E-4</v>
      </c>
      <c r="BJ114" s="538">
        <f t="shared" si="237"/>
        <v>1.2471414634146343E-2</v>
      </c>
      <c r="BK114" s="538">
        <f t="shared" si="238"/>
        <v>4.5211183819155272E-3</v>
      </c>
      <c r="BL114" s="538">
        <f t="shared" si="239"/>
        <v>2.3023448138013092E-2</v>
      </c>
      <c r="BM114">
        <f t="shared" si="240"/>
        <v>6.6699999999999997E-3</v>
      </c>
      <c r="BN114">
        <f t="shared" si="241"/>
        <v>1.6276026174895897E-5</v>
      </c>
      <c r="BO114" s="538">
        <f t="shared" si="242"/>
        <v>4.7338589652922064E-2</v>
      </c>
      <c r="BP114" s="469">
        <f t="shared" si="243"/>
        <v>47.242345212045976</v>
      </c>
      <c r="BQ114" s="538">
        <f t="shared" si="244"/>
        <v>8.2229466156521755E-2</v>
      </c>
      <c r="BT114" s="469">
        <f t="shared" si="245"/>
        <v>82.229466156521752</v>
      </c>
      <c r="BU114" s="538">
        <f t="shared" si="246"/>
        <v>5.0578550724637687E-4</v>
      </c>
      <c r="BV114" s="538">
        <f t="shared" si="247"/>
        <v>2.6289057391304348E-2</v>
      </c>
      <c r="BW114" s="538">
        <f t="shared" si="248"/>
        <v>0</v>
      </c>
      <c r="BX114" s="538"/>
      <c r="BY114" s="538">
        <f t="shared" si="249"/>
        <v>3.0400000000000006E-3</v>
      </c>
      <c r="BZ114" s="469">
        <f t="shared" si="250"/>
        <v>29.834842898550725</v>
      </c>
      <c r="CA114" s="177">
        <f t="shared" si="251"/>
        <v>0.15930665426711843</v>
      </c>
      <c r="CB114" s="5">
        <f t="shared" si="252"/>
        <v>0.2</v>
      </c>
      <c r="CC114" s="177">
        <f t="shared" si="253"/>
        <v>0.5566275982501413</v>
      </c>
      <c r="CD114" s="5">
        <f t="shared" si="254"/>
        <v>55.662759825014128</v>
      </c>
      <c r="CG114" s="571">
        <f t="shared" si="255"/>
        <v>-50</v>
      </c>
      <c r="CH114">
        <f t="shared" si="256"/>
        <v>-50</v>
      </c>
    </row>
    <row r="115" spans="5:86" x14ac:dyDescent="0.2">
      <c r="E115" s="174">
        <v>5</v>
      </c>
      <c r="F115" s="221">
        <f t="shared" si="257"/>
        <v>0.05</v>
      </c>
      <c r="G115" s="221"/>
      <c r="H115" s="221">
        <f t="shared" si="201"/>
        <v>0.25</v>
      </c>
      <c r="I115" s="551">
        <f t="shared" si="202"/>
        <v>23</v>
      </c>
      <c r="J115" s="451">
        <f t="shared" si="203"/>
        <v>10.64</v>
      </c>
      <c r="K115" s="451">
        <f t="shared" si="204"/>
        <v>33.64</v>
      </c>
      <c r="L115" s="451"/>
      <c r="M115" s="221">
        <f t="shared" si="205"/>
        <v>0.31629013079667062</v>
      </c>
      <c r="N115" s="176">
        <f t="shared" si="206"/>
        <v>13.744455410225921</v>
      </c>
      <c r="O115" s="176">
        <f t="shared" si="173"/>
        <v>0.25</v>
      </c>
      <c r="P115" s="221">
        <f t="shared" si="207"/>
        <v>2.7488910820451844</v>
      </c>
      <c r="Q115" s="221">
        <f t="shared" si="208"/>
        <v>5</v>
      </c>
      <c r="R115" s="221"/>
      <c r="S115" s="176">
        <f t="shared" si="209"/>
        <v>837.20439390186925</v>
      </c>
      <c r="T115" s="176">
        <f t="shared" si="210"/>
        <v>5</v>
      </c>
      <c r="U115" s="221">
        <f t="shared" si="211"/>
        <v>7.6368457375322371E-2</v>
      </c>
      <c r="V115" s="221">
        <f t="shared" si="212"/>
        <v>2.3242573983793764E-2</v>
      </c>
      <c r="W115" s="221">
        <f t="shared" si="213"/>
        <v>5.0242406167975241E-2</v>
      </c>
      <c r="X115" s="201">
        <f t="shared" si="214"/>
        <v>350</v>
      </c>
      <c r="Y115" s="451">
        <f t="shared" si="215"/>
        <v>350</v>
      </c>
      <c r="AA115" s="221">
        <f t="shared" si="216"/>
        <v>2.9692542891116021</v>
      </c>
      <c r="AB115" s="177">
        <f t="shared" si="217"/>
        <v>1.9534567691523697</v>
      </c>
      <c r="AC115" s="177">
        <f t="shared" si="218"/>
        <v>2.0301084616399181</v>
      </c>
      <c r="AD115" s="177"/>
      <c r="AE115" s="177">
        <f t="shared" si="219"/>
        <v>0.53947368421052622</v>
      </c>
      <c r="AF115" s="555">
        <f t="shared" si="220"/>
        <v>113.02795954788819</v>
      </c>
      <c r="AG115" s="538">
        <f t="shared" si="221"/>
        <v>0.15482894736842101</v>
      </c>
      <c r="AI115" s="177">
        <f t="shared" si="222"/>
        <v>0.46598589800857404</v>
      </c>
      <c r="AJ115" s="177">
        <f t="shared" si="223"/>
        <v>0.82</v>
      </c>
      <c r="AK115" s="177">
        <f t="shared" si="224"/>
        <v>1.0645874054559361</v>
      </c>
      <c r="AM115" s="555">
        <f t="shared" si="225"/>
        <v>50</v>
      </c>
      <c r="AN115" s="469">
        <f t="shared" si="226"/>
        <v>113.02795954788819</v>
      </c>
      <c r="AP115" s="469">
        <f t="shared" si="227"/>
        <v>50</v>
      </c>
      <c r="AQ115" s="469">
        <f t="shared" si="228"/>
        <v>113.02795954788819</v>
      </c>
      <c r="AS115" s="5">
        <f t="shared" si="175"/>
        <v>8.8473684210526304</v>
      </c>
      <c r="AT115" s="5">
        <f t="shared" si="229"/>
        <v>0.24956521739130433</v>
      </c>
      <c r="AU115" s="5">
        <f t="shared" si="230"/>
        <v>8.5978032036613268</v>
      </c>
      <c r="AV115" s="5"/>
      <c r="AW115" s="177">
        <f t="shared" si="231"/>
        <v>2.8207847295864265E-2</v>
      </c>
      <c r="AX115" s="177">
        <f t="shared" si="150"/>
        <v>0.26600000000000001</v>
      </c>
      <c r="AY115" s="177">
        <f t="shared" si="151"/>
        <v>0.79686956521739127</v>
      </c>
      <c r="AZ115" s="177">
        <f t="shared" si="178"/>
        <v>0.33380619816673945</v>
      </c>
      <c r="BA115" s="469">
        <f t="shared" si="232"/>
        <v>101.93868054563885</v>
      </c>
      <c r="BB115" s="469">
        <f t="shared" si="233"/>
        <v>0.16621577126654066</v>
      </c>
      <c r="BC115" s="5">
        <f t="shared" si="234"/>
        <v>8.6531835785641359E-2</v>
      </c>
      <c r="BD115" s="469">
        <f t="shared" si="235"/>
        <v>10.420052178334934</v>
      </c>
      <c r="BF115" s="177">
        <f t="shared" si="179"/>
        <v>7.9513010511360394E-2</v>
      </c>
      <c r="BG115" s="177">
        <f t="shared" si="156"/>
        <v>0.9334045521482176</v>
      </c>
      <c r="BI115" s="538">
        <f t="shared" si="236"/>
        <v>6.9545507246376794E-4</v>
      </c>
      <c r="BJ115" s="538">
        <f t="shared" si="237"/>
        <v>1.558926829268293E-2</v>
      </c>
      <c r="BK115" s="538">
        <f t="shared" si="238"/>
        <v>5.6513979773944092E-3</v>
      </c>
      <c r="BL115" s="538">
        <f t="shared" si="239"/>
        <v>2.8779310172516368E-2</v>
      </c>
      <c r="BM115">
        <f t="shared" si="240"/>
        <v>6.6699999999999997E-3</v>
      </c>
      <c r="BN115">
        <f t="shared" si="241"/>
        <v>2.0345032718619873E-5</v>
      </c>
      <c r="BO115" s="538">
        <f t="shared" si="242"/>
        <v>5.7507041795101715E-2</v>
      </c>
      <c r="BP115" s="469">
        <f t="shared" si="243"/>
        <v>57.385431515057476</v>
      </c>
      <c r="BQ115" s="538">
        <f t="shared" si="244"/>
        <v>8.5663046028985529E-2</v>
      </c>
      <c r="BT115" s="469">
        <f t="shared" si="245"/>
        <v>85.663046028985534</v>
      </c>
      <c r="BU115" s="538">
        <f t="shared" si="246"/>
        <v>6.3223188405797095E-4</v>
      </c>
      <c r="BV115" s="538">
        <f t="shared" si="247"/>
        <v>2.6137321739130439E-2</v>
      </c>
      <c r="BW115" s="538">
        <f t="shared" si="248"/>
        <v>0</v>
      </c>
      <c r="BX115" s="538"/>
      <c r="BY115" s="538">
        <f t="shared" si="249"/>
        <v>3.8000000000000009E-3</v>
      </c>
      <c r="BZ115" s="469">
        <f t="shared" si="250"/>
        <v>30.569553623188408</v>
      </c>
      <c r="CA115" s="177">
        <f t="shared" si="251"/>
        <v>0.17361803116723143</v>
      </c>
      <c r="CB115" s="5">
        <f t="shared" si="252"/>
        <v>0.25</v>
      </c>
      <c r="CC115" s="177">
        <f t="shared" si="253"/>
        <v>0.59015429374229744</v>
      </c>
      <c r="CD115" s="5">
        <f t="shared" si="254"/>
        <v>59.015429374229747</v>
      </c>
      <c r="CG115" s="571">
        <f t="shared" si="255"/>
        <v>-50</v>
      </c>
      <c r="CH115">
        <f t="shared" si="256"/>
        <v>-50</v>
      </c>
    </row>
    <row r="116" spans="5:86" x14ac:dyDescent="0.2">
      <c r="E116" s="174">
        <v>6</v>
      </c>
      <c r="F116" s="221">
        <f t="shared" si="257"/>
        <v>0.06</v>
      </c>
      <c r="G116" s="221"/>
      <c r="H116" s="221">
        <f t="shared" si="201"/>
        <v>0.3</v>
      </c>
      <c r="I116" s="551">
        <f t="shared" si="202"/>
        <v>23</v>
      </c>
      <c r="J116" s="451">
        <f t="shared" si="203"/>
        <v>10.64</v>
      </c>
      <c r="K116" s="451">
        <f t="shared" si="204"/>
        <v>33.64</v>
      </c>
      <c r="L116" s="451"/>
      <c r="M116" s="221">
        <f t="shared" si="205"/>
        <v>0.31629013079667062</v>
      </c>
      <c r="N116" s="176">
        <f t="shared" si="206"/>
        <v>13.744455410225921</v>
      </c>
      <c r="O116" s="176">
        <f t="shared" si="173"/>
        <v>0.3</v>
      </c>
      <c r="P116" s="221">
        <f t="shared" si="207"/>
        <v>2.7488910820451844</v>
      </c>
      <c r="Q116" s="221">
        <f t="shared" si="208"/>
        <v>5</v>
      </c>
      <c r="R116" s="221"/>
      <c r="S116" s="176">
        <f t="shared" si="209"/>
        <v>695.75528678444687</v>
      </c>
      <c r="T116" s="176">
        <f t="shared" si="210"/>
        <v>5</v>
      </c>
      <c r="U116" s="221">
        <f t="shared" si="211"/>
        <v>9.1642148850386837E-2</v>
      </c>
      <c r="V116" s="221">
        <f t="shared" si="212"/>
        <v>2.7891088780552513E-2</v>
      </c>
      <c r="W116" s="221">
        <f t="shared" si="213"/>
        <v>6.0290887401570278E-2</v>
      </c>
      <c r="X116" s="201">
        <f t="shared" si="214"/>
        <v>350</v>
      </c>
      <c r="Y116" s="451">
        <f t="shared" si="215"/>
        <v>350</v>
      </c>
      <c r="AA116" s="221">
        <f t="shared" si="216"/>
        <v>2.9692542891116021</v>
      </c>
      <c r="AB116" s="177">
        <f t="shared" si="217"/>
        <v>1.9534567691523697</v>
      </c>
      <c r="AC116" s="177">
        <f t="shared" si="218"/>
        <v>2.0301084616399181</v>
      </c>
      <c r="AD116" s="177"/>
      <c r="AE116" s="177">
        <f t="shared" si="219"/>
        <v>0.53947368421052622</v>
      </c>
      <c r="AF116" s="555">
        <f t="shared" si="220"/>
        <v>135.63355145746581</v>
      </c>
      <c r="AG116" s="538">
        <f t="shared" si="221"/>
        <v>0.15482894736842101</v>
      </c>
      <c r="AI116" s="177">
        <f t="shared" si="222"/>
        <v>0.51046197563719531</v>
      </c>
      <c r="AJ116" s="177">
        <f t="shared" si="223"/>
        <v>0.82</v>
      </c>
      <c r="AK116" s="177">
        <f t="shared" si="224"/>
        <v>1.0775048865471233</v>
      </c>
      <c r="AM116" s="555">
        <f t="shared" si="225"/>
        <v>60</v>
      </c>
      <c r="AN116" s="469">
        <f t="shared" si="226"/>
        <v>135.63355145746581</v>
      </c>
      <c r="AP116" s="469">
        <f t="shared" si="227"/>
        <v>60</v>
      </c>
      <c r="AQ116" s="469">
        <f t="shared" si="228"/>
        <v>135.63355145746581</v>
      </c>
      <c r="AS116" s="5">
        <f t="shared" si="175"/>
        <v>7.3728070175438578</v>
      </c>
      <c r="AT116" s="5">
        <f t="shared" si="229"/>
        <v>0.24956521739130433</v>
      </c>
      <c r="AU116" s="5">
        <f t="shared" si="230"/>
        <v>7.1232418001525533</v>
      </c>
      <c r="AV116" s="5"/>
      <c r="AW116" s="177">
        <f t="shared" si="231"/>
        <v>3.3849416755037123E-2</v>
      </c>
      <c r="AX116" s="177">
        <f t="shared" si="150"/>
        <v>0.31919999999999998</v>
      </c>
      <c r="AY116" s="177">
        <f t="shared" si="151"/>
        <v>0.79224347826086949</v>
      </c>
      <c r="AZ116" s="177">
        <f t="shared" si="178"/>
        <v>0.40290644070773152</v>
      </c>
      <c r="BA116" s="469">
        <f t="shared" si="232"/>
        <v>101.93868054563885</v>
      </c>
      <c r="BB116" s="469">
        <f t="shared" si="233"/>
        <v>0.20335071062381851</v>
      </c>
      <c r="BC116" s="5">
        <f t="shared" si="234"/>
        <v>8.6029490340006662E-2</v>
      </c>
      <c r="BD116" s="469">
        <f t="shared" si="235"/>
        <v>10.367017101670365</v>
      </c>
      <c r="BF116" s="177">
        <f t="shared" si="179"/>
        <v>8.7102138944434956E-2</v>
      </c>
      <c r="BG116" s="177">
        <f t="shared" si="156"/>
        <v>0.93069125003867448</v>
      </c>
      <c r="BI116" s="538">
        <f t="shared" si="236"/>
        <v>8.3454608695652176E-4</v>
      </c>
      <c r="BJ116" s="538">
        <f t="shared" si="237"/>
        <v>1.8707121951219513E-2</v>
      </c>
      <c r="BK116" s="538">
        <f t="shared" si="238"/>
        <v>6.7816775728732903E-3</v>
      </c>
      <c r="BL116" s="538">
        <f t="shared" si="239"/>
        <v>3.453517220701964E-2</v>
      </c>
      <c r="BM116">
        <f t="shared" si="240"/>
        <v>6.6699999999999997E-3</v>
      </c>
      <c r="BN116">
        <f t="shared" si="241"/>
        <v>2.4414039262343844E-5</v>
      </c>
      <c r="BO116" s="538">
        <f t="shared" si="242"/>
        <v>6.7676015909231016E-2</v>
      </c>
      <c r="BP116" s="469">
        <f t="shared" si="243"/>
        <v>67.528517818068963</v>
      </c>
      <c r="BQ116" s="538">
        <f t="shared" si="244"/>
        <v>8.9096625901449275E-2</v>
      </c>
      <c r="BT116" s="469">
        <f t="shared" si="245"/>
        <v>89.096625901449272</v>
      </c>
      <c r="BU116" s="538">
        <f t="shared" si="246"/>
        <v>7.5867826086956525E-4</v>
      </c>
      <c r="BV116" s="538">
        <f t="shared" si="247"/>
        <v>2.5985586086956516E-2</v>
      </c>
      <c r="BW116" s="538">
        <f t="shared" si="248"/>
        <v>0</v>
      </c>
      <c r="BX116" s="538"/>
      <c r="BY116" s="538">
        <f t="shared" si="249"/>
        <v>4.5600000000000007E-3</v>
      </c>
      <c r="BZ116" s="469">
        <f t="shared" si="250"/>
        <v>31.304264347826077</v>
      </c>
      <c r="CA116" s="177">
        <f t="shared" si="251"/>
        <v>0.18792940806734432</v>
      </c>
      <c r="CB116" s="5">
        <f t="shared" si="252"/>
        <v>0.3</v>
      </c>
      <c r="CC116" s="177">
        <f t="shared" si="253"/>
        <v>0.61484303884916447</v>
      </c>
      <c r="CD116" s="5">
        <f t="shared" si="254"/>
        <v>61.48430388491645</v>
      </c>
      <c r="CG116" s="571">
        <f t="shared" si="255"/>
        <v>-50</v>
      </c>
      <c r="CH116">
        <f t="shared" si="256"/>
        <v>-50</v>
      </c>
    </row>
    <row r="117" spans="5:86" x14ac:dyDescent="0.2">
      <c r="E117" s="174">
        <v>7</v>
      </c>
      <c r="F117" s="221">
        <f t="shared" si="257"/>
        <v>7.0000000000000007E-2</v>
      </c>
      <c r="G117" s="221"/>
      <c r="H117" s="221">
        <f t="shared" si="201"/>
        <v>0.35000000000000003</v>
      </c>
      <c r="I117" s="551">
        <f t="shared" si="202"/>
        <v>23</v>
      </c>
      <c r="J117" s="451">
        <f t="shared" si="203"/>
        <v>10.64</v>
      </c>
      <c r="K117" s="451">
        <f t="shared" si="204"/>
        <v>33.64</v>
      </c>
      <c r="L117" s="451"/>
      <c r="M117" s="221">
        <f t="shared" si="205"/>
        <v>0.31629013079667062</v>
      </c>
      <c r="N117" s="176">
        <f t="shared" si="206"/>
        <v>13.744455410225921</v>
      </c>
      <c r="O117" s="176">
        <f t="shared" si="173"/>
        <v>0.35000000000000003</v>
      </c>
      <c r="P117" s="221">
        <f t="shared" si="207"/>
        <v>2.7488910820451844</v>
      </c>
      <c r="Q117" s="221">
        <f t="shared" si="208"/>
        <v>5</v>
      </c>
      <c r="R117" s="221"/>
      <c r="S117" s="176">
        <f t="shared" si="209"/>
        <v>594.72047016758677</v>
      </c>
      <c r="T117" s="176">
        <f t="shared" si="210"/>
        <v>5</v>
      </c>
      <c r="U117" s="221">
        <f t="shared" si="211"/>
        <v>0.10691584032545133</v>
      </c>
      <c r="V117" s="221">
        <f t="shared" si="212"/>
        <v>3.2539603577311275E-2</v>
      </c>
      <c r="W117" s="221">
        <f t="shared" si="213"/>
        <v>7.0339368635165336E-2</v>
      </c>
      <c r="X117" s="201">
        <f t="shared" si="214"/>
        <v>350</v>
      </c>
      <c r="Y117" s="451">
        <f t="shared" si="215"/>
        <v>350</v>
      </c>
      <c r="AA117" s="221">
        <f t="shared" si="216"/>
        <v>2.9692542891116021</v>
      </c>
      <c r="AB117" s="177">
        <f t="shared" si="217"/>
        <v>1.9534567691523697</v>
      </c>
      <c r="AC117" s="177">
        <f t="shared" si="218"/>
        <v>2.0301084616399181</v>
      </c>
      <c r="AD117" s="177"/>
      <c r="AE117" s="177">
        <f t="shared" si="219"/>
        <v>0.53947368421052622</v>
      </c>
      <c r="AF117" s="555">
        <f t="shared" si="220"/>
        <v>158.23914336704345</v>
      </c>
      <c r="AG117" s="538">
        <f t="shared" si="221"/>
        <v>0.15482894736842101</v>
      </c>
      <c r="AI117" s="177">
        <f t="shared" si="222"/>
        <v>0.55136195008360889</v>
      </c>
      <c r="AJ117" s="177">
        <f t="shared" si="223"/>
        <v>0.82</v>
      </c>
      <c r="AK117" s="177">
        <f t="shared" si="224"/>
        <v>1.0904223676383105</v>
      </c>
      <c r="AM117" s="555">
        <f t="shared" si="225"/>
        <v>70</v>
      </c>
      <c r="AN117" s="469">
        <f t="shared" si="226"/>
        <v>158.23914336704345</v>
      </c>
      <c r="AP117" s="469">
        <f t="shared" si="227"/>
        <v>70</v>
      </c>
      <c r="AQ117" s="469">
        <f t="shared" si="228"/>
        <v>158.23914336704345</v>
      </c>
      <c r="AS117" s="5">
        <f t="shared" si="175"/>
        <v>6.3195488721804498</v>
      </c>
      <c r="AT117" s="5">
        <f t="shared" si="229"/>
        <v>0.24956521739130433</v>
      </c>
      <c r="AU117" s="5">
        <f t="shared" si="230"/>
        <v>6.0699836547891453</v>
      </c>
      <c r="AV117" s="5"/>
      <c r="AW117" s="177">
        <f t="shared" si="231"/>
        <v>3.9490986214209975E-2</v>
      </c>
      <c r="AX117" s="177">
        <f t="shared" si="150"/>
        <v>0.37240000000000006</v>
      </c>
      <c r="AY117" s="177">
        <f t="shared" si="151"/>
        <v>0.78761739130434771</v>
      </c>
      <c r="AZ117" s="177">
        <f t="shared" si="178"/>
        <v>0.4728184066419362</v>
      </c>
      <c r="BA117" s="469">
        <f t="shared" si="232"/>
        <v>101.93868054563885</v>
      </c>
      <c r="BB117" s="469">
        <f t="shared" si="233"/>
        <v>0.24178291168241967</v>
      </c>
      <c r="BC117" s="5">
        <f t="shared" ref="BC117:BC180" si="258">H117/Efficiency/I117*AU117/Vinripple1</f>
        <v>8.5527144894371993E-2</v>
      </c>
      <c r="BD117" s="469">
        <f t="shared" si="235"/>
        <v>10.313982025005801</v>
      </c>
      <c r="BF117" s="177">
        <f t="shared" si="179"/>
        <v>9.4081062795929316E-2</v>
      </c>
      <c r="BG117" s="177">
        <f t="shared" si="156"/>
        <v>0.92797001450805872</v>
      </c>
      <c r="BI117" s="538">
        <f t="shared" si="236"/>
        <v>9.7363710144927559E-4</v>
      </c>
      <c r="BJ117" s="538">
        <f t="shared" si="237"/>
        <v>2.18249756097561E-2</v>
      </c>
      <c r="BK117" s="538">
        <f t="shared" si="238"/>
        <v>7.9119571683521732E-3</v>
      </c>
      <c r="BL117" s="538">
        <f t="shared" si="239"/>
        <v>4.0291034241522909E-2</v>
      </c>
      <c r="BM117">
        <f t="shared" si="240"/>
        <v>6.6699999999999997E-3</v>
      </c>
      <c r="BN117">
        <f t="shared" si="241"/>
        <v>2.848304580606782E-5</v>
      </c>
      <c r="BO117" s="538">
        <f t="shared" si="242"/>
        <v>7.7845512035502148E-2</v>
      </c>
      <c r="BP117" s="469">
        <f t="shared" si="243"/>
        <v>77.671604121080463</v>
      </c>
      <c r="BQ117" s="538">
        <f t="shared" si="244"/>
        <v>9.2530205773913035E-2</v>
      </c>
      <c r="BT117" s="469">
        <f t="shared" si="245"/>
        <v>92.530205773913039</v>
      </c>
      <c r="BU117" s="538">
        <f t="shared" si="246"/>
        <v>8.8512463768115966E-4</v>
      </c>
      <c r="BV117" s="538">
        <f t="shared" si="247"/>
        <v>2.5833850434782601E-2</v>
      </c>
      <c r="BW117" s="538">
        <f t="shared" si="248"/>
        <v>0</v>
      </c>
      <c r="BX117" s="538"/>
      <c r="BY117" s="538">
        <f t="shared" si="249"/>
        <v>5.3200000000000009E-3</v>
      </c>
      <c r="BZ117" s="469">
        <f t="shared" si="250"/>
        <v>32.038975072463764</v>
      </c>
      <c r="CA117" s="177">
        <f t="shared" si="251"/>
        <v>0.20224078496745726</v>
      </c>
      <c r="CB117" s="5">
        <f t="shared" si="252"/>
        <v>0.35000000000000003</v>
      </c>
      <c r="CC117" s="177">
        <f t="shared" si="253"/>
        <v>0.63378151257087068</v>
      </c>
      <c r="CD117" s="5">
        <f t="shared" si="254"/>
        <v>63.378151257087069</v>
      </c>
      <c r="CG117" s="571">
        <f t="shared" si="255"/>
        <v>-50</v>
      </c>
      <c r="CH117">
        <f t="shared" si="256"/>
        <v>-50</v>
      </c>
    </row>
    <row r="118" spans="5:86" x14ac:dyDescent="0.2">
      <c r="E118" s="174">
        <v>8</v>
      </c>
      <c r="F118" s="221">
        <f t="shared" si="257"/>
        <v>0.08</v>
      </c>
      <c r="G118" s="221"/>
      <c r="H118" s="221">
        <f t="shared" si="201"/>
        <v>0.4</v>
      </c>
      <c r="I118" s="551">
        <f t="shared" si="202"/>
        <v>23</v>
      </c>
      <c r="J118" s="451">
        <f t="shared" si="203"/>
        <v>10.64</v>
      </c>
      <c r="K118" s="451">
        <f t="shared" si="204"/>
        <v>33.64</v>
      </c>
      <c r="L118" s="451"/>
      <c r="M118" s="221">
        <f t="shared" si="205"/>
        <v>0.31629013079667062</v>
      </c>
      <c r="N118" s="176">
        <f t="shared" si="206"/>
        <v>13.744455410225921</v>
      </c>
      <c r="O118" s="176">
        <f t="shared" si="173"/>
        <v>0.4</v>
      </c>
      <c r="P118" s="221">
        <f t="shared" si="207"/>
        <v>2.7488910820451844</v>
      </c>
      <c r="Q118" s="221">
        <f t="shared" si="208"/>
        <v>5</v>
      </c>
      <c r="R118" s="221"/>
      <c r="S118" s="176">
        <f t="shared" si="209"/>
        <v>518.94458694583159</v>
      </c>
      <c r="T118" s="176">
        <f t="shared" si="210"/>
        <v>5</v>
      </c>
      <c r="U118" s="221">
        <f t="shared" si="211"/>
        <v>0.1221895318005158</v>
      </c>
      <c r="V118" s="221">
        <f t="shared" si="212"/>
        <v>3.7188118374070024E-2</v>
      </c>
      <c r="W118" s="221">
        <f t="shared" si="213"/>
        <v>8.0387849868760394E-2</v>
      </c>
      <c r="X118" s="201">
        <f t="shared" si="214"/>
        <v>350</v>
      </c>
      <c r="Y118" s="451">
        <f t="shared" si="215"/>
        <v>350</v>
      </c>
      <c r="AA118" s="221">
        <f t="shared" si="216"/>
        <v>2.9692542891116021</v>
      </c>
      <c r="AB118" s="177">
        <f t="shared" si="217"/>
        <v>1.9534567691523697</v>
      </c>
      <c r="AC118" s="177">
        <f t="shared" si="218"/>
        <v>2.0301084616399181</v>
      </c>
      <c r="AD118" s="177"/>
      <c r="AE118" s="177">
        <f t="shared" si="219"/>
        <v>0.53947368421052622</v>
      </c>
      <c r="AF118" s="555">
        <f t="shared" si="220"/>
        <v>180.84473527662109</v>
      </c>
      <c r="AG118" s="538">
        <f t="shared" si="221"/>
        <v>0.15482894736842101</v>
      </c>
      <c r="AI118" s="177">
        <f t="shared" si="222"/>
        <v>0.58943071809040581</v>
      </c>
      <c r="AJ118" s="177">
        <f t="shared" si="223"/>
        <v>0.82</v>
      </c>
      <c r="AK118" s="177">
        <f t="shared" si="224"/>
        <v>1.1033398487294979</v>
      </c>
      <c r="AM118" s="555">
        <f t="shared" si="225"/>
        <v>80</v>
      </c>
      <c r="AN118" s="469">
        <f t="shared" si="226"/>
        <v>180.84473527662109</v>
      </c>
      <c r="AP118" s="469">
        <f t="shared" si="227"/>
        <v>80</v>
      </c>
      <c r="AQ118" s="469">
        <f t="shared" si="228"/>
        <v>180.84473527662109</v>
      </c>
      <c r="AS118" s="5">
        <f t="shared" si="175"/>
        <v>5.5296052631578938</v>
      </c>
      <c r="AT118" s="5">
        <f t="shared" si="229"/>
        <v>0.24956521739130433</v>
      </c>
      <c r="AU118" s="5">
        <f t="shared" si="230"/>
        <v>5.2800400457665893</v>
      </c>
      <c r="AV118" s="5"/>
      <c r="AW118" s="177">
        <f t="shared" si="231"/>
        <v>4.5132555673382826E-2</v>
      </c>
      <c r="AX118" s="177">
        <f t="shared" si="150"/>
        <v>0.42560000000000003</v>
      </c>
      <c r="AY118" s="177">
        <f t="shared" si="151"/>
        <v>0.78299130434782604</v>
      </c>
      <c r="AZ118" s="177">
        <f t="shared" si="178"/>
        <v>0.54355648349695707</v>
      </c>
      <c r="BA118" s="469">
        <f t="shared" si="232"/>
        <v>101.93868054563885</v>
      </c>
      <c r="BB118" s="469">
        <f t="shared" si="233"/>
        <v>0.281512374442344</v>
      </c>
      <c r="BC118" s="5">
        <f t="shared" si="258"/>
        <v>8.5024799448737351E-2</v>
      </c>
      <c r="BD118" s="469">
        <f t="shared" si="235"/>
        <v>10.260946948341234</v>
      </c>
      <c r="BF118" s="177">
        <f t="shared" si="179"/>
        <v>0.10057688673312341</v>
      </c>
      <c r="BG118" s="177">
        <f t="shared" si="156"/>
        <v>0.92524077555716433</v>
      </c>
      <c r="BI118" s="538">
        <f t="shared" si="236"/>
        <v>1.1127281159420291E-3</v>
      </c>
      <c r="BJ118" s="538">
        <f t="shared" si="237"/>
        <v>2.4942829268292686E-2</v>
      </c>
      <c r="BK118" s="538">
        <f t="shared" si="238"/>
        <v>9.0422367638310543E-3</v>
      </c>
      <c r="BL118" s="538">
        <f t="shared" si="239"/>
        <v>4.6046896276026185E-2</v>
      </c>
      <c r="BM118">
        <f t="shared" si="240"/>
        <v>6.6699999999999997E-3</v>
      </c>
      <c r="BN118">
        <f t="shared" si="241"/>
        <v>3.2552052349791795E-5</v>
      </c>
      <c r="BO118" s="538">
        <f t="shared" si="242"/>
        <v>8.8015530214111501E-2</v>
      </c>
      <c r="BP118" s="469">
        <f t="shared" si="243"/>
        <v>87.81469042409195</v>
      </c>
      <c r="BQ118" s="538">
        <f t="shared" si="244"/>
        <v>9.5963785646376795E-2</v>
      </c>
      <c r="BT118" s="469">
        <f t="shared" si="245"/>
        <v>95.963785646376792</v>
      </c>
      <c r="BU118" s="538">
        <f t="shared" si="246"/>
        <v>1.0115710144927537E-3</v>
      </c>
      <c r="BV118" s="538">
        <f t="shared" si="247"/>
        <v>2.5682114782608685E-2</v>
      </c>
      <c r="BW118" s="538">
        <f t="shared" si="248"/>
        <v>0</v>
      </c>
      <c r="BX118" s="538"/>
      <c r="BY118" s="538">
        <f t="shared" si="249"/>
        <v>6.0800000000000012E-3</v>
      </c>
      <c r="BZ118" s="469">
        <f t="shared" si="250"/>
        <v>32.773685797101436</v>
      </c>
      <c r="CA118" s="177">
        <f t="shared" si="251"/>
        <v>0.21655216186757018</v>
      </c>
      <c r="CB118" s="5">
        <f t="shared" si="252"/>
        <v>0.4</v>
      </c>
      <c r="CC118" s="177">
        <f t="shared" si="253"/>
        <v>0.64876911434123941</v>
      </c>
      <c r="CD118" s="5">
        <f t="shared" si="254"/>
        <v>64.87691143412394</v>
      </c>
      <c r="CG118" s="571">
        <f t="shared" si="255"/>
        <v>-50</v>
      </c>
      <c r="CH118">
        <f t="shared" si="256"/>
        <v>-50</v>
      </c>
    </row>
    <row r="119" spans="5:86" x14ac:dyDescent="0.2">
      <c r="E119" s="174">
        <v>9</v>
      </c>
      <c r="F119" s="221">
        <f t="shared" si="257"/>
        <v>0.09</v>
      </c>
      <c r="G119" s="221"/>
      <c r="H119" s="221">
        <f t="shared" si="201"/>
        <v>0.44999999999999996</v>
      </c>
      <c r="I119" s="551">
        <f t="shared" si="202"/>
        <v>23</v>
      </c>
      <c r="J119" s="451">
        <f t="shared" si="203"/>
        <v>10.64</v>
      </c>
      <c r="K119" s="451">
        <f t="shared" si="204"/>
        <v>33.64</v>
      </c>
      <c r="L119" s="451"/>
      <c r="M119" s="221">
        <f t="shared" si="205"/>
        <v>0.31629013079667062</v>
      </c>
      <c r="N119" s="176">
        <f t="shared" si="206"/>
        <v>13.744455410225921</v>
      </c>
      <c r="O119" s="176">
        <f t="shared" si="173"/>
        <v>0.44999999999999996</v>
      </c>
      <c r="P119" s="221">
        <f t="shared" si="207"/>
        <v>2.7488910820451844</v>
      </c>
      <c r="Q119" s="221">
        <f t="shared" si="208"/>
        <v>5</v>
      </c>
      <c r="R119" s="221"/>
      <c r="S119" s="176">
        <f t="shared" si="209"/>
        <v>460.00799429981578</v>
      </c>
      <c r="T119" s="176">
        <f t="shared" si="210"/>
        <v>5</v>
      </c>
      <c r="U119" s="221">
        <f t="shared" si="211"/>
        <v>0.13746322327558025</v>
      </c>
      <c r="V119" s="221">
        <f t="shared" si="212"/>
        <v>4.1836633170828766E-2</v>
      </c>
      <c r="W119" s="221">
        <f t="shared" si="213"/>
        <v>9.0436331102355411E-2</v>
      </c>
      <c r="X119" s="201">
        <f t="shared" si="214"/>
        <v>350</v>
      </c>
      <c r="Y119" s="451">
        <f t="shared" si="215"/>
        <v>350</v>
      </c>
      <c r="AA119" s="221">
        <f t="shared" si="216"/>
        <v>2.9692542891116021</v>
      </c>
      <c r="AB119" s="177">
        <f t="shared" si="217"/>
        <v>1.9534567691523697</v>
      </c>
      <c r="AC119" s="177">
        <f t="shared" si="218"/>
        <v>2.0301084616399181</v>
      </c>
      <c r="AD119" s="177"/>
      <c r="AE119" s="177">
        <f t="shared" si="219"/>
        <v>0.53947368421052622</v>
      </c>
      <c r="AF119" s="555">
        <f t="shared" si="220"/>
        <v>203.45032718619873</v>
      </c>
      <c r="AG119" s="538">
        <f t="shared" si="221"/>
        <v>0.15482894736842101</v>
      </c>
      <c r="AI119" s="177">
        <f t="shared" si="222"/>
        <v>0.62518568670207331</v>
      </c>
      <c r="AJ119" s="177">
        <f t="shared" si="223"/>
        <v>0.82</v>
      </c>
      <c r="AK119" s="177">
        <f t="shared" si="224"/>
        <v>1.116257329820685</v>
      </c>
      <c r="AM119" s="555">
        <f t="shared" si="225"/>
        <v>90</v>
      </c>
      <c r="AN119" s="469">
        <f t="shared" si="226"/>
        <v>203.45032718619873</v>
      </c>
      <c r="AP119" s="469">
        <f t="shared" si="227"/>
        <v>90</v>
      </c>
      <c r="AQ119" s="469">
        <f t="shared" si="228"/>
        <v>203.45032718619873</v>
      </c>
      <c r="AS119" s="5">
        <f t="shared" si="175"/>
        <v>4.9152046783625725</v>
      </c>
      <c r="AT119" s="5">
        <f t="shared" si="229"/>
        <v>0.24956521739130433</v>
      </c>
      <c r="AU119" s="5">
        <f t="shared" si="230"/>
        <v>4.6656394609712679</v>
      </c>
      <c r="AV119" s="5"/>
      <c r="AW119" s="177">
        <f t="shared" si="231"/>
        <v>5.0774125132555678E-2</v>
      </c>
      <c r="AX119" s="177">
        <f t="shared" si="150"/>
        <v>0.47880000000000006</v>
      </c>
      <c r="AY119" s="177">
        <f t="shared" si="151"/>
        <v>0.77836521739130438</v>
      </c>
      <c r="AZ119" s="177">
        <f t="shared" si="178"/>
        <v>0.61513540084011087</v>
      </c>
      <c r="BA119" s="469">
        <f t="shared" si="232"/>
        <v>101.93868054563885</v>
      </c>
      <c r="BB119" s="469">
        <f t="shared" si="233"/>
        <v>0.32253909890359167</v>
      </c>
      <c r="BC119" s="5">
        <f t="shared" si="258"/>
        <v>8.452245400310264E-2</v>
      </c>
      <c r="BD119" s="469">
        <f t="shared" si="235"/>
        <v>10.207911871676666</v>
      </c>
      <c r="BF119" s="177">
        <f t="shared" si="179"/>
        <v>0.10667789795943429</v>
      </c>
      <c r="BG119" s="177">
        <f t="shared" si="156"/>
        <v>0.92250346215131318</v>
      </c>
      <c r="BI119" s="538">
        <f t="shared" si="236"/>
        <v>1.2518191304347823E-3</v>
      </c>
      <c r="BJ119" s="538">
        <f t="shared" si="237"/>
        <v>2.8060682926829273E-2</v>
      </c>
      <c r="BK119" s="538">
        <f t="shared" si="238"/>
        <v>1.0172516359309935E-2</v>
      </c>
      <c r="BL119" s="538">
        <f t="shared" si="239"/>
        <v>5.1802758310529461E-2</v>
      </c>
      <c r="BM119">
        <f t="shared" si="240"/>
        <v>6.6699999999999997E-3</v>
      </c>
      <c r="BN119">
        <f t="shared" si="241"/>
        <v>3.662105889351577E-5</v>
      </c>
      <c r="BO119" s="538">
        <f t="shared" si="242"/>
        <v>9.8186070485259458E-2</v>
      </c>
      <c r="BP119" s="469">
        <f t="shared" si="243"/>
        <v>97.95777672710345</v>
      </c>
      <c r="BQ119" s="538">
        <f t="shared" si="244"/>
        <v>9.9397365518840597E-2</v>
      </c>
      <c r="BT119" s="469">
        <f t="shared" si="245"/>
        <v>99.397365518840601</v>
      </c>
      <c r="BU119" s="538">
        <f t="shared" si="246"/>
        <v>1.1380173913043475E-3</v>
      </c>
      <c r="BV119" s="538">
        <f t="shared" si="247"/>
        <v>2.553037913043478E-2</v>
      </c>
      <c r="BW119" s="538">
        <f t="shared" si="248"/>
        <v>0</v>
      </c>
      <c r="BX119" s="538"/>
      <c r="BY119" s="538">
        <f t="shared" si="249"/>
        <v>6.8400000000000015E-3</v>
      </c>
      <c r="BZ119" s="469">
        <f t="shared" si="250"/>
        <v>33.50839652173913</v>
      </c>
      <c r="CA119" s="177">
        <f t="shared" si="251"/>
        <v>0.23086353876768317</v>
      </c>
      <c r="CB119" s="5">
        <f t="shared" si="252"/>
        <v>0.44999999999999996</v>
      </c>
      <c r="CC119" s="177">
        <f t="shared" si="253"/>
        <v>0.66092539015155582</v>
      </c>
      <c r="CD119" s="5">
        <f t="shared" si="254"/>
        <v>66.09253901515558</v>
      </c>
      <c r="CG119" s="571">
        <f t="shared" si="255"/>
        <v>-50</v>
      </c>
      <c r="CH119">
        <f t="shared" si="256"/>
        <v>-50</v>
      </c>
    </row>
    <row r="120" spans="5:86" x14ac:dyDescent="0.2">
      <c r="E120" s="174">
        <v>10</v>
      </c>
      <c r="F120" s="221">
        <f t="shared" si="257"/>
        <v>0.1</v>
      </c>
      <c r="G120" s="221"/>
      <c r="H120" s="221">
        <f t="shared" si="201"/>
        <v>0.5</v>
      </c>
      <c r="I120" s="551">
        <f t="shared" si="202"/>
        <v>23</v>
      </c>
      <c r="J120" s="451">
        <f t="shared" si="203"/>
        <v>10.64</v>
      </c>
      <c r="K120" s="451">
        <f t="shared" si="204"/>
        <v>33.64</v>
      </c>
      <c r="L120" s="451"/>
      <c r="M120" s="221">
        <f t="shared" si="205"/>
        <v>0.31629013079667062</v>
      </c>
      <c r="N120" s="176">
        <f t="shared" si="206"/>
        <v>13.744455410225921</v>
      </c>
      <c r="O120" s="176">
        <f t="shared" si="173"/>
        <v>0.5</v>
      </c>
      <c r="P120" s="221">
        <f t="shared" si="207"/>
        <v>2.7488910820451844</v>
      </c>
      <c r="Q120" s="221">
        <f t="shared" si="208"/>
        <v>5</v>
      </c>
      <c r="R120" s="221"/>
      <c r="S120" s="176">
        <f t="shared" si="209"/>
        <v>412.85890655341217</v>
      </c>
      <c r="T120" s="176">
        <f t="shared" si="210"/>
        <v>5</v>
      </c>
      <c r="U120" s="221">
        <f t="shared" si="211"/>
        <v>0.15273691475064474</v>
      </c>
      <c r="V120" s="221">
        <f t="shared" si="212"/>
        <v>4.6485147967587528E-2</v>
      </c>
      <c r="W120" s="221">
        <f t="shared" si="213"/>
        <v>0.10048481233595048</v>
      </c>
      <c r="X120" s="201">
        <f t="shared" si="214"/>
        <v>350</v>
      </c>
      <c r="Y120" s="451">
        <f t="shared" si="215"/>
        <v>350</v>
      </c>
      <c r="AA120" s="221">
        <f t="shared" si="216"/>
        <v>2.9692542891116021</v>
      </c>
      <c r="AB120" s="177">
        <f t="shared" si="217"/>
        <v>1.9534567691523697</v>
      </c>
      <c r="AC120" s="177">
        <f t="shared" si="218"/>
        <v>2.0301084616399181</v>
      </c>
      <c r="AD120" s="177"/>
      <c r="AE120" s="177">
        <f t="shared" si="219"/>
        <v>0.53947368421052622</v>
      </c>
      <c r="AF120" s="555">
        <f t="shared" si="220"/>
        <v>226.05591909577637</v>
      </c>
      <c r="AG120" s="538">
        <f t="shared" si="221"/>
        <v>0.15482894736842101</v>
      </c>
      <c r="AI120" s="177">
        <f t="shared" si="222"/>
        <v>0.65900357683833122</v>
      </c>
      <c r="AJ120" s="177">
        <f t="shared" si="223"/>
        <v>0.82</v>
      </c>
      <c r="AK120" s="177">
        <f t="shared" si="224"/>
        <v>1.1291748109118722</v>
      </c>
      <c r="AM120" s="555">
        <f t="shared" si="225"/>
        <v>100</v>
      </c>
      <c r="AN120" s="469">
        <f t="shared" si="226"/>
        <v>226.05591909577637</v>
      </c>
      <c r="AP120" s="469">
        <f t="shared" si="227"/>
        <v>100</v>
      </c>
      <c r="AQ120" s="469">
        <f t="shared" si="228"/>
        <v>226.05591909577637</v>
      </c>
      <c r="AS120" s="5">
        <f t="shared" si="175"/>
        <v>4.4236842105263152</v>
      </c>
      <c r="AT120" s="5">
        <f t="shared" si="229"/>
        <v>0.24956521739130433</v>
      </c>
      <c r="AU120" s="5">
        <f t="shared" si="230"/>
        <v>4.1741189931350107</v>
      </c>
      <c r="AV120" s="5"/>
      <c r="AW120" s="177">
        <f t="shared" si="231"/>
        <v>5.641569459172853E-2</v>
      </c>
      <c r="AX120" s="177">
        <f t="shared" si="150"/>
        <v>0.53200000000000003</v>
      </c>
      <c r="AY120" s="177">
        <f t="shared" si="151"/>
        <v>0.77373913043478248</v>
      </c>
      <c r="AZ120" s="177">
        <f t="shared" si="178"/>
        <v>0.68757024050348403</v>
      </c>
      <c r="BA120" s="469">
        <f t="shared" si="232"/>
        <v>101.93868054563885</v>
      </c>
      <c r="BB120" s="469">
        <f t="shared" si="233"/>
        <v>0.36486308506616261</v>
      </c>
      <c r="BC120" s="5">
        <f t="shared" si="258"/>
        <v>8.4020108557467998E-2</v>
      </c>
      <c r="BD120" s="469">
        <f t="shared" si="235"/>
        <v>10.154876795012104</v>
      </c>
      <c r="BF120" s="177">
        <f t="shared" si="179"/>
        <v>0.11244837785028033</v>
      </c>
      <c r="BG120" s="177">
        <f t="shared" si="156"/>
        <v>0.91975800219878245</v>
      </c>
      <c r="BI120" s="538">
        <f t="shared" si="236"/>
        <v>1.3909101449275359E-3</v>
      </c>
      <c r="BJ120" s="538">
        <f t="shared" si="237"/>
        <v>3.117853658536586E-2</v>
      </c>
      <c r="BK120" s="538">
        <f t="shared" si="238"/>
        <v>1.1302795954788818E-2</v>
      </c>
      <c r="BL120" s="538">
        <f t="shared" si="239"/>
        <v>5.7558620345032736E-2</v>
      </c>
      <c r="BM120">
        <f t="shared" si="240"/>
        <v>6.6699999999999997E-3</v>
      </c>
      <c r="BN120">
        <f t="shared" si="241"/>
        <v>4.0690065437239745E-5</v>
      </c>
      <c r="BO120" s="538">
        <f t="shared" si="242"/>
        <v>0.10835713288915068</v>
      </c>
      <c r="BP120" s="469">
        <f t="shared" si="243"/>
        <v>108.10086303011494</v>
      </c>
      <c r="BQ120" s="538">
        <f t="shared" si="244"/>
        <v>0.10283094539130436</v>
      </c>
      <c r="BT120" s="469">
        <f t="shared" si="245"/>
        <v>102.83094539130435</v>
      </c>
      <c r="BU120" s="538">
        <f t="shared" si="246"/>
        <v>1.2644637681159419E-3</v>
      </c>
      <c r="BV120" s="538">
        <f t="shared" si="247"/>
        <v>2.5378643478260864E-2</v>
      </c>
      <c r="BW120" s="538">
        <f t="shared" si="248"/>
        <v>0</v>
      </c>
      <c r="BX120" s="538"/>
      <c r="BY120" s="538">
        <f t="shared" si="249"/>
        <v>7.6000000000000017E-3</v>
      </c>
      <c r="BZ120" s="469">
        <f t="shared" si="250"/>
        <v>34.243107246376809</v>
      </c>
      <c r="CA120" s="177">
        <f t="shared" si="251"/>
        <v>0.24517491566779609</v>
      </c>
      <c r="CB120" s="5">
        <f t="shared" si="252"/>
        <v>0.5</v>
      </c>
      <c r="CC120" s="177">
        <f t="shared" si="253"/>
        <v>0.67098340200021356</v>
      </c>
      <c r="CD120" s="5">
        <f t="shared" si="254"/>
        <v>67.098340200021354</v>
      </c>
      <c r="CG120" s="571">
        <f t="shared" si="255"/>
        <v>-50</v>
      </c>
      <c r="CH120">
        <f t="shared" si="256"/>
        <v>-50</v>
      </c>
    </row>
    <row r="121" spans="5:86" x14ac:dyDescent="0.2">
      <c r="E121" s="174">
        <v>11</v>
      </c>
      <c r="F121" s="221">
        <f t="shared" si="257"/>
        <v>0.11</v>
      </c>
      <c r="G121" s="221"/>
      <c r="H121" s="221">
        <f t="shared" si="201"/>
        <v>0.55000000000000004</v>
      </c>
      <c r="I121" s="551">
        <f t="shared" si="202"/>
        <v>23</v>
      </c>
      <c r="J121" s="451">
        <f t="shared" si="203"/>
        <v>10.64</v>
      </c>
      <c r="K121" s="451">
        <f t="shared" si="204"/>
        <v>33.64</v>
      </c>
      <c r="L121" s="451"/>
      <c r="M121" s="221">
        <f t="shared" si="205"/>
        <v>0.31629013079667062</v>
      </c>
      <c r="N121" s="176">
        <f t="shared" si="206"/>
        <v>13.744455410225921</v>
      </c>
      <c r="O121" s="176">
        <f t="shared" si="173"/>
        <v>0.55000000000000004</v>
      </c>
      <c r="P121" s="221">
        <f t="shared" si="207"/>
        <v>2.7488910820451844</v>
      </c>
      <c r="Q121" s="221">
        <f t="shared" si="208"/>
        <v>5</v>
      </c>
      <c r="R121" s="221"/>
      <c r="S121" s="176">
        <f t="shared" si="209"/>
        <v>374.28255101789398</v>
      </c>
      <c r="T121" s="176">
        <f t="shared" si="210"/>
        <v>5</v>
      </c>
      <c r="U121" s="221">
        <f t="shared" si="211"/>
        <v>0.16801060622570924</v>
      </c>
      <c r="V121" s="221">
        <f t="shared" si="212"/>
        <v>5.1133662764346291E-2</v>
      </c>
      <c r="W121" s="221">
        <f t="shared" si="213"/>
        <v>0.11053329356954554</v>
      </c>
      <c r="X121" s="201">
        <f t="shared" si="214"/>
        <v>350</v>
      </c>
      <c r="Y121" s="451">
        <f t="shared" si="215"/>
        <v>350</v>
      </c>
      <c r="AA121" s="221">
        <f t="shared" si="216"/>
        <v>2.9692542891116021</v>
      </c>
      <c r="AB121" s="177">
        <f t="shared" si="217"/>
        <v>1.9534567691523697</v>
      </c>
      <c r="AC121" s="177">
        <f t="shared" si="218"/>
        <v>2.0301084616399181</v>
      </c>
      <c r="AD121" s="177"/>
      <c r="AE121" s="177">
        <f t="shared" si="219"/>
        <v>0.53947368421052622</v>
      </c>
      <c r="AF121" s="555">
        <f t="shared" si="220"/>
        <v>248.66151100535399</v>
      </c>
      <c r="AG121" s="538">
        <f t="shared" si="221"/>
        <v>0.15482894736842101</v>
      </c>
      <c r="AI121" s="177">
        <f t="shared" si="222"/>
        <v>0.69116878236382018</v>
      </c>
      <c r="AJ121" s="177">
        <f t="shared" si="223"/>
        <v>0.82</v>
      </c>
      <c r="AK121" s="177">
        <f t="shared" si="224"/>
        <v>1.1420922920030594</v>
      </c>
      <c r="AM121" s="555">
        <f t="shared" si="225"/>
        <v>110</v>
      </c>
      <c r="AN121" s="469">
        <f t="shared" si="226"/>
        <v>248.66151100535399</v>
      </c>
      <c r="AP121" s="469">
        <f t="shared" si="227"/>
        <v>110</v>
      </c>
      <c r="AQ121" s="469">
        <f t="shared" si="228"/>
        <v>248.66151100535399</v>
      </c>
      <c r="AS121" s="5">
        <f t="shared" si="175"/>
        <v>4.0215311004784686</v>
      </c>
      <c r="AT121" s="5">
        <f t="shared" si="229"/>
        <v>0.24956521739130433</v>
      </c>
      <c r="AU121" s="5">
        <f t="shared" si="230"/>
        <v>3.7719658830871641</v>
      </c>
      <c r="AV121" s="5"/>
      <c r="AW121" s="177">
        <f t="shared" si="231"/>
        <v>6.2057264050901381E-2</v>
      </c>
      <c r="AX121" s="177">
        <f t="shared" si="150"/>
        <v>0.58520000000000005</v>
      </c>
      <c r="AY121" s="177">
        <f t="shared" si="151"/>
        <v>0.76911304347826082</v>
      </c>
      <c r="AZ121" s="177">
        <f t="shared" si="178"/>
        <v>0.76087644717800307</v>
      </c>
      <c r="BA121" s="469">
        <f t="shared" si="232"/>
        <v>101.93868054563885</v>
      </c>
      <c r="BB121" s="469">
        <f t="shared" si="233"/>
        <v>0.4084843329300567</v>
      </c>
      <c r="BC121" s="5">
        <f t="shared" si="258"/>
        <v>8.3517763111833343E-2</v>
      </c>
      <c r="BD121" s="469">
        <f t="shared" si="235"/>
        <v>10.101841718347536</v>
      </c>
      <c r="BF121" s="177">
        <f t="shared" si="179"/>
        <v>0.11793685365175451</v>
      </c>
      <c r="BG121" s="177">
        <f t="shared" si="156"/>
        <v>0.91700432252865194</v>
      </c>
      <c r="BI121" s="538">
        <f t="shared" si="236"/>
        <v>1.5300011594202897E-3</v>
      </c>
      <c r="BJ121" s="538">
        <f t="shared" si="237"/>
        <v>3.4296390243902443E-2</v>
      </c>
      <c r="BK121" s="538">
        <f t="shared" si="238"/>
        <v>1.2433075550267698E-2</v>
      </c>
      <c r="BL121" s="538">
        <f t="shared" si="239"/>
        <v>6.3314482379535991E-2</v>
      </c>
      <c r="BM121">
        <f t="shared" si="240"/>
        <v>6.6699999999999997E-3</v>
      </c>
      <c r="BN121">
        <f t="shared" si="241"/>
        <v>4.4759071980963714E-5</v>
      </c>
      <c r="BO121" s="538">
        <f t="shared" si="242"/>
        <v>0.11852871746599385</v>
      </c>
      <c r="BP121" s="469">
        <f t="shared" si="243"/>
        <v>118.24394933312642</v>
      </c>
      <c r="BQ121" s="538">
        <f t="shared" si="244"/>
        <v>0.10626452526376812</v>
      </c>
      <c r="BT121" s="469">
        <f t="shared" si="245"/>
        <v>106.26452526376812</v>
      </c>
      <c r="BU121" s="538">
        <f t="shared" si="246"/>
        <v>1.3909101449275361E-3</v>
      </c>
      <c r="BV121" s="538">
        <f t="shared" si="247"/>
        <v>2.5226907826086956E-2</v>
      </c>
      <c r="BW121" s="538">
        <f t="shared" si="248"/>
        <v>0</v>
      </c>
      <c r="BX121" s="538"/>
      <c r="BY121" s="538">
        <f t="shared" si="249"/>
        <v>8.3600000000000011E-3</v>
      </c>
      <c r="BZ121" s="469">
        <f t="shared" si="250"/>
        <v>34.977817971014495</v>
      </c>
      <c r="CA121" s="177">
        <f t="shared" si="251"/>
        <v>0.259486292567909</v>
      </c>
      <c r="CB121" s="5">
        <f t="shared" si="252"/>
        <v>0.55000000000000004</v>
      </c>
      <c r="CC121" s="177">
        <f t="shared" si="253"/>
        <v>0.67944325314669818</v>
      </c>
      <c r="CD121" s="5">
        <f t="shared" si="254"/>
        <v>67.944325314669811</v>
      </c>
      <c r="CG121" s="571">
        <f t="shared" si="255"/>
        <v>-50</v>
      </c>
      <c r="CH121">
        <f t="shared" si="256"/>
        <v>-50</v>
      </c>
    </row>
    <row r="122" spans="5:86" x14ac:dyDescent="0.2">
      <c r="E122" s="174">
        <v>12</v>
      </c>
      <c r="F122" s="221">
        <f t="shared" si="257"/>
        <v>0.12</v>
      </c>
      <c r="G122" s="221"/>
      <c r="H122" s="221">
        <f t="shared" si="201"/>
        <v>0.6</v>
      </c>
      <c r="I122" s="551">
        <f t="shared" si="202"/>
        <v>23</v>
      </c>
      <c r="J122" s="451">
        <f t="shared" si="203"/>
        <v>10.64</v>
      </c>
      <c r="K122" s="451">
        <f t="shared" si="204"/>
        <v>33.64</v>
      </c>
      <c r="L122" s="451"/>
      <c r="M122" s="221">
        <f t="shared" si="205"/>
        <v>0.31629013079667062</v>
      </c>
      <c r="N122" s="176">
        <f t="shared" si="206"/>
        <v>13.744455410225921</v>
      </c>
      <c r="O122" s="176">
        <f t="shared" si="173"/>
        <v>0.6</v>
      </c>
      <c r="P122" s="221">
        <f t="shared" si="207"/>
        <v>2.7488910820451844</v>
      </c>
      <c r="Q122" s="221">
        <f t="shared" si="208"/>
        <v>5</v>
      </c>
      <c r="R122" s="221"/>
      <c r="S122" s="176">
        <f t="shared" si="209"/>
        <v>342.13574591401641</v>
      </c>
      <c r="T122" s="176">
        <f t="shared" si="210"/>
        <v>5</v>
      </c>
      <c r="U122" s="221">
        <f t="shared" si="211"/>
        <v>0.18328429770077367</v>
      </c>
      <c r="V122" s="221">
        <f t="shared" si="212"/>
        <v>5.5782177561105026E-2</v>
      </c>
      <c r="W122" s="221">
        <f t="shared" si="213"/>
        <v>0.12058177480314056</v>
      </c>
      <c r="X122" s="201">
        <f t="shared" si="214"/>
        <v>350</v>
      </c>
      <c r="Y122" s="451">
        <f t="shared" si="215"/>
        <v>350</v>
      </c>
      <c r="AA122" s="221">
        <f t="shared" si="216"/>
        <v>2.9692542891116021</v>
      </c>
      <c r="AB122" s="177">
        <f t="shared" si="217"/>
        <v>1.9534567691523697</v>
      </c>
      <c r="AC122" s="177">
        <f t="shared" si="218"/>
        <v>2.0301084616399181</v>
      </c>
      <c r="AD122" s="177"/>
      <c r="AE122" s="177">
        <f t="shared" si="219"/>
        <v>0.53947368421052622</v>
      </c>
      <c r="AF122" s="555">
        <f t="shared" si="220"/>
        <v>271.26710291493163</v>
      </c>
      <c r="AG122" s="538">
        <f t="shared" si="221"/>
        <v>0.15482894736842101</v>
      </c>
      <c r="AI122" s="177">
        <f t="shared" si="222"/>
        <v>0.72190224902188604</v>
      </c>
      <c r="AJ122" s="177">
        <f t="shared" si="223"/>
        <v>0.82</v>
      </c>
      <c r="AK122" s="177">
        <f t="shared" si="224"/>
        <v>1.1550097730942466</v>
      </c>
      <c r="AM122" s="555">
        <f t="shared" si="225"/>
        <v>120</v>
      </c>
      <c r="AN122" s="469">
        <f t="shared" si="226"/>
        <v>271.26710291493163</v>
      </c>
      <c r="AP122" s="469">
        <f t="shared" si="227"/>
        <v>120</v>
      </c>
      <c r="AQ122" s="469">
        <f t="shared" si="228"/>
        <v>271.26710291493163</v>
      </c>
      <c r="AS122" s="5">
        <f t="shared" si="175"/>
        <v>3.6864035087719289</v>
      </c>
      <c r="AT122" s="5">
        <f t="shared" si="229"/>
        <v>0.24956521739130433</v>
      </c>
      <c r="AU122" s="5">
        <f t="shared" si="230"/>
        <v>3.4368382913806244</v>
      </c>
      <c r="AV122" s="5"/>
      <c r="AW122" s="177">
        <f t="shared" si="231"/>
        <v>6.7698833510074247E-2</v>
      </c>
      <c r="AX122" s="177">
        <f t="shared" si="150"/>
        <v>0.63839999999999997</v>
      </c>
      <c r="AY122" s="177">
        <f t="shared" si="151"/>
        <v>0.76448695652173915</v>
      </c>
      <c r="AZ122" s="177">
        <f t="shared" si="178"/>
        <v>0.83506983939214696</v>
      </c>
      <c r="BA122" s="469">
        <f t="shared" si="232"/>
        <v>101.93868054563885</v>
      </c>
      <c r="BB122" s="469">
        <f t="shared" si="233"/>
        <v>0.45340284249527407</v>
      </c>
      <c r="BC122" s="5">
        <f t="shared" si="258"/>
        <v>8.3015417666198632E-2</v>
      </c>
      <c r="BD122" s="469">
        <f t="shared" si="235"/>
        <v>10.048806641682967</v>
      </c>
      <c r="BF122" s="177">
        <f t="shared" si="179"/>
        <v>0.12318102620692567</v>
      </c>
      <c r="BG122" s="177">
        <f t="shared" si="156"/>
        <v>0.91424234886804934</v>
      </c>
      <c r="BI122" s="538">
        <f t="shared" si="236"/>
        <v>1.669092173913044E-3</v>
      </c>
      <c r="BJ122" s="538">
        <f t="shared" si="237"/>
        <v>3.7414243902439026E-2</v>
      </c>
      <c r="BK122" s="538">
        <f t="shared" si="238"/>
        <v>1.3563355145746581E-2</v>
      </c>
      <c r="BL122" s="538">
        <f t="shared" si="239"/>
        <v>6.9070344414039281E-2</v>
      </c>
      <c r="BM122">
        <f t="shared" si="240"/>
        <v>6.6699999999999997E-3</v>
      </c>
      <c r="BN122">
        <f t="shared" si="241"/>
        <v>4.8828078524687689E-5</v>
      </c>
      <c r="BO122" s="538">
        <f t="shared" si="242"/>
        <v>0.12870082425600188</v>
      </c>
      <c r="BP122" s="469">
        <f t="shared" si="243"/>
        <v>128.38703563613794</v>
      </c>
      <c r="BQ122" s="538">
        <f t="shared" si="244"/>
        <v>0.10969810513623189</v>
      </c>
      <c r="BT122" s="469">
        <f t="shared" si="245"/>
        <v>109.69810513623189</v>
      </c>
      <c r="BU122" s="538">
        <f t="shared" si="246"/>
        <v>1.5173565217391309E-3</v>
      </c>
      <c r="BV122" s="538">
        <f t="shared" si="247"/>
        <v>2.507517217391304E-2</v>
      </c>
      <c r="BW122" s="538">
        <f t="shared" si="248"/>
        <v>0</v>
      </c>
      <c r="BX122" s="538"/>
      <c r="BY122" s="538">
        <f t="shared" si="249"/>
        <v>9.1200000000000014E-3</v>
      </c>
      <c r="BZ122" s="469">
        <f t="shared" si="250"/>
        <v>35.712528695652175</v>
      </c>
      <c r="CA122" s="177">
        <f t="shared" si="251"/>
        <v>0.27379766946802198</v>
      </c>
      <c r="CB122" s="5">
        <f t="shared" si="252"/>
        <v>0.6</v>
      </c>
      <c r="CC122" s="177">
        <f t="shared" si="253"/>
        <v>0.68665781675211712</v>
      </c>
      <c r="CD122" s="5">
        <f t="shared" si="254"/>
        <v>68.665781675211718</v>
      </c>
      <c r="CG122" s="571">
        <f t="shared" si="255"/>
        <v>-50</v>
      </c>
      <c r="CH122">
        <f t="shared" si="256"/>
        <v>-50</v>
      </c>
    </row>
    <row r="123" spans="5:86" x14ac:dyDescent="0.2">
      <c r="E123" s="174">
        <v>13</v>
      </c>
      <c r="F123" s="221">
        <f t="shared" si="257"/>
        <v>0.13</v>
      </c>
      <c r="G123" s="221"/>
      <c r="H123" s="221">
        <f t="shared" si="201"/>
        <v>0.65</v>
      </c>
      <c r="I123" s="551">
        <f t="shared" si="202"/>
        <v>23</v>
      </c>
      <c r="J123" s="451">
        <f t="shared" si="203"/>
        <v>10.64</v>
      </c>
      <c r="K123" s="451">
        <f t="shared" si="204"/>
        <v>33.64</v>
      </c>
      <c r="L123" s="451"/>
      <c r="M123" s="221">
        <f t="shared" si="205"/>
        <v>0.31629013079667062</v>
      </c>
      <c r="N123" s="176">
        <f t="shared" si="206"/>
        <v>13.744455410225921</v>
      </c>
      <c r="O123" s="176">
        <f t="shared" si="173"/>
        <v>0.65</v>
      </c>
      <c r="P123" s="221">
        <f t="shared" si="207"/>
        <v>2.7488910820451844</v>
      </c>
      <c r="Q123" s="221">
        <f t="shared" si="208"/>
        <v>5</v>
      </c>
      <c r="R123" s="221"/>
      <c r="S123" s="176">
        <f t="shared" si="209"/>
        <v>314.93475002237113</v>
      </c>
      <c r="T123" s="176">
        <f t="shared" si="210"/>
        <v>5</v>
      </c>
      <c r="U123" s="221">
        <f t="shared" si="211"/>
        <v>0.19855798917583817</v>
      </c>
      <c r="V123" s="221">
        <f t="shared" si="212"/>
        <v>6.0430692357863795E-2</v>
      </c>
      <c r="W123" s="221">
        <f t="shared" si="213"/>
        <v>0.13063025603673564</v>
      </c>
      <c r="X123" s="201">
        <f t="shared" si="214"/>
        <v>350</v>
      </c>
      <c r="Y123" s="451">
        <f t="shared" si="215"/>
        <v>350</v>
      </c>
      <c r="AA123" s="221">
        <f t="shared" si="216"/>
        <v>2.9692542891116021</v>
      </c>
      <c r="AB123" s="177">
        <f t="shared" si="217"/>
        <v>1.9534567691523697</v>
      </c>
      <c r="AC123" s="177">
        <f t="shared" si="218"/>
        <v>2.0301084616399181</v>
      </c>
      <c r="AD123" s="177"/>
      <c r="AE123" s="177">
        <f t="shared" si="219"/>
        <v>0.53947368421052622</v>
      </c>
      <c r="AF123" s="555">
        <f t="shared" si="220"/>
        <v>293.87269482450927</v>
      </c>
      <c r="AG123" s="538">
        <f t="shared" si="221"/>
        <v>0.15482894736842101</v>
      </c>
      <c r="AI123" s="177">
        <f t="shared" si="222"/>
        <v>0.75137968336349681</v>
      </c>
      <c r="AJ123" s="177">
        <f t="shared" si="223"/>
        <v>0.82</v>
      </c>
      <c r="AK123" s="177">
        <f t="shared" si="224"/>
        <v>1.167927254185434</v>
      </c>
      <c r="AM123" s="555">
        <f t="shared" si="225"/>
        <v>130</v>
      </c>
      <c r="AN123" s="469">
        <f t="shared" si="226"/>
        <v>293.87269482450927</v>
      </c>
      <c r="AP123" s="469">
        <f t="shared" si="227"/>
        <v>130</v>
      </c>
      <c r="AQ123" s="469">
        <f t="shared" si="228"/>
        <v>293.87269482450927</v>
      </c>
      <c r="AS123" s="5">
        <f t="shared" si="175"/>
        <v>3.4028340080971651</v>
      </c>
      <c r="AT123" s="5">
        <f t="shared" si="229"/>
        <v>0.24956521739130433</v>
      </c>
      <c r="AU123" s="5">
        <f t="shared" si="230"/>
        <v>3.1532687907058605</v>
      </c>
      <c r="AV123" s="5"/>
      <c r="AW123" s="177">
        <f t="shared" si="231"/>
        <v>7.3340402969247098E-2</v>
      </c>
      <c r="AX123" s="177">
        <f t="shared" si="150"/>
        <v>0.69159999999999999</v>
      </c>
      <c r="AY123" s="177">
        <f t="shared" si="151"/>
        <v>0.75986086956521737</v>
      </c>
      <c r="AZ123" s="177">
        <f t="shared" si="178"/>
        <v>0.91016662089169642</v>
      </c>
      <c r="BA123" s="469">
        <f t="shared" si="232"/>
        <v>101.93868054563885</v>
      </c>
      <c r="BB123" s="469">
        <f t="shared" si="233"/>
        <v>0.49961861376181471</v>
      </c>
      <c r="BC123" s="5">
        <f t="shared" si="258"/>
        <v>8.2513072220563963E-2</v>
      </c>
      <c r="BD123" s="469">
        <f t="shared" si="235"/>
        <v>9.9957715650184031</v>
      </c>
      <c r="BF123" s="177">
        <f t="shared" si="179"/>
        <v>0.12821087701715189</v>
      </c>
      <c r="BG123" s="177">
        <f t="shared" si="156"/>
        <v>0.91147200581877685</v>
      </c>
      <c r="BI123" s="538">
        <f t="shared" si="236"/>
        <v>1.8081831884057969E-3</v>
      </c>
      <c r="BJ123" s="538">
        <f t="shared" si="237"/>
        <v>4.0532097560975616E-2</v>
      </c>
      <c r="BK123" s="538">
        <f t="shared" si="238"/>
        <v>1.4693634741225464E-2</v>
      </c>
      <c r="BL123" s="538">
        <f t="shared" si="239"/>
        <v>7.4826206448542557E-2</v>
      </c>
      <c r="BM123">
        <f t="shared" si="240"/>
        <v>6.6699999999999997E-3</v>
      </c>
      <c r="BN123">
        <f t="shared" si="241"/>
        <v>5.2897085068411664E-5</v>
      </c>
      <c r="BO123" s="538">
        <f t="shared" si="242"/>
        <v>0.13887345329939166</v>
      </c>
      <c r="BP123" s="469">
        <f t="shared" si="243"/>
        <v>138.53012193914944</v>
      </c>
      <c r="BQ123" s="538">
        <f t="shared" si="244"/>
        <v>0.11313168500869566</v>
      </c>
      <c r="BT123" s="469">
        <f t="shared" si="245"/>
        <v>113.13168500869567</v>
      </c>
      <c r="BU123" s="538">
        <f t="shared" si="246"/>
        <v>1.6438028985507247E-3</v>
      </c>
      <c r="BV123" s="538">
        <f t="shared" si="247"/>
        <v>2.4923436521739131E-2</v>
      </c>
      <c r="BW123" s="538">
        <f t="shared" si="248"/>
        <v>0</v>
      </c>
      <c r="BX123" s="538"/>
      <c r="BY123" s="538">
        <f t="shared" si="249"/>
        <v>9.8800000000000016E-3</v>
      </c>
      <c r="BZ123" s="469">
        <f t="shared" si="250"/>
        <v>36.447239420289861</v>
      </c>
      <c r="CA123" s="177">
        <f t="shared" si="251"/>
        <v>0.28810904636813495</v>
      </c>
      <c r="CB123" s="5">
        <f t="shared" si="252"/>
        <v>0.65</v>
      </c>
      <c r="CC123" s="177">
        <f t="shared" si="253"/>
        <v>0.69288320213567745</v>
      </c>
      <c r="CD123" s="5">
        <f t="shared" si="254"/>
        <v>69.288320213567744</v>
      </c>
      <c r="CG123" s="571">
        <f t="shared" si="255"/>
        <v>-50</v>
      </c>
      <c r="CH123">
        <f t="shared" si="256"/>
        <v>-50</v>
      </c>
    </row>
    <row r="124" spans="5:86" x14ac:dyDescent="0.2">
      <c r="E124" s="174">
        <v>14</v>
      </c>
      <c r="F124" s="221">
        <f t="shared" si="257"/>
        <v>0.14000000000000001</v>
      </c>
      <c r="G124" s="221"/>
      <c r="H124" s="221">
        <f t="shared" si="201"/>
        <v>0.70000000000000007</v>
      </c>
      <c r="I124" s="551">
        <f t="shared" si="202"/>
        <v>23</v>
      </c>
      <c r="J124" s="451">
        <f t="shared" si="203"/>
        <v>10.64</v>
      </c>
      <c r="K124" s="451">
        <f t="shared" si="204"/>
        <v>33.64</v>
      </c>
      <c r="L124" s="451"/>
      <c r="M124" s="221">
        <f t="shared" si="205"/>
        <v>0.31629013079667062</v>
      </c>
      <c r="N124" s="176">
        <f t="shared" si="206"/>
        <v>13.744455410225921</v>
      </c>
      <c r="O124" s="176">
        <f t="shared" si="173"/>
        <v>0.70000000000000007</v>
      </c>
      <c r="P124" s="221">
        <f t="shared" si="207"/>
        <v>2.7488910820451844</v>
      </c>
      <c r="Q124" s="221">
        <f t="shared" si="208"/>
        <v>5</v>
      </c>
      <c r="R124" s="221"/>
      <c r="S124" s="176">
        <f t="shared" si="209"/>
        <v>291.61974819787741</v>
      </c>
      <c r="T124" s="176">
        <f t="shared" si="210"/>
        <v>5</v>
      </c>
      <c r="U124" s="221">
        <f t="shared" si="211"/>
        <v>0.21383168065090266</v>
      </c>
      <c r="V124" s="221">
        <f t="shared" si="212"/>
        <v>6.5079207154622551E-2</v>
      </c>
      <c r="W124" s="221">
        <f t="shared" si="213"/>
        <v>0.14067873727033067</v>
      </c>
      <c r="X124" s="201">
        <f t="shared" si="214"/>
        <v>350</v>
      </c>
      <c r="Y124" s="451">
        <f t="shared" si="215"/>
        <v>350</v>
      </c>
      <c r="AA124" s="221">
        <f t="shared" si="216"/>
        <v>2.9692542891116021</v>
      </c>
      <c r="AB124" s="177">
        <f t="shared" si="217"/>
        <v>1.9534567691523697</v>
      </c>
      <c r="AC124" s="177">
        <f t="shared" si="218"/>
        <v>2.0301084616399181</v>
      </c>
      <c r="AD124" s="177"/>
      <c r="AE124" s="177">
        <f t="shared" si="219"/>
        <v>0.53947368421052622</v>
      </c>
      <c r="AF124" s="555">
        <f t="shared" si="220"/>
        <v>316.47828673408691</v>
      </c>
      <c r="AG124" s="538">
        <f t="shared" si="221"/>
        <v>0.15482894736842101</v>
      </c>
      <c r="AI124" s="177">
        <f t="shared" si="222"/>
        <v>0.7797435475847172</v>
      </c>
      <c r="AJ124" s="177">
        <f t="shared" si="223"/>
        <v>0.82</v>
      </c>
      <c r="AK124" s="177">
        <f t="shared" si="224"/>
        <v>1.1808447352766211</v>
      </c>
      <c r="AM124" s="555">
        <f t="shared" si="225"/>
        <v>140</v>
      </c>
      <c r="AN124" s="469">
        <f t="shared" si="226"/>
        <v>316.47828673408691</v>
      </c>
      <c r="AP124" s="469">
        <f t="shared" si="227"/>
        <v>140</v>
      </c>
      <c r="AQ124" s="469">
        <f t="shared" si="228"/>
        <v>316.47828673408691</v>
      </c>
      <c r="AS124" s="5">
        <f t="shared" si="175"/>
        <v>3.1597744360902249</v>
      </c>
      <c r="AT124" s="5">
        <f t="shared" si="229"/>
        <v>0.24956521739130433</v>
      </c>
      <c r="AU124" s="5">
        <f t="shared" si="230"/>
        <v>2.9102092186989204</v>
      </c>
      <c r="AV124" s="5"/>
      <c r="AW124" s="177">
        <f t="shared" si="231"/>
        <v>7.898197242841995E-2</v>
      </c>
      <c r="AX124" s="177">
        <f t="shared" si="150"/>
        <v>0.74480000000000013</v>
      </c>
      <c r="AY124" s="177">
        <f t="shared" si="151"/>
        <v>0.75523478260869559</v>
      </c>
      <c r="AZ124" s="177">
        <f t="shared" si="178"/>
        <v>0.98618339243771036</v>
      </c>
      <c r="BA124" s="469">
        <f t="shared" si="232"/>
        <v>101.93868054563885</v>
      </c>
      <c r="BB124" s="469">
        <f t="shared" si="233"/>
        <v>0.54713164672967862</v>
      </c>
      <c r="BC124" s="5">
        <f t="shared" si="258"/>
        <v>8.2010726774929293E-2</v>
      </c>
      <c r="BD124" s="469">
        <f t="shared" si="235"/>
        <v>9.9427364883538356</v>
      </c>
      <c r="BF124" s="177">
        <f t="shared" si="179"/>
        <v>0.13305071496847806</v>
      </c>
      <c r="BG124" s="177">
        <f t="shared" si="156"/>
        <v>0.90869321683329418</v>
      </c>
      <c r="BI124" s="538">
        <f t="shared" si="236"/>
        <v>1.9472742028985512E-3</v>
      </c>
      <c r="BJ124" s="538">
        <f t="shared" si="237"/>
        <v>4.3649951219512199E-2</v>
      </c>
      <c r="BK124" s="538">
        <f t="shared" si="238"/>
        <v>1.5823914336704346E-2</v>
      </c>
      <c r="BL124" s="538">
        <f t="shared" si="239"/>
        <v>8.0582068483045818E-2</v>
      </c>
      <c r="BM124">
        <f t="shared" si="240"/>
        <v>6.6699999999999997E-3</v>
      </c>
      <c r="BN124">
        <f t="shared" si="241"/>
        <v>5.6966091612135639E-5</v>
      </c>
      <c r="BO124" s="538">
        <f t="shared" si="242"/>
        <v>0.14904660463638428</v>
      </c>
      <c r="BP124" s="469">
        <f t="shared" si="243"/>
        <v>148.67320824216094</v>
      </c>
      <c r="BQ124" s="538">
        <f t="shared" si="244"/>
        <v>0.11656526488115941</v>
      </c>
      <c r="BT124" s="469">
        <f t="shared" si="245"/>
        <v>116.56526488115941</v>
      </c>
      <c r="BU124" s="538">
        <f t="shared" si="246"/>
        <v>1.7702492753623193E-3</v>
      </c>
      <c r="BV124" s="538">
        <f t="shared" si="247"/>
        <v>2.4771700869565205E-2</v>
      </c>
      <c r="BW124" s="538">
        <f t="shared" si="248"/>
        <v>0</v>
      </c>
      <c r="BX124" s="538"/>
      <c r="BY124" s="538">
        <f t="shared" si="249"/>
        <v>1.0640000000000002E-2</v>
      </c>
      <c r="BZ124" s="469">
        <f t="shared" si="250"/>
        <v>37.181950144927526</v>
      </c>
      <c r="CA124" s="177">
        <f t="shared" si="251"/>
        <v>0.30242042326824786</v>
      </c>
      <c r="CB124" s="5">
        <f t="shared" si="252"/>
        <v>0.70000000000000007</v>
      </c>
      <c r="CC124" s="177">
        <f t="shared" si="253"/>
        <v>0.69830979472440369</v>
      </c>
      <c r="CD124" s="5">
        <f t="shared" si="254"/>
        <v>69.830979472440362</v>
      </c>
      <c r="CG124" s="571">
        <f t="shared" si="255"/>
        <v>-50</v>
      </c>
      <c r="CH124">
        <f t="shared" si="256"/>
        <v>-50</v>
      </c>
    </row>
    <row r="125" spans="5:86" x14ac:dyDescent="0.2">
      <c r="E125" s="174">
        <v>15</v>
      </c>
      <c r="F125" s="221">
        <f t="shared" si="257"/>
        <v>0.15</v>
      </c>
      <c r="G125" s="221"/>
      <c r="H125" s="221">
        <f t="shared" si="201"/>
        <v>0.75</v>
      </c>
      <c r="I125" s="551">
        <f t="shared" si="202"/>
        <v>23</v>
      </c>
      <c r="J125" s="451">
        <f t="shared" si="203"/>
        <v>10.64</v>
      </c>
      <c r="K125" s="451">
        <f t="shared" si="204"/>
        <v>33.64</v>
      </c>
      <c r="L125" s="451"/>
      <c r="M125" s="221">
        <f t="shared" si="205"/>
        <v>0.31629013079667062</v>
      </c>
      <c r="N125" s="176">
        <f t="shared" si="206"/>
        <v>13.744455410225921</v>
      </c>
      <c r="O125" s="176">
        <f t="shared" si="173"/>
        <v>0.75</v>
      </c>
      <c r="P125" s="221">
        <f t="shared" si="207"/>
        <v>2.7488910820451844</v>
      </c>
      <c r="Q125" s="221">
        <f t="shared" si="208"/>
        <v>5</v>
      </c>
      <c r="R125" s="221"/>
      <c r="S125" s="176">
        <f t="shared" si="209"/>
        <v>271.41354267847731</v>
      </c>
      <c r="T125" s="176">
        <f t="shared" si="210"/>
        <v>5</v>
      </c>
      <c r="U125" s="221">
        <f t="shared" si="211"/>
        <v>0.2291053721259671</v>
      </c>
      <c r="V125" s="221">
        <f t="shared" si="212"/>
        <v>6.9727721951381286E-2</v>
      </c>
      <c r="W125" s="221">
        <f t="shared" si="213"/>
        <v>0.1507272185039257</v>
      </c>
      <c r="X125" s="201">
        <f t="shared" si="214"/>
        <v>350</v>
      </c>
      <c r="Y125" s="451">
        <f t="shared" si="215"/>
        <v>350</v>
      </c>
      <c r="AA125" s="221">
        <f t="shared" si="216"/>
        <v>2.9692542891116021</v>
      </c>
      <c r="AB125" s="177">
        <f t="shared" si="217"/>
        <v>1.9534567691523697</v>
      </c>
      <c r="AC125" s="177">
        <f t="shared" si="218"/>
        <v>2.0301084616399181</v>
      </c>
      <c r="AD125" s="177"/>
      <c r="AE125" s="177">
        <f t="shared" si="219"/>
        <v>0.53947368421052622</v>
      </c>
      <c r="AF125" s="555">
        <f t="shared" si="220"/>
        <v>339.08387864366455</v>
      </c>
      <c r="AG125" s="538">
        <f t="shared" si="221"/>
        <v>0.15482894736842101</v>
      </c>
      <c r="AI125" s="177">
        <f t="shared" si="222"/>
        <v>0.80711125096145908</v>
      </c>
      <c r="AJ125" s="177">
        <f t="shared" si="223"/>
        <v>0.82</v>
      </c>
      <c r="AK125" s="177">
        <f t="shared" si="224"/>
        <v>1.1937622163678083</v>
      </c>
      <c r="AM125" s="555">
        <f t="shared" si="225"/>
        <v>150</v>
      </c>
      <c r="AN125" s="469">
        <f t="shared" si="226"/>
        <v>339.08387864366455</v>
      </c>
      <c r="AP125" s="469">
        <f t="shared" si="227"/>
        <v>150</v>
      </c>
      <c r="AQ125" s="469">
        <f t="shared" si="228"/>
        <v>339.08387864366455</v>
      </c>
      <c r="AS125" s="5">
        <f t="shared" si="175"/>
        <v>2.9491228070175435</v>
      </c>
      <c r="AT125" s="5">
        <f t="shared" si="229"/>
        <v>0.24956521739130433</v>
      </c>
      <c r="AU125" s="5">
        <f t="shared" si="230"/>
        <v>2.6995575896262389</v>
      </c>
      <c r="AV125" s="5"/>
      <c r="AW125" s="177">
        <f t="shared" si="231"/>
        <v>8.4623541887592788E-2</v>
      </c>
      <c r="AX125" s="177">
        <f t="shared" si="150"/>
        <v>0.79800000000000004</v>
      </c>
      <c r="AY125" s="177">
        <f t="shared" si="151"/>
        <v>0.75060869565217381</v>
      </c>
      <c r="AZ125" s="177">
        <f t="shared" si="178"/>
        <v>1.0631371640407787</v>
      </c>
      <c r="BA125" s="469">
        <f t="shared" si="232"/>
        <v>101.93868054563885</v>
      </c>
      <c r="BB125" s="469">
        <f t="shared" si="233"/>
        <v>0.59594194139886569</v>
      </c>
      <c r="BC125" s="5">
        <f t="shared" si="258"/>
        <v>8.1508381329294624E-2</v>
      </c>
      <c r="BD125" s="469">
        <f t="shared" si="235"/>
        <v>9.8897014116892716</v>
      </c>
      <c r="BF125" s="177">
        <f t="shared" si="179"/>
        <v>0.13772057406843441</v>
      </c>
      <c r="BG125" s="177">
        <f t="shared" si="156"/>
        <v>0.90590590419004158</v>
      </c>
      <c r="BI125" s="538">
        <f t="shared" si="236"/>
        <v>2.0863652173913039E-3</v>
      </c>
      <c r="BJ125" s="538">
        <f t="shared" si="237"/>
        <v>4.6767804878048783E-2</v>
      </c>
      <c r="BK125" s="538">
        <f t="shared" si="238"/>
        <v>1.6954193932183226E-2</v>
      </c>
      <c r="BL125" s="538">
        <f t="shared" si="239"/>
        <v>8.6337930517549094E-2</v>
      </c>
      <c r="BM125">
        <f t="shared" si="240"/>
        <v>6.6699999999999997E-3</v>
      </c>
      <c r="BN125">
        <f t="shared" si="241"/>
        <v>6.1035098155859614E-5</v>
      </c>
      <c r="BO125" s="538">
        <f t="shared" si="242"/>
        <v>0.15922027830720506</v>
      </c>
      <c r="BP125" s="469">
        <f t="shared" si="243"/>
        <v>158.81629454517244</v>
      </c>
      <c r="BQ125" s="538">
        <f t="shared" si="244"/>
        <v>0.1199988447536232</v>
      </c>
      <c r="BT125" s="469">
        <f t="shared" si="245"/>
        <v>119.9988447536232</v>
      </c>
      <c r="BU125" s="538">
        <f t="shared" si="246"/>
        <v>1.8966956521739129E-3</v>
      </c>
      <c r="BV125" s="538">
        <f t="shared" si="247"/>
        <v>2.4619965217391303E-2</v>
      </c>
      <c r="BW125" s="538">
        <f t="shared" si="248"/>
        <v>0</v>
      </c>
      <c r="BX125" s="538"/>
      <c r="BY125" s="538">
        <f t="shared" si="249"/>
        <v>1.1400000000000002E-2</v>
      </c>
      <c r="BZ125" s="469">
        <f t="shared" si="250"/>
        <v>37.916660869565213</v>
      </c>
      <c r="CA125" s="177">
        <f t="shared" si="251"/>
        <v>0.31673180016836089</v>
      </c>
      <c r="CB125" s="5">
        <f t="shared" si="252"/>
        <v>0.75</v>
      </c>
      <c r="CC125" s="177">
        <f t="shared" si="253"/>
        <v>0.70308206794025319</v>
      </c>
      <c r="CD125" s="5">
        <f t="shared" si="254"/>
        <v>70.308206794025324</v>
      </c>
      <c r="CG125" s="571">
        <f t="shared" si="255"/>
        <v>-50</v>
      </c>
      <c r="CH125">
        <f t="shared" si="256"/>
        <v>-50</v>
      </c>
    </row>
    <row r="126" spans="5:86" x14ac:dyDescent="0.2">
      <c r="E126" s="174">
        <v>16</v>
      </c>
      <c r="F126" s="221">
        <f t="shared" si="257"/>
        <v>0.16</v>
      </c>
      <c r="G126" s="221"/>
      <c r="H126" s="221">
        <f t="shared" si="201"/>
        <v>0.8</v>
      </c>
      <c r="I126" s="551">
        <f t="shared" si="202"/>
        <v>23</v>
      </c>
      <c r="J126" s="451">
        <f t="shared" si="203"/>
        <v>10.64</v>
      </c>
      <c r="K126" s="451">
        <f t="shared" si="204"/>
        <v>33.64</v>
      </c>
      <c r="L126" s="451"/>
      <c r="M126" s="221">
        <f t="shared" si="205"/>
        <v>0.31629013079667062</v>
      </c>
      <c r="N126" s="176">
        <f t="shared" si="206"/>
        <v>13.744455410225921</v>
      </c>
      <c r="O126" s="176">
        <f t="shared" si="173"/>
        <v>0.8</v>
      </c>
      <c r="P126" s="221">
        <f t="shared" si="207"/>
        <v>2.7488910820451844</v>
      </c>
      <c r="Q126" s="221">
        <f t="shared" si="208"/>
        <v>5</v>
      </c>
      <c r="R126" s="221"/>
      <c r="S126" s="176">
        <f t="shared" si="209"/>
        <v>253.73323515307342</v>
      </c>
      <c r="T126" s="176">
        <f t="shared" si="210"/>
        <v>5</v>
      </c>
      <c r="U126" s="221">
        <f t="shared" si="211"/>
        <v>0.24437906360103159</v>
      </c>
      <c r="V126" s="221">
        <f t="shared" si="212"/>
        <v>7.4376236748140048E-2</v>
      </c>
      <c r="W126" s="221">
        <f t="shared" si="213"/>
        <v>0.16077569973752079</v>
      </c>
      <c r="X126" s="201">
        <f t="shared" si="214"/>
        <v>350</v>
      </c>
      <c r="Y126" s="451">
        <f t="shared" si="215"/>
        <v>350</v>
      </c>
      <c r="AA126" s="221">
        <f t="shared" si="216"/>
        <v>2.9692542891116021</v>
      </c>
      <c r="AB126" s="177">
        <f t="shared" si="217"/>
        <v>1.9534567691523697</v>
      </c>
      <c r="AC126" s="177">
        <f t="shared" si="218"/>
        <v>2.0301084616399181</v>
      </c>
      <c r="AD126" s="177"/>
      <c r="AE126" s="177">
        <f t="shared" si="219"/>
        <v>0.53947368421052622</v>
      </c>
      <c r="AF126" s="555">
        <f t="shared" si="220"/>
        <v>361.68947055324219</v>
      </c>
      <c r="AG126" s="538">
        <f t="shared" si="221"/>
        <v>0.15482894736842101</v>
      </c>
      <c r="AI126" s="177">
        <f t="shared" si="222"/>
        <v>0.83358091560276437</v>
      </c>
      <c r="AJ126" s="177">
        <f t="shared" si="223"/>
        <v>0.83358091560276437</v>
      </c>
      <c r="AK126" s="177">
        <f t="shared" si="224"/>
        <v>1.2090539437351762</v>
      </c>
      <c r="AM126" s="555">
        <f t="shared" si="225"/>
        <v>160</v>
      </c>
      <c r="AN126" s="469">
        <f t="shared" si="226"/>
        <v>350</v>
      </c>
      <c r="AP126" s="469">
        <f t="shared" si="227"/>
        <v>160</v>
      </c>
      <c r="AQ126" s="469">
        <f t="shared" si="228"/>
        <v>350</v>
      </c>
      <c r="AS126" s="5">
        <f t="shared" si="175"/>
        <v>2.8571428571428572</v>
      </c>
      <c r="AT126" s="5">
        <f t="shared" si="229"/>
        <v>0.25369853953127613</v>
      </c>
      <c r="AU126" s="5">
        <f t="shared" si="230"/>
        <v>2.6034443176115811</v>
      </c>
      <c r="AV126" s="5"/>
      <c r="AW126" s="177">
        <f t="shared" si="231"/>
        <v>8.879448883594665E-2</v>
      </c>
      <c r="AX126" s="177">
        <f t="shared" si="150"/>
        <v>0.85120000000000007</v>
      </c>
      <c r="AY126" s="177">
        <f t="shared" si="151"/>
        <v>0.75956352429841656</v>
      </c>
      <c r="AZ126" s="177">
        <f t="shared" si="178"/>
        <v>1.1206435969739661</v>
      </c>
      <c r="BA126" s="469">
        <f t="shared" si="232"/>
        <v>101.93868054563885</v>
      </c>
      <c r="BB126" s="469">
        <f t="shared" si="233"/>
        <v>0.64604949776937615</v>
      </c>
      <c r="BC126" s="5">
        <f t="shared" si="258"/>
        <v>8.3846837926298906E-2</v>
      </c>
      <c r="BD126" s="469">
        <f t="shared" si="235"/>
        <v>10.177562580141375</v>
      </c>
      <c r="BF126" s="177">
        <f t="shared" si="179"/>
        <v>0.14341023303098743</v>
      </c>
      <c r="BG126" s="177">
        <f t="shared" si="156"/>
        <v>0.91880912638272283</v>
      </c>
      <c r="BI126" s="538">
        <f t="shared" si="236"/>
        <v>2.262314443180233E-3</v>
      </c>
      <c r="BJ126" s="538">
        <f t="shared" si="237"/>
        <v>4.9072908501534743E-2</v>
      </c>
      <c r="BK126" s="538">
        <f t="shared" si="238"/>
        <v>1.7499999999999998E-2</v>
      </c>
      <c r="BL126" s="538">
        <f t="shared" si="239"/>
        <v>8.9117405999999996E-2</v>
      </c>
      <c r="BM126">
        <f t="shared" si="240"/>
        <v>6.6699999999999997E-3</v>
      </c>
      <c r="BN126">
        <f t="shared" si="241"/>
        <v>6.3E-5</v>
      </c>
      <c r="BO126" s="538">
        <f t="shared" si="242"/>
        <v>0.16505993691947213</v>
      </c>
      <c r="BP126" s="469">
        <f t="shared" si="243"/>
        <v>164.62262894471496</v>
      </c>
      <c r="BQ126" s="538">
        <f t="shared" si="244"/>
        <v>0.12561766009932754</v>
      </c>
      <c r="BT126" s="469">
        <f t="shared" si="245"/>
        <v>125.61766009932754</v>
      </c>
      <c r="BU126" s="538">
        <f t="shared" si="246"/>
        <v>2.0566494938002119E-3</v>
      </c>
      <c r="BV126" s="538">
        <f t="shared" si="247"/>
        <v>2.5326306321725469E-2</v>
      </c>
      <c r="BW126" s="538">
        <f t="shared" si="248"/>
        <v>0</v>
      </c>
      <c r="BX126" s="538"/>
      <c r="BY126" s="538">
        <f t="shared" si="249"/>
        <v>1.2160000000000002E-2</v>
      </c>
      <c r="BZ126" s="469">
        <f t="shared" si="250"/>
        <v>39.542955815525687</v>
      </c>
      <c r="CA126" s="177">
        <f t="shared" si="251"/>
        <v>0.32978324485956817</v>
      </c>
      <c r="CB126" s="5">
        <f t="shared" si="252"/>
        <v>0.8</v>
      </c>
      <c r="CC126" s="177">
        <f t="shared" si="253"/>
        <v>0.70810042867952061</v>
      </c>
      <c r="CD126" s="5">
        <f t="shared" si="254"/>
        <v>70.810042867952063</v>
      </c>
      <c r="CG126" s="571">
        <f t="shared" si="255"/>
        <v>-50</v>
      </c>
      <c r="CH126">
        <f t="shared" si="256"/>
        <v>-50</v>
      </c>
    </row>
    <row r="127" spans="5:86" x14ac:dyDescent="0.2">
      <c r="E127" s="174">
        <v>17</v>
      </c>
      <c r="F127" s="221">
        <f t="shared" si="257"/>
        <v>0.17</v>
      </c>
      <c r="G127" s="221"/>
      <c r="H127" s="221">
        <f t="shared" si="201"/>
        <v>0.85000000000000009</v>
      </c>
      <c r="I127" s="551">
        <f t="shared" si="202"/>
        <v>23</v>
      </c>
      <c r="J127" s="451">
        <f t="shared" si="203"/>
        <v>10.64</v>
      </c>
      <c r="K127" s="451">
        <f t="shared" si="204"/>
        <v>33.64</v>
      </c>
      <c r="L127" s="451"/>
      <c r="M127" s="221">
        <f t="shared" si="205"/>
        <v>0.31629013079667062</v>
      </c>
      <c r="N127" s="176">
        <f t="shared" si="206"/>
        <v>13.744455410225921</v>
      </c>
      <c r="O127" s="176">
        <f t="shared" si="173"/>
        <v>0.85000000000000009</v>
      </c>
      <c r="P127" s="221">
        <f t="shared" si="207"/>
        <v>2.7488910820451844</v>
      </c>
      <c r="Q127" s="221">
        <f t="shared" si="208"/>
        <v>5</v>
      </c>
      <c r="R127" s="221"/>
      <c r="S127" s="176">
        <f t="shared" si="209"/>
        <v>238.13307986431337</v>
      </c>
      <c r="T127" s="176">
        <f t="shared" si="210"/>
        <v>5</v>
      </c>
      <c r="U127" s="221">
        <f t="shared" si="211"/>
        <v>0.25965275507609609</v>
      </c>
      <c r="V127" s="221">
        <f t="shared" si="212"/>
        <v>7.9024751544898811E-2</v>
      </c>
      <c r="W127" s="221">
        <f t="shared" si="213"/>
        <v>0.17082418097111585</v>
      </c>
      <c r="X127" s="201">
        <f t="shared" si="214"/>
        <v>350</v>
      </c>
      <c r="Y127" s="451">
        <f t="shared" si="215"/>
        <v>350</v>
      </c>
      <c r="AA127" s="221">
        <f t="shared" si="216"/>
        <v>2.9692542891116021</v>
      </c>
      <c r="AB127" s="177">
        <f t="shared" si="217"/>
        <v>1.9534567691523697</v>
      </c>
      <c r="AC127" s="177">
        <f t="shared" si="218"/>
        <v>2.0301084616399181</v>
      </c>
      <c r="AD127" s="177"/>
      <c r="AE127" s="177">
        <f t="shared" si="219"/>
        <v>0.53947368421052622</v>
      </c>
      <c r="AF127" s="555">
        <f t="shared" si="220"/>
        <v>384.29506246281983</v>
      </c>
      <c r="AG127" s="538">
        <f t="shared" si="221"/>
        <v>0.15482894736842101</v>
      </c>
      <c r="AI127" s="177">
        <f t="shared" si="222"/>
        <v>0.85923554063231955</v>
      </c>
      <c r="AJ127" s="177">
        <f t="shared" si="223"/>
        <v>0.85923554063231955</v>
      </c>
      <c r="AK127" s="177">
        <f t="shared" si="224"/>
        <v>1.2261570270882129</v>
      </c>
      <c r="AM127" s="555">
        <f t="shared" si="225"/>
        <v>170</v>
      </c>
      <c r="AN127" s="469">
        <f t="shared" si="226"/>
        <v>350</v>
      </c>
      <c r="AP127" s="469">
        <f t="shared" si="227"/>
        <v>170</v>
      </c>
      <c r="AQ127" s="469">
        <f t="shared" si="228"/>
        <v>350</v>
      </c>
      <c r="AS127" s="5">
        <f t="shared" si="175"/>
        <v>2.8571428571428572</v>
      </c>
      <c r="AT127" s="5">
        <f t="shared" si="229"/>
        <v>0.26150646888809725</v>
      </c>
      <c r="AU127" s="5">
        <f t="shared" si="230"/>
        <v>2.5956363882547597</v>
      </c>
      <c r="AV127" s="5"/>
      <c r="AW127" s="177">
        <f t="shared" si="231"/>
        <v>9.1527264110834033E-2</v>
      </c>
      <c r="AX127" s="177">
        <f t="shared" si="150"/>
        <v>0.9044000000000002</v>
      </c>
      <c r="AY127" s="177">
        <f t="shared" si="151"/>
        <v>0.78059206237144996</v>
      </c>
      <c r="AZ127" s="177">
        <f t="shared" si="178"/>
        <v>1.1586077332793008</v>
      </c>
      <c r="BA127" s="469">
        <f t="shared" si="232"/>
        <v>101.93868054563885</v>
      </c>
      <c r="BB127" s="469">
        <f t="shared" si="233"/>
        <v>0.69745431584120987</v>
      </c>
      <c r="BC127" s="5">
        <f t="shared" si="258"/>
        <v>8.882008574945835E-2</v>
      </c>
      <c r="BD127" s="469">
        <f t="shared" si="235"/>
        <v>10.781598695732105</v>
      </c>
      <c r="BF127" s="177">
        <f t="shared" si="179"/>
        <v>0.15008139076368346</v>
      </c>
      <c r="BG127" s="177">
        <f t="shared" si="156"/>
        <v>0.94566551008626021</v>
      </c>
      <c r="BI127" s="538">
        <f t="shared" si="236"/>
        <v>2.4776866238917592E-3</v>
      </c>
      <c r="BJ127" s="538">
        <f t="shared" si="237"/>
        <v>5.0583196277024657E-2</v>
      </c>
      <c r="BK127" s="538">
        <f t="shared" si="238"/>
        <v>1.7499999999999998E-2</v>
      </c>
      <c r="BL127" s="538">
        <f t="shared" si="239"/>
        <v>8.9117405999999996E-2</v>
      </c>
      <c r="BM127">
        <f t="shared" si="240"/>
        <v>6.6699999999999997E-3</v>
      </c>
      <c r="BN127">
        <f t="shared" si="241"/>
        <v>6.3E-5</v>
      </c>
      <c r="BO127" s="538">
        <f t="shared" si="242"/>
        <v>0.16682203648352525</v>
      </c>
      <c r="BP127" s="469">
        <f t="shared" si="243"/>
        <v>166.3482889009164</v>
      </c>
      <c r="BQ127" s="538">
        <f t="shared" si="244"/>
        <v>0.13326324083225641</v>
      </c>
      <c r="BT127" s="469">
        <f t="shared" si="245"/>
        <v>133.2632408322564</v>
      </c>
      <c r="BU127" s="538">
        <f t="shared" si="246"/>
        <v>2.2524423853561449E-3</v>
      </c>
      <c r="BV127" s="538">
        <f t="shared" si="247"/>
        <v>2.6828497709001201E-2</v>
      </c>
      <c r="BW127" s="538">
        <f t="shared" si="248"/>
        <v>0</v>
      </c>
      <c r="BX127" s="538"/>
      <c r="BY127" s="538">
        <f t="shared" si="249"/>
        <v>1.2920000000000003E-2</v>
      </c>
      <c r="BZ127" s="469">
        <f t="shared" si="250"/>
        <v>42.000940094357347</v>
      </c>
      <c r="CA127" s="177">
        <f t="shared" si="251"/>
        <v>0.34161246982753019</v>
      </c>
      <c r="CB127" s="5">
        <f t="shared" si="252"/>
        <v>0.85000000000000009</v>
      </c>
      <c r="CC127" s="177">
        <f t="shared" si="253"/>
        <v>0.71331915494558895</v>
      </c>
      <c r="CD127" s="5">
        <f t="shared" si="254"/>
        <v>71.331915494558899</v>
      </c>
      <c r="CG127" s="571">
        <f t="shared" si="255"/>
        <v>-50</v>
      </c>
      <c r="CH127">
        <f t="shared" si="256"/>
        <v>-50</v>
      </c>
    </row>
    <row r="128" spans="5:86" x14ac:dyDescent="0.2">
      <c r="E128" s="174">
        <v>18</v>
      </c>
      <c r="F128" s="221">
        <f t="shared" si="257"/>
        <v>0.18</v>
      </c>
      <c r="G128" s="221"/>
      <c r="H128" s="221">
        <f t="shared" si="201"/>
        <v>0.89999999999999991</v>
      </c>
      <c r="I128" s="551">
        <f t="shared" si="202"/>
        <v>23</v>
      </c>
      <c r="J128" s="451">
        <f t="shared" si="203"/>
        <v>10.64</v>
      </c>
      <c r="K128" s="451">
        <f t="shared" si="204"/>
        <v>33.64</v>
      </c>
      <c r="L128" s="451"/>
      <c r="M128" s="221">
        <f t="shared" si="205"/>
        <v>0.31629013079667062</v>
      </c>
      <c r="N128" s="176">
        <f t="shared" si="206"/>
        <v>13.744455410225921</v>
      </c>
      <c r="O128" s="176">
        <f t="shared" si="173"/>
        <v>0.89999999999999991</v>
      </c>
      <c r="P128" s="221">
        <f t="shared" si="207"/>
        <v>2.7488910820451844</v>
      </c>
      <c r="Q128" s="221">
        <f t="shared" si="208"/>
        <v>5</v>
      </c>
      <c r="R128" s="221"/>
      <c r="S128" s="176">
        <f t="shared" si="209"/>
        <v>224.26638567711444</v>
      </c>
      <c r="T128" s="176">
        <f t="shared" si="210"/>
        <v>5</v>
      </c>
      <c r="U128" s="221">
        <f t="shared" si="211"/>
        <v>0.2749264465511605</v>
      </c>
      <c r="V128" s="221">
        <f t="shared" si="212"/>
        <v>8.3673266341657532E-2</v>
      </c>
      <c r="W128" s="221">
        <f t="shared" si="213"/>
        <v>0.18087266220471082</v>
      </c>
      <c r="X128" s="201">
        <f t="shared" si="214"/>
        <v>350</v>
      </c>
      <c r="Y128" s="451">
        <f t="shared" si="215"/>
        <v>350</v>
      </c>
      <c r="AA128" s="221">
        <f t="shared" si="216"/>
        <v>2.9692542891116021</v>
      </c>
      <c r="AB128" s="177">
        <f t="shared" si="217"/>
        <v>1.9534567691523697</v>
      </c>
      <c r="AC128" s="177">
        <f t="shared" si="218"/>
        <v>2.0301084616399181</v>
      </c>
      <c r="AD128" s="177"/>
      <c r="AE128" s="177">
        <f t="shared" si="219"/>
        <v>0.53947368421052622</v>
      </c>
      <c r="AF128" s="555">
        <f t="shared" si="220"/>
        <v>406.90065437239747</v>
      </c>
      <c r="AG128" s="538">
        <f t="shared" si="221"/>
        <v>0.15482894736842101</v>
      </c>
      <c r="AI128" s="177">
        <f t="shared" si="222"/>
        <v>0.88414607713560878</v>
      </c>
      <c r="AJ128" s="177">
        <f t="shared" si="223"/>
        <v>0.88414607713560878</v>
      </c>
      <c r="AK128" s="177">
        <f t="shared" si="224"/>
        <v>1.2427640514237392</v>
      </c>
      <c r="AM128" s="555">
        <f t="shared" si="225"/>
        <v>180</v>
      </c>
      <c r="AN128" s="469">
        <f t="shared" si="226"/>
        <v>350</v>
      </c>
      <c r="AP128" s="469">
        <f t="shared" si="227"/>
        <v>180</v>
      </c>
      <c r="AQ128" s="469">
        <f t="shared" si="228"/>
        <v>350</v>
      </c>
      <c r="AS128" s="5">
        <f t="shared" si="175"/>
        <v>2.8571428571428572</v>
      </c>
      <c r="AT128" s="5">
        <f t="shared" si="229"/>
        <v>0.26908793651953311</v>
      </c>
      <c r="AU128" s="5">
        <f t="shared" si="230"/>
        <v>2.5880549206233239</v>
      </c>
      <c r="AV128" s="5"/>
      <c r="AW128" s="177">
        <f t="shared" si="231"/>
        <v>9.4180777781836589E-2</v>
      </c>
      <c r="AX128" s="177">
        <f t="shared" si="150"/>
        <v>0.95760000000000023</v>
      </c>
      <c r="AY128" s="177">
        <f t="shared" si="151"/>
        <v>0.8008765119182174</v>
      </c>
      <c r="AZ128" s="177">
        <f t="shared" si="178"/>
        <v>1.1956899543806161</v>
      </c>
      <c r="BA128" s="469">
        <f t="shared" si="232"/>
        <v>101.93868054563885</v>
      </c>
      <c r="BB128" s="469">
        <f t="shared" si="233"/>
        <v>0.75015639561436664</v>
      </c>
      <c r="BC128" s="5">
        <f t="shared" si="258"/>
        <v>9.3770105819685617E-2</v>
      </c>
      <c r="BD128" s="469">
        <f t="shared" si="235"/>
        <v>11.382847480970971</v>
      </c>
      <c r="BF128" s="177">
        <f t="shared" si="179"/>
        <v>0.15665509825914198</v>
      </c>
      <c r="BG128" s="177">
        <f t="shared" si="156"/>
        <v>0.97165962921353721</v>
      </c>
      <c r="BI128" s="538">
        <f t="shared" si="236"/>
        <v>2.6994901791639568E-3</v>
      </c>
      <c r="BJ128" s="538">
        <f t="shared" si="237"/>
        <v>5.204967956097329E-2</v>
      </c>
      <c r="BK128" s="538">
        <f t="shared" si="238"/>
        <v>1.7499999999999998E-2</v>
      </c>
      <c r="BL128" s="538">
        <f t="shared" si="239"/>
        <v>8.9117405999999996E-2</v>
      </c>
      <c r="BM128">
        <f t="shared" si="240"/>
        <v>6.6699999999999997E-3</v>
      </c>
      <c r="BN128">
        <f t="shared" si="241"/>
        <v>6.3E-5</v>
      </c>
      <c r="BO128" s="538">
        <f t="shared" si="242"/>
        <v>0.1685479532232744</v>
      </c>
      <c r="BP128" s="469">
        <f t="shared" si="243"/>
        <v>168.03657574013724</v>
      </c>
      <c r="BQ128" s="538">
        <f t="shared" si="244"/>
        <v>0.14089095403731491</v>
      </c>
      <c r="BT128" s="469">
        <f t="shared" si="245"/>
        <v>140.89095403731491</v>
      </c>
      <c r="BU128" s="538">
        <f t="shared" si="246"/>
        <v>2.454081981058143E-3</v>
      </c>
      <c r="BV128" s="538">
        <f t="shared" si="247"/>
        <v>2.8323673051301658E-2</v>
      </c>
      <c r="BW128" s="538">
        <f t="shared" si="248"/>
        <v>0</v>
      </c>
      <c r="BX128" s="538"/>
      <c r="BY128" s="538">
        <f t="shared" si="249"/>
        <v>1.3680000000000005E-2</v>
      </c>
      <c r="BZ128" s="469">
        <f t="shared" si="250"/>
        <v>44.457755032359806</v>
      </c>
      <c r="CA128" s="177">
        <f t="shared" si="251"/>
        <v>0.35338528480981202</v>
      </c>
      <c r="CB128" s="5">
        <f t="shared" si="252"/>
        <v>0.89999999999999991</v>
      </c>
      <c r="CC128" s="177">
        <f t="shared" si="253"/>
        <v>0.71805534252507641</v>
      </c>
      <c r="CD128" s="5">
        <f t="shared" si="254"/>
        <v>71.805534252507641</v>
      </c>
      <c r="CG128" s="571">
        <f t="shared" si="255"/>
        <v>-50</v>
      </c>
      <c r="CH128">
        <f t="shared" si="256"/>
        <v>-50</v>
      </c>
    </row>
    <row r="129" spans="5:86" x14ac:dyDescent="0.2">
      <c r="E129" s="174">
        <v>19</v>
      </c>
      <c r="F129" s="221">
        <f t="shared" si="257"/>
        <v>0.19</v>
      </c>
      <c r="G129" s="221"/>
      <c r="H129" s="221">
        <f t="shared" si="201"/>
        <v>0.95</v>
      </c>
      <c r="I129" s="551">
        <f t="shared" si="202"/>
        <v>23</v>
      </c>
      <c r="J129" s="451">
        <f t="shared" si="203"/>
        <v>10.64</v>
      </c>
      <c r="K129" s="451">
        <f t="shared" si="204"/>
        <v>33.64</v>
      </c>
      <c r="L129" s="451"/>
      <c r="M129" s="221">
        <f t="shared" si="205"/>
        <v>0.31629013079667062</v>
      </c>
      <c r="N129" s="176">
        <f t="shared" si="206"/>
        <v>13.744455410225921</v>
      </c>
      <c r="O129" s="176">
        <f t="shared" si="173"/>
        <v>0.95</v>
      </c>
      <c r="P129" s="221">
        <f t="shared" si="207"/>
        <v>2.7488910820451844</v>
      </c>
      <c r="Q129" s="221">
        <f t="shared" si="208"/>
        <v>5</v>
      </c>
      <c r="R129" s="221"/>
      <c r="S129" s="176">
        <f t="shared" si="209"/>
        <v>211.85944907291929</v>
      </c>
      <c r="T129" s="176">
        <f t="shared" si="210"/>
        <v>5</v>
      </c>
      <c r="U129" s="221">
        <f t="shared" si="211"/>
        <v>0.29020013802622496</v>
      </c>
      <c r="V129" s="221">
        <f t="shared" si="212"/>
        <v>8.8321781138416294E-2</v>
      </c>
      <c r="W129" s="221">
        <f t="shared" si="213"/>
        <v>0.19092114343830585</v>
      </c>
      <c r="X129" s="201">
        <f t="shared" si="214"/>
        <v>350</v>
      </c>
      <c r="Y129" s="451">
        <f t="shared" si="215"/>
        <v>350</v>
      </c>
      <c r="AA129" s="221">
        <f t="shared" si="216"/>
        <v>2.9692542891116021</v>
      </c>
      <c r="AB129" s="177">
        <f t="shared" si="217"/>
        <v>1.9534567691523697</v>
      </c>
      <c r="AC129" s="177">
        <f t="shared" si="218"/>
        <v>2.0301084616399181</v>
      </c>
      <c r="AD129" s="177"/>
      <c r="AE129" s="177">
        <f t="shared" si="219"/>
        <v>0.53947368421052622</v>
      </c>
      <c r="AF129" s="555">
        <f t="shared" si="220"/>
        <v>429.50624628197505</v>
      </c>
      <c r="AG129" s="538">
        <f t="shared" si="221"/>
        <v>0.15482894736842101</v>
      </c>
      <c r="AI129" s="177">
        <f t="shared" si="222"/>
        <v>0.90837374309413921</v>
      </c>
      <c r="AJ129" s="177">
        <f t="shared" si="223"/>
        <v>0.90837374309413921</v>
      </c>
      <c r="AK129" s="177">
        <f t="shared" si="224"/>
        <v>1.2589158287294262</v>
      </c>
      <c r="AM129" s="555">
        <f t="shared" si="225"/>
        <v>190</v>
      </c>
      <c r="AN129" s="469">
        <f t="shared" si="226"/>
        <v>350</v>
      </c>
      <c r="AP129" s="469">
        <f t="shared" si="227"/>
        <v>190</v>
      </c>
      <c r="AQ129" s="469">
        <f t="shared" si="228"/>
        <v>350</v>
      </c>
      <c r="AS129" s="5">
        <f t="shared" si="175"/>
        <v>2.8571428571428572</v>
      </c>
      <c r="AT129" s="5">
        <f t="shared" si="229"/>
        <v>0.27646157398517274</v>
      </c>
      <c r="AU129" s="5">
        <f t="shared" si="230"/>
        <v>2.5806812831576846</v>
      </c>
      <c r="AV129" s="5"/>
      <c r="AW129" s="177">
        <f t="shared" si="231"/>
        <v>9.676155089481045E-2</v>
      </c>
      <c r="AX129" s="177">
        <f t="shared" si="150"/>
        <v>1.0108000000000001</v>
      </c>
      <c r="AY129" s="177">
        <f t="shared" si="151"/>
        <v>0.82047809092022617</v>
      </c>
      <c r="AZ129" s="177">
        <f t="shared" si="178"/>
        <v>1.2319646449868198</v>
      </c>
      <c r="BA129" s="469">
        <f t="shared" si="232"/>
        <v>101.93868054563885</v>
      </c>
      <c r="BB129" s="469">
        <f t="shared" si="233"/>
        <v>0.8041557370888468</v>
      </c>
      <c r="BC129" s="5">
        <f t="shared" si="258"/>
        <v>9.8697553099830929E-2</v>
      </c>
      <c r="BD129" s="469">
        <f t="shared" si="235"/>
        <v>11.981387531399999</v>
      </c>
      <c r="BF129" s="177">
        <f t="shared" si="179"/>
        <v>0.1631380831963298</v>
      </c>
      <c r="BG129" s="177">
        <f t="shared" si="156"/>
        <v>0.99686224697025516</v>
      </c>
      <c r="BI129" s="538">
        <f t="shared" si="236"/>
        <v>2.9275437607869889E-3</v>
      </c>
      <c r="BJ129" s="538">
        <f t="shared" si="237"/>
        <v>5.3475962255951984E-2</v>
      </c>
      <c r="BK129" s="538">
        <f t="shared" si="238"/>
        <v>1.7499999999999998E-2</v>
      </c>
      <c r="BL129" s="538">
        <f t="shared" si="239"/>
        <v>8.9117405999999996E-2</v>
      </c>
      <c r="BM129">
        <f t="shared" si="240"/>
        <v>6.6699999999999997E-3</v>
      </c>
      <c r="BN129">
        <f t="shared" si="241"/>
        <v>6.3E-5</v>
      </c>
      <c r="BO129" s="538">
        <f t="shared" si="242"/>
        <v>0.17024108305113045</v>
      </c>
      <c r="BP129" s="469">
        <f t="shared" si="243"/>
        <v>169.69091201673896</v>
      </c>
      <c r="BQ129" s="538">
        <f t="shared" si="244"/>
        <v>0.14850130353280239</v>
      </c>
      <c r="BT129" s="469">
        <f t="shared" si="245"/>
        <v>148.50130353280238</v>
      </c>
      <c r="BU129" s="538">
        <f t="shared" si="246"/>
        <v>2.6614034188972625E-3</v>
      </c>
      <c r="BV129" s="538">
        <f t="shared" si="247"/>
        <v>2.9812030183037578E-2</v>
      </c>
      <c r="BW129" s="538">
        <f t="shared" si="248"/>
        <v>0</v>
      </c>
      <c r="BX129" s="538"/>
      <c r="BY129" s="538">
        <f t="shared" si="249"/>
        <v>1.4440000000000003E-2</v>
      </c>
      <c r="BZ129" s="469">
        <f t="shared" si="250"/>
        <v>46.913433601934841</v>
      </c>
      <c r="CA129" s="177">
        <f t="shared" si="251"/>
        <v>0.3651056491514762</v>
      </c>
      <c r="CB129" s="5">
        <f t="shared" si="252"/>
        <v>0.95</v>
      </c>
      <c r="CC129" s="177">
        <f t="shared" si="253"/>
        <v>0.72237542330758964</v>
      </c>
      <c r="CD129" s="5">
        <f t="shared" si="254"/>
        <v>72.23754233075897</v>
      </c>
      <c r="CG129" s="571">
        <f t="shared" si="255"/>
        <v>-50</v>
      </c>
      <c r="CH129">
        <f t="shared" si="256"/>
        <v>-50</v>
      </c>
    </row>
    <row r="130" spans="5:86" x14ac:dyDescent="0.2">
      <c r="E130" s="174">
        <v>20</v>
      </c>
      <c r="F130" s="221">
        <f t="shared" si="257"/>
        <v>0.2</v>
      </c>
      <c r="G130" s="221"/>
      <c r="H130" s="221">
        <f t="shared" si="201"/>
        <v>1</v>
      </c>
      <c r="I130" s="551">
        <f t="shared" si="202"/>
        <v>23</v>
      </c>
      <c r="J130" s="451">
        <f t="shared" si="203"/>
        <v>10.64</v>
      </c>
      <c r="K130" s="451">
        <f t="shared" si="204"/>
        <v>33.64</v>
      </c>
      <c r="L130" s="451"/>
      <c r="M130" s="221">
        <f t="shared" si="205"/>
        <v>0.31629013079667062</v>
      </c>
      <c r="N130" s="176">
        <f t="shared" si="206"/>
        <v>13.744455410225921</v>
      </c>
      <c r="O130" s="176">
        <f t="shared" si="173"/>
        <v>1</v>
      </c>
      <c r="P130" s="221">
        <f t="shared" si="207"/>
        <v>2.7488910820451844</v>
      </c>
      <c r="Q130" s="221">
        <f t="shared" si="208"/>
        <v>5</v>
      </c>
      <c r="R130" s="221"/>
      <c r="S130" s="176">
        <f t="shared" si="209"/>
        <v>200.69330724567655</v>
      </c>
      <c r="T130" s="176">
        <f t="shared" si="210"/>
        <v>5</v>
      </c>
      <c r="U130" s="221">
        <f t="shared" si="211"/>
        <v>0.30547382950128948</v>
      </c>
      <c r="V130" s="221">
        <f t="shared" si="212"/>
        <v>9.2970295935175057E-2</v>
      </c>
      <c r="W130" s="221">
        <f t="shared" si="213"/>
        <v>0.20096962467190096</v>
      </c>
      <c r="X130" s="201">
        <f t="shared" si="214"/>
        <v>350</v>
      </c>
      <c r="Y130" s="451">
        <f t="shared" si="215"/>
        <v>350</v>
      </c>
      <c r="AA130" s="221">
        <f t="shared" si="216"/>
        <v>2.9692542891116021</v>
      </c>
      <c r="AB130" s="177">
        <f t="shared" si="217"/>
        <v>1.9534567691523697</v>
      </c>
      <c r="AC130" s="177">
        <f t="shared" si="218"/>
        <v>2.0301084616399181</v>
      </c>
      <c r="AD130" s="177"/>
      <c r="AE130" s="177">
        <f t="shared" si="219"/>
        <v>0.53947368421052622</v>
      </c>
      <c r="AF130" s="555">
        <f t="shared" si="220"/>
        <v>452.11183819155275</v>
      </c>
      <c r="AG130" s="538">
        <f t="shared" si="221"/>
        <v>0.15482894736842101</v>
      </c>
      <c r="AI130" s="177">
        <f t="shared" si="222"/>
        <v>0.93197179601714808</v>
      </c>
      <c r="AJ130" s="177">
        <f t="shared" si="223"/>
        <v>0.93197179601714808</v>
      </c>
      <c r="AK130" s="177">
        <f t="shared" si="224"/>
        <v>1.274647864011432</v>
      </c>
      <c r="AM130" s="555">
        <f t="shared" si="225"/>
        <v>200</v>
      </c>
      <c r="AN130" s="469">
        <f t="shared" si="226"/>
        <v>350</v>
      </c>
      <c r="AP130" s="469">
        <f t="shared" si="227"/>
        <v>200</v>
      </c>
      <c r="AQ130" s="469">
        <f t="shared" si="228"/>
        <v>350</v>
      </c>
      <c r="AS130" s="5">
        <f t="shared" si="175"/>
        <v>2.8571428571428572</v>
      </c>
      <c r="AT130" s="5">
        <f t="shared" si="229"/>
        <v>0.28364359009217549</v>
      </c>
      <c r="AU130" s="5">
        <f t="shared" si="230"/>
        <v>2.5734992670506815</v>
      </c>
      <c r="AV130" s="5"/>
      <c r="AW130" s="177">
        <f t="shared" si="231"/>
        <v>9.9275256532261422E-2</v>
      </c>
      <c r="AX130" s="177">
        <f t="shared" si="150"/>
        <v>1.0640000000000001</v>
      </c>
      <c r="AY130" s="177">
        <f t="shared" si="151"/>
        <v>0.83945005688671326</v>
      </c>
      <c r="AZ130" s="177">
        <f t="shared" si="178"/>
        <v>1.2674964892444942</v>
      </c>
      <c r="BA130" s="469">
        <f t="shared" si="232"/>
        <v>101.93868054563885</v>
      </c>
      <c r="BB130" s="469">
        <f t="shared" si="233"/>
        <v>0.85945234026465034</v>
      </c>
      <c r="BC130" s="5">
        <f t="shared" si="258"/>
        <v>0.10360303007450407</v>
      </c>
      <c r="BD130" s="469">
        <f t="shared" si="235"/>
        <v>12.577291145172374</v>
      </c>
      <c r="BF130" s="177">
        <f t="shared" si="179"/>
        <v>0.16953628066780804</v>
      </c>
      <c r="BG130" s="177">
        <f t="shared" si="156"/>
        <v>1.0213349285344857</v>
      </c>
      <c r="BI130" s="538">
        <f t="shared" si="236"/>
        <v>3.1616805508941164E-3</v>
      </c>
      <c r="BJ130" s="538">
        <f t="shared" si="237"/>
        <v>5.4865179631529509E-2</v>
      </c>
      <c r="BK130" s="538">
        <f t="shared" si="238"/>
        <v>1.7499999999999998E-2</v>
      </c>
      <c r="BL130" s="538">
        <f t="shared" si="239"/>
        <v>8.9117405999999996E-2</v>
      </c>
      <c r="BM130">
        <f t="shared" si="240"/>
        <v>6.6699999999999997E-3</v>
      </c>
      <c r="BN130">
        <f t="shared" si="241"/>
        <v>6.3E-5</v>
      </c>
      <c r="BO130" s="538">
        <f t="shared" si="242"/>
        <v>0.17190437004356804</v>
      </c>
      <c r="BP130" s="469">
        <f t="shared" si="243"/>
        <v>171.31426618242364</v>
      </c>
      <c r="BQ130" s="538">
        <f t="shared" si="244"/>
        <v>0.15609475276908311</v>
      </c>
      <c r="BT130" s="469">
        <f t="shared" si="245"/>
        <v>156.0947527690831</v>
      </c>
      <c r="BU130" s="538">
        <f t="shared" si="246"/>
        <v>2.8742550462673784E-3</v>
      </c>
      <c r="BV130" s="538">
        <f t="shared" si="247"/>
        <v>3.1293751087336286E-2</v>
      </c>
      <c r="BW130" s="538">
        <f t="shared" si="248"/>
        <v>0</v>
      </c>
      <c r="BX130" s="538"/>
      <c r="BY130" s="538">
        <f t="shared" si="249"/>
        <v>1.5200000000000003E-2</v>
      </c>
      <c r="BZ130" s="469">
        <f t="shared" si="250"/>
        <v>49.368006133603672</v>
      </c>
      <c r="CA130" s="177">
        <f t="shared" si="251"/>
        <v>0.37677702508511041</v>
      </c>
      <c r="CB130" s="5">
        <f t="shared" si="252"/>
        <v>1</v>
      </c>
      <c r="CC130" s="177">
        <f t="shared" si="253"/>
        <v>0.7263340263382021</v>
      </c>
      <c r="CD130" s="5">
        <f t="shared" si="254"/>
        <v>72.633402633820211</v>
      </c>
      <c r="CG130" s="571">
        <f t="shared" si="255"/>
        <v>-50</v>
      </c>
      <c r="CH130">
        <f t="shared" si="256"/>
        <v>-50</v>
      </c>
    </row>
    <row r="131" spans="5:86" x14ac:dyDescent="0.2">
      <c r="E131" s="174">
        <v>21</v>
      </c>
      <c r="F131" s="221">
        <f t="shared" si="257"/>
        <v>0.21</v>
      </c>
      <c r="G131" s="221"/>
      <c r="H131" s="221">
        <f t="shared" si="201"/>
        <v>1.05</v>
      </c>
      <c r="I131" s="551">
        <f t="shared" si="202"/>
        <v>23</v>
      </c>
      <c r="J131" s="451">
        <f t="shared" si="203"/>
        <v>10.64</v>
      </c>
      <c r="K131" s="451">
        <f t="shared" si="204"/>
        <v>33.64</v>
      </c>
      <c r="L131" s="451"/>
      <c r="M131" s="221">
        <f t="shared" si="205"/>
        <v>0.31629013079667062</v>
      </c>
      <c r="N131" s="176">
        <f t="shared" si="206"/>
        <v>13.744455410225921</v>
      </c>
      <c r="O131" s="176">
        <f t="shared" si="173"/>
        <v>1.05</v>
      </c>
      <c r="P131" s="221">
        <f t="shared" si="207"/>
        <v>2.7488910820451844</v>
      </c>
      <c r="Q131" s="221">
        <f t="shared" si="208"/>
        <v>5</v>
      </c>
      <c r="R131" s="221"/>
      <c r="S131" s="176">
        <f t="shared" si="209"/>
        <v>190.59070459897106</v>
      </c>
      <c r="T131" s="176">
        <f t="shared" si="210"/>
        <v>5</v>
      </c>
      <c r="U131" s="221">
        <f t="shared" si="211"/>
        <v>0.32074752097635395</v>
      </c>
      <c r="V131" s="221">
        <f t="shared" si="212"/>
        <v>9.7618810731933806E-2</v>
      </c>
      <c r="W131" s="221">
        <f t="shared" si="213"/>
        <v>0.21101810590549602</v>
      </c>
      <c r="X131" s="201">
        <f t="shared" si="214"/>
        <v>350</v>
      </c>
      <c r="Y131" s="451">
        <f t="shared" si="215"/>
        <v>350</v>
      </c>
      <c r="AA131" s="221">
        <f t="shared" si="216"/>
        <v>2.9692542891116021</v>
      </c>
      <c r="AB131" s="177">
        <f t="shared" si="217"/>
        <v>1.9534567691523697</v>
      </c>
      <c r="AC131" s="177">
        <f t="shared" si="218"/>
        <v>2.0301084616399181</v>
      </c>
      <c r="AD131" s="177"/>
      <c r="AE131" s="177">
        <f t="shared" si="219"/>
        <v>0.53947368421052622</v>
      </c>
      <c r="AF131" s="555">
        <f t="shared" si="220"/>
        <v>474.71743010113033</v>
      </c>
      <c r="AG131" s="538">
        <f t="shared" si="221"/>
        <v>0.15482894736842101</v>
      </c>
      <c r="AI131" s="177">
        <f t="shared" si="222"/>
        <v>0.95498691090506582</v>
      </c>
      <c r="AJ131" s="177">
        <f t="shared" si="223"/>
        <v>0.95498691090506582</v>
      </c>
      <c r="AK131" s="177">
        <f t="shared" si="224"/>
        <v>1.2899912739367105</v>
      </c>
      <c r="AM131" s="555">
        <f t="shared" si="225"/>
        <v>210</v>
      </c>
      <c r="AN131" s="469">
        <f t="shared" si="226"/>
        <v>350</v>
      </c>
      <c r="AP131" s="469">
        <f t="shared" si="227"/>
        <v>210</v>
      </c>
      <c r="AQ131" s="469">
        <f t="shared" si="228"/>
        <v>350</v>
      </c>
      <c r="AS131" s="5">
        <f t="shared" si="175"/>
        <v>2.8571428571428572</v>
      </c>
      <c r="AT131" s="5">
        <f t="shared" si="229"/>
        <v>0.2906481902754548</v>
      </c>
      <c r="AU131" s="5">
        <f t="shared" si="230"/>
        <v>2.5664946668674022</v>
      </c>
      <c r="AV131" s="5"/>
      <c r="AW131" s="177">
        <f t="shared" si="231"/>
        <v>0.10172686659640917</v>
      </c>
      <c r="AX131" s="177">
        <f t="shared" si="150"/>
        <v>1.1172000000000002</v>
      </c>
      <c r="AY131" s="177">
        <f t="shared" si="151"/>
        <v>0.85783908481810933</v>
      </c>
      <c r="AZ131" s="177">
        <f t="shared" si="178"/>
        <v>1.302342152242788</v>
      </c>
      <c r="BA131" s="469">
        <f t="shared" si="232"/>
        <v>101.93868054563885</v>
      </c>
      <c r="BB131" s="469">
        <f t="shared" si="233"/>
        <v>0.91604620514177681</v>
      </c>
      <c r="BC131" s="5">
        <f t="shared" si="258"/>
        <v>0.10848709340623078</v>
      </c>
      <c r="BD131" s="469">
        <f t="shared" si="235"/>
        <v>13.170625121791169</v>
      </c>
      <c r="BF131" s="177">
        <f t="shared" si="179"/>
        <v>0.17585496138951665</v>
      </c>
      <c r="BG131" s="177">
        <f t="shared" si="156"/>
        <v>1.0451316329624545</v>
      </c>
      <c r="BI131" s="538">
        <f t="shared" si="236"/>
        <v>3.4017464189839228E-3</v>
      </c>
      <c r="BJ131" s="538">
        <f t="shared" si="237"/>
        <v>5.6220079444981225E-2</v>
      </c>
      <c r="BK131" s="538">
        <f t="shared" si="238"/>
        <v>1.7499999999999998E-2</v>
      </c>
      <c r="BL131" s="538">
        <f t="shared" si="239"/>
        <v>8.9117405999999996E-2</v>
      </c>
      <c r="BM131">
        <f t="shared" si="240"/>
        <v>6.6699999999999997E-3</v>
      </c>
      <c r="BN131">
        <f t="shared" si="241"/>
        <v>6.3E-5</v>
      </c>
      <c r="BO131" s="538">
        <f t="shared" si="242"/>
        <v>0.17354038543150344</v>
      </c>
      <c r="BP131" s="469">
        <f t="shared" si="243"/>
        <v>172.90923186396515</v>
      </c>
      <c r="BQ131" s="538">
        <f t="shared" si="244"/>
        <v>0.16367172994871376</v>
      </c>
      <c r="BT131" s="469">
        <f t="shared" si="245"/>
        <v>163.67172994871376</v>
      </c>
      <c r="BU131" s="538">
        <f t="shared" si="246"/>
        <v>3.092496744530839E-3</v>
      </c>
      <c r="BV131" s="538">
        <f t="shared" si="247"/>
        <v>3.2769003906563003E-2</v>
      </c>
      <c r="BW131" s="538">
        <f t="shared" si="248"/>
        <v>0</v>
      </c>
      <c r="BX131" s="538"/>
      <c r="BY131" s="538">
        <f t="shared" si="249"/>
        <v>1.5960000000000002E-2</v>
      </c>
      <c r="BZ131" s="469">
        <f t="shared" si="250"/>
        <v>51.821500651093842</v>
      </c>
      <c r="CA131" s="177">
        <f t="shared" si="251"/>
        <v>0.38840246246377275</v>
      </c>
      <c r="CB131" s="5">
        <f t="shared" si="252"/>
        <v>1.05</v>
      </c>
      <c r="CC131" s="177">
        <f t="shared" si="253"/>
        <v>0.72997650337827136</v>
      </c>
      <c r="CD131" s="5">
        <f t="shared" si="254"/>
        <v>72.997650337827139</v>
      </c>
      <c r="CG131" s="571">
        <f t="shared" si="255"/>
        <v>-50</v>
      </c>
      <c r="CH131">
        <f t="shared" si="256"/>
        <v>-50</v>
      </c>
    </row>
    <row r="132" spans="5:86" x14ac:dyDescent="0.2">
      <c r="E132" s="174">
        <v>22</v>
      </c>
      <c r="F132" s="221">
        <f t="shared" si="257"/>
        <v>0.22</v>
      </c>
      <c r="G132" s="221"/>
      <c r="H132" s="221">
        <f t="shared" si="201"/>
        <v>1.1000000000000001</v>
      </c>
      <c r="I132" s="551">
        <f t="shared" si="202"/>
        <v>23</v>
      </c>
      <c r="J132" s="451">
        <f t="shared" si="203"/>
        <v>10.64</v>
      </c>
      <c r="K132" s="451">
        <f t="shared" si="204"/>
        <v>33.64</v>
      </c>
      <c r="L132" s="451"/>
      <c r="M132" s="221">
        <f t="shared" si="205"/>
        <v>0.31629013079667062</v>
      </c>
      <c r="N132" s="176">
        <f t="shared" si="206"/>
        <v>13.744455410225921</v>
      </c>
      <c r="O132" s="176">
        <f t="shared" si="173"/>
        <v>1.1000000000000001</v>
      </c>
      <c r="P132" s="221">
        <f t="shared" si="207"/>
        <v>2.7488910820451844</v>
      </c>
      <c r="Q132" s="221">
        <f t="shared" si="208"/>
        <v>5</v>
      </c>
      <c r="R132" s="221"/>
      <c r="S132" s="176">
        <f t="shared" si="209"/>
        <v>181.40661383484775</v>
      </c>
      <c r="T132" s="176">
        <f t="shared" si="210"/>
        <v>5</v>
      </c>
      <c r="U132" s="221">
        <f t="shared" si="211"/>
        <v>0.33602121245141847</v>
      </c>
      <c r="V132" s="221">
        <f t="shared" si="212"/>
        <v>0.10226732552869258</v>
      </c>
      <c r="W132" s="221">
        <f t="shared" si="213"/>
        <v>0.22106658713909108</v>
      </c>
      <c r="X132" s="201">
        <f t="shared" si="214"/>
        <v>350</v>
      </c>
      <c r="Y132" s="451">
        <f t="shared" si="215"/>
        <v>350</v>
      </c>
      <c r="AA132" s="221">
        <f t="shared" si="216"/>
        <v>2.9692542891116021</v>
      </c>
      <c r="AB132" s="177">
        <f t="shared" si="217"/>
        <v>1.9534567691523697</v>
      </c>
      <c r="AC132" s="177">
        <f t="shared" si="218"/>
        <v>2.0301084616399181</v>
      </c>
      <c r="AD132" s="177"/>
      <c r="AE132" s="177">
        <f t="shared" si="219"/>
        <v>0.53947368421052622</v>
      </c>
      <c r="AF132" s="555">
        <f t="shared" si="220"/>
        <v>497.32302201070797</v>
      </c>
      <c r="AG132" s="538">
        <f t="shared" si="221"/>
        <v>0.15482894736842101</v>
      </c>
      <c r="AI132" s="177">
        <f t="shared" si="222"/>
        <v>0.97746026590781254</v>
      </c>
      <c r="AJ132" s="177">
        <f t="shared" si="223"/>
        <v>0.97746026590781254</v>
      </c>
      <c r="AK132" s="177">
        <f t="shared" si="224"/>
        <v>1.3049735106052083</v>
      </c>
      <c r="AM132" s="555">
        <f t="shared" si="225"/>
        <v>220</v>
      </c>
      <c r="AN132" s="469">
        <f t="shared" si="226"/>
        <v>350</v>
      </c>
      <c r="AP132" s="469">
        <f t="shared" si="227"/>
        <v>220</v>
      </c>
      <c r="AQ132" s="469">
        <f t="shared" si="228"/>
        <v>350</v>
      </c>
      <c r="AS132" s="5">
        <f t="shared" si="175"/>
        <v>2.8571428571428572</v>
      </c>
      <c r="AT132" s="5">
        <f t="shared" si="229"/>
        <v>0.29748790701542116</v>
      </c>
      <c r="AU132" s="5">
        <f t="shared" si="230"/>
        <v>2.5596549501274359</v>
      </c>
      <c r="AV132" s="5"/>
      <c r="AW132" s="177">
        <f t="shared" si="231"/>
        <v>0.1041207674553974</v>
      </c>
      <c r="AX132" s="177">
        <f t="shared" si="150"/>
        <v>1.1704000000000003</v>
      </c>
      <c r="AY132" s="177">
        <f t="shared" si="151"/>
        <v>0.87568635286433427</v>
      </c>
      <c r="AZ132" s="177">
        <f t="shared" si="178"/>
        <v>1.3365516045461594</v>
      </c>
      <c r="BA132" s="469">
        <f t="shared" si="232"/>
        <v>101.93868054563885</v>
      </c>
      <c r="BB132" s="469">
        <f t="shared" si="233"/>
        <v>0.97393733172022678</v>
      </c>
      <c r="BC132" s="5">
        <f t="shared" si="258"/>
        <v>0.1133502594661908</v>
      </c>
      <c r="BD132" s="469">
        <f t="shared" si="235"/>
        <v>13.761451425797969</v>
      </c>
      <c r="BF132" s="177">
        <f t="shared" si="179"/>
        <v>0.18209883406725122</v>
      </c>
      <c r="BG132" s="177">
        <f t="shared" si="156"/>
        <v>1.0682999674389928</v>
      </c>
      <c r="BI132" s="538">
        <f t="shared" si="236"/>
        <v>3.6475983905517521E-3</v>
      </c>
      <c r="BJ132" s="538">
        <f t="shared" si="237"/>
        <v>5.7543085853992926E-2</v>
      </c>
      <c r="BK132" s="538">
        <f t="shared" si="238"/>
        <v>1.7499999999999998E-2</v>
      </c>
      <c r="BL132" s="538">
        <f t="shared" si="239"/>
        <v>8.9117405999999996E-2</v>
      </c>
      <c r="BM132">
        <f t="shared" si="240"/>
        <v>6.6699999999999997E-3</v>
      </c>
      <c r="BN132">
        <f t="shared" si="241"/>
        <v>6.3E-5</v>
      </c>
      <c r="BO132" s="538">
        <f t="shared" si="242"/>
        <v>0.17515138974286137</v>
      </c>
      <c r="BP132" s="469">
        <f t="shared" si="243"/>
        <v>174.47809024454469</v>
      </c>
      <c r="BQ132" s="538">
        <f t="shared" si="244"/>
        <v>0.17123263228086372</v>
      </c>
      <c r="BT132" s="469">
        <f t="shared" si="245"/>
        <v>171.23263228086373</v>
      </c>
      <c r="BU132" s="538">
        <f t="shared" si="246"/>
        <v>3.3159985368652295E-3</v>
      </c>
      <c r="BV132" s="538">
        <f t="shared" si="247"/>
        <v>3.4237944612904588E-2</v>
      </c>
      <c r="BW132" s="538">
        <f t="shared" si="248"/>
        <v>0</v>
      </c>
      <c r="BX132" s="538"/>
      <c r="BY132" s="538">
        <f t="shared" si="249"/>
        <v>1.6720000000000006E-2</v>
      </c>
      <c r="BZ132" s="469">
        <f t="shared" si="250"/>
        <v>54.273943149769821</v>
      </c>
      <c r="CA132" s="177">
        <f t="shared" si="251"/>
        <v>0.39998466567517821</v>
      </c>
      <c r="CB132" s="5">
        <f t="shared" si="252"/>
        <v>1.1000000000000001</v>
      </c>
      <c r="CC132" s="177">
        <f t="shared" si="253"/>
        <v>0.73334083019099683</v>
      </c>
      <c r="CD132" s="5">
        <f t="shared" si="254"/>
        <v>73.33408301909968</v>
      </c>
      <c r="CG132" s="571">
        <f t="shared" si="255"/>
        <v>-50</v>
      </c>
      <c r="CH132">
        <f t="shared" si="256"/>
        <v>-50</v>
      </c>
    </row>
    <row r="133" spans="5:86" x14ac:dyDescent="0.2">
      <c r="E133" s="174">
        <v>23</v>
      </c>
      <c r="F133" s="221">
        <f t="shared" si="257"/>
        <v>0.23</v>
      </c>
      <c r="G133" s="221"/>
      <c r="H133" s="221">
        <f t="shared" si="201"/>
        <v>1.1500000000000001</v>
      </c>
      <c r="I133" s="551">
        <f t="shared" si="202"/>
        <v>23</v>
      </c>
      <c r="J133" s="451">
        <f t="shared" si="203"/>
        <v>10.64</v>
      </c>
      <c r="K133" s="451">
        <f t="shared" si="204"/>
        <v>33.64</v>
      </c>
      <c r="L133" s="451"/>
      <c r="M133" s="221">
        <f t="shared" si="205"/>
        <v>0.31629013079667062</v>
      </c>
      <c r="N133" s="176">
        <f t="shared" si="206"/>
        <v>13.744455410225921</v>
      </c>
      <c r="O133" s="176">
        <f t="shared" si="173"/>
        <v>1.1500000000000001</v>
      </c>
      <c r="P133" s="221">
        <f t="shared" si="207"/>
        <v>2.7488910820451844</v>
      </c>
      <c r="Q133" s="221">
        <f t="shared" si="208"/>
        <v>5</v>
      </c>
      <c r="R133" s="221"/>
      <c r="S133" s="176">
        <f t="shared" si="209"/>
        <v>173.02122980207423</v>
      </c>
      <c r="T133" s="176">
        <f t="shared" si="210"/>
        <v>5</v>
      </c>
      <c r="U133" s="221">
        <f t="shared" si="211"/>
        <v>0.35129490392648294</v>
      </c>
      <c r="V133" s="221">
        <f t="shared" si="212"/>
        <v>0.10691584032545133</v>
      </c>
      <c r="W133" s="221">
        <f t="shared" si="213"/>
        <v>0.23111506837268614</v>
      </c>
      <c r="X133" s="201">
        <f t="shared" si="214"/>
        <v>350</v>
      </c>
      <c r="Y133" s="451">
        <f t="shared" si="215"/>
        <v>350</v>
      </c>
      <c r="AA133" s="221">
        <f t="shared" si="216"/>
        <v>2.9692542891116021</v>
      </c>
      <c r="AB133" s="177">
        <f t="shared" si="217"/>
        <v>1.9534567691523697</v>
      </c>
      <c r="AC133" s="177">
        <f t="shared" si="218"/>
        <v>2.0301084616399181</v>
      </c>
      <c r="AD133" s="177"/>
      <c r="AE133" s="177">
        <f t="shared" si="219"/>
        <v>0.53947368421052622</v>
      </c>
      <c r="AF133" s="555">
        <f t="shared" si="220"/>
        <v>519.92861392028567</v>
      </c>
      <c r="AG133" s="538">
        <f t="shared" si="221"/>
        <v>0.15482894736842101</v>
      </c>
      <c r="AI133" s="177">
        <f t="shared" si="222"/>
        <v>0.99942840806990418</v>
      </c>
      <c r="AJ133" s="177">
        <f t="shared" si="223"/>
        <v>0.99942840806990418</v>
      </c>
      <c r="AK133" s="177">
        <f t="shared" si="224"/>
        <v>1.3196189387132695</v>
      </c>
      <c r="AM133" s="555">
        <f t="shared" si="225"/>
        <v>230</v>
      </c>
      <c r="AN133" s="469">
        <f t="shared" si="226"/>
        <v>350</v>
      </c>
      <c r="AP133" s="469">
        <f t="shared" si="227"/>
        <v>230</v>
      </c>
      <c r="AQ133" s="469">
        <f t="shared" si="228"/>
        <v>350</v>
      </c>
      <c r="AS133" s="5">
        <f t="shared" si="175"/>
        <v>2.8571428571428572</v>
      </c>
      <c r="AT133" s="5">
        <f t="shared" si="229"/>
        <v>0.30417386332562302</v>
      </c>
      <c r="AU133" s="5">
        <f t="shared" si="230"/>
        <v>2.5529689938172342</v>
      </c>
      <c r="AV133" s="5"/>
      <c r="AW133" s="177">
        <f t="shared" si="231"/>
        <v>0.10646085216396806</v>
      </c>
      <c r="AX133" s="177">
        <f t="shared" ref="AX133:AX196" si="259">0.5*L*AJ133^2*AN133*1000</f>
        <v>1.2236</v>
      </c>
      <c r="AY133" s="177">
        <f t="shared" ref="AY133:AY196" si="260">AJ133*Nps/2*(1-AW133)</f>
        <v>0.89302840806990413</v>
      </c>
      <c r="AZ133" s="177">
        <f t="shared" si="178"/>
        <v>1.3701691782062766</v>
      </c>
      <c r="BA133" s="469">
        <f t="shared" si="232"/>
        <v>101.93868054563885</v>
      </c>
      <c r="BB133" s="469">
        <f t="shared" si="233"/>
        <v>1.0331257199999999</v>
      </c>
      <c r="BC133" s="5">
        <f t="shared" si="258"/>
        <v>0.11819300897302008</v>
      </c>
      <c r="BD133" s="469">
        <f t="shared" si="235"/>
        <v>14.34982774342908</v>
      </c>
      <c r="BF133" s="177">
        <f t="shared" si="179"/>
        <v>0.18827212806523594</v>
      </c>
      <c r="BG133" s="177">
        <f t="shared" ref="BG133:BG196" si="261">AJ133*Nps*SQRT((1-AW133)/3)</f>
        <v>1.0908821874907819</v>
      </c>
      <c r="BI133" s="538">
        <f t="shared" si="236"/>
        <v>3.899103362683386E-3</v>
      </c>
      <c r="BJ133" s="538">
        <f t="shared" si="237"/>
        <v>5.8836350383075262E-2</v>
      </c>
      <c r="BK133" s="538">
        <f t="shared" si="238"/>
        <v>1.7499999999999998E-2</v>
      </c>
      <c r="BL133" s="538">
        <f t="shared" si="239"/>
        <v>8.9117405999999996E-2</v>
      </c>
      <c r="BM133">
        <f t="shared" si="240"/>
        <v>6.6699999999999997E-3</v>
      </c>
      <c r="BN133">
        <f t="shared" si="241"/>
        <v>6.3E-5</v>
      </c>
      <c r="BO133" s="538">
        <f t="shared" si="242"/>
        <v>0.17673938228432093</v>
      </c>
      <c r="BP133" s="469">
        <f t="shared" si="243"/>
        <v>176.02285974575867</v>
      </c>
      <c r="BQ133" s="538">
        <f t="shared" si="244"/>
        <v>0.17877782954962906</v>
      </c>
      <c r="BT133" s="469">
        <f t="shared" si="245"/>
        <v>178.77782954962908</v>
      </c>
      <c r="BU133" s="538">
        <f t="shared" si="246"/>
        <v>3.5446394206212605E-3</v>
      </c>
      <c r="BV133" s="538">
        <f t="shared" si="247"/>
        <v>3.57007184095402E-2</v>
      </c>
      <c r="BW133" s="538">
        <f t="shared" si="248"/>
        <v>0</v>
      </c>
      <c r="BX133" s="538"/>
      <c r="BY133" s="538">
        <f t="shared" si="249"/>
        <v>1.7480000000000002E-2</v>
      </c>
      <c r="BZ133" s="469">
        <f t="shared" si="250"/>
        <v>56.725357830161464</v>
      </c>
      <c r="CA133" s="177">
        <f t="shared" si="251"/>
        <v>0.41152604712554919</v>
      </c>
      <c r="CB133" s="5">
        <f t="shared" si="252"/>
        <v>1.1500000000000001</v>
      </c>
      <c r="CC133" s="177">
        <f t="shared" si="253"/>
        <v>0.73645905690584879</v>
      </c>
      <c r="CD133" s="5">
        <f t="shared" si="254"/>
        <v>73.645905690584883</v>
      </c>
      <c r="CG133" s="571">
        <f t="shared" si="255"/>
        <v>-50</v>
      </c>
      <c r="CH133">
        <f t="shared" si="256"/>
        <v>-50</v>
      </c>
    </row>
    <row r="134" spans="5:86" x14ac:dyDescent="0.2">
      <c r="E134" s="174">
        <v>24</v>
      </c>
      <c r="F134" s="221">
        <f t="shared" si="257"/>
        <v>0.24</v>
      </c>
      <c r="G134" s="221"/>
      <c r="H134" s="221">
        <f t="shared" si="201"/>
        <v>1.2</v>
      </c>
      <c r="I134" s="551">
        <f t="shared" si="202"/>
        <v>23</v>
      </c>
      <c r="J134" s="451">
        <f t="shared" si="203"/>
        <v>10.64</v>
      </c>
      <c r="K134" s="451">
        <f t="shared" si="204"/>
        <v>33.64</v>
      </c>
      <c r="L134" s="451"/>
      <c r="M134" s="221">
        <f t="shared" si="205"/>
        <v>0.31629013079667062</v>
      </c>
      <c r="N134" s="176">
        <f t="shared" si="206"/>
        <v>13.744455410225921</v>
      </c>
      <c r="O134" s="176">
        <f t="shared" ref="O134:O197" si="262">T134*F134</f>
        <v>1.2</v>
      </c>
      <c r="P134" s="221">
        <f t="shared" si="207"/>
        <v>2.7488910820451844</v>
      </c>
      <c r="Q134" s="221">
        <f t="shared" si="208"/>
        <v>5</v>
      </c>
      <c r="R134" s="221"/>
      <c r="S134" s="176">
        <f t="shared" si="209"/>
        <v>165.33471488233894</v>
      </c>
      <c r="T134" s="176">
        <f t="shared" si="210"/>
        <v>5</v>
      </c>
      <c r="U134" s="221">
        <f t="shared" si="211"/>
        <v>0.36656859540154735</v>
      </c>
      <c r="V134" s="221">
        <f t="shared" si="212"/>
        <v>0.11156435512221005</v>
      </c>
      <c r="W134" s="221">
        <f t="shared" si="213"/>
        <v>0.24116354960628111</v>
      </c>
      <c r="X134" s="201">
        <f t="shared" si="214"/>
        <v>350</v>
      </c>
      <c r="Y134" s="451">
        <f t="shared" si="215"/>
        <v>350</v>
      </c>
      <c r="AA134" s="221">
        <f t="shared" si="216"/>
        <v>2.9692542891116021</v>
      </c>
      <c r="AB134" s="177">
        <f t="shared" si="217"/>
        <v>1.9534567691523697</v>
      </c>
      <c r="AC134" s="177">
        <f t="shared" si="218"/>
        <v>2.0301084616399181</v>
      </c>
      <c r="AD134" s="177"/>
      <c r="AE134" s="177">
        <f t="shared" si="219"/>
        <v>0.53947368421052622</v>
      </c>
      <c r="AF134" s="555">
        <f t="shared" si="220"/>
        <v>542.53420582986325</v>
      </c>
      <c r="AG134" s="538">
        <f t="shared" si="221"/>
        <v>0.15482894736842101</v>
      </c>
      <c r="AI134" s="177">
        <f t="shared" si="222"/>
        <v>1.0209239512743906</v>
      </c>
      <c r="AJ134" s="177">
        <f t="shared" si="223"/>
        <v>1.0209239512743906</v>
      </c>
      <c r="AK134" s="177">
        <f t="shared" si="224"/>
        <v>1.3339493008495937</v>
      </c>
      <c r="AM134" s="555">
        <f t="shared" si="225"/>
        <v>240</v>
      </c>
      <c r="AN134" s="469">
        <f t="shared" si="226"/>
        <v>350</v>
      </c>
      <c r="AP134" s="469">
        <f t="shared" si="227"/>
        <v>240</v>
      </c>
      <c r="AQ134" s="469">
        <f t="shared" si="228"/>
        <v>350</v>
      </c>
      <c r="AS134" s="5">
        <f t="shared" ref="AS134:AS197" si="263">1/AN134*1000</f>
        <v>2.8571428571428572</v>
      </c>
      <c r="AT134" s="5">
        <f t="shared" si="229"/>
        <v>0.31071598517046672</v>
      </c>
      <c r="AU134" s="5">
        <f t="shared" si="230"/>
        <v>2.5464268719723906</v>
      </c>
      <c r="AV134" s="5"/>
      <c r="AW134" s="177">
        <f t="shared" si="231"/>
        <v>0.10875059480966336</v>
      </c>
      <c r="AX134" s="177">
        <f t="shared" si="259"/>
        <v>1.2767999999999999</v>
      </c>
      <c r="AY134" s="177">
        <f t="shared" si="260"/>
        <v>0.9098978643178689</v>
      </c>
      <c r="AZ134" s="177">
        <f t="shared" ref="AZ134:AZ197" si="264">AX134/AY134</f>
        <v>1.4032344179169931</v>
      </c>
      <c r="BA134" s="469">
        <f t="shared" si="232"/>
        <v>101.93868054563885</v>
      </c>
      <c r="BB134" s="469">
        <f t="shared" si="233"/>
        <v>1.0936113699810961</v>
      </c>
      <c r="BC134" s="5">
        <f t="shared" si="258"/>
        <v>0.12301579091654058</v>
      </c>
      <c r="BD134" s="469">
        <f t="shared" si="235"/>
        <v>14.935807953463131</v>
      </c>
      <c r="BF134" s="177">
        <f t="shared" ref="BF134:BF197" si="265">AJ134*SQRT(AW134/3)</f>
        <v>0.19437866085743247</v>
      </c>
      <c r="BG134" s="177">
        <f t="shared" si="261"/>
        <v>1.1129160033566643</v>
      </c>
      <c r="BI134" s="538">
        <f t="shared" si="236"/>
        <v>4.1561370176401626E-3</v>
      </c>
      <c r="BJ134" s="538">
        <f t="shared" si="237"/>
        <v>6.0101793011523373E-2</v>
      </c>
      <c r="BK134" s="538">
        <f t="shared" si="238"/>
        <v>1.7499999999999998E-2</v>
      </c>
      <c r="BL134" s="538">
        <f t="shared" si="239"/>
        <v>8.9117405999999996E-2</v>
      </c>
      <c r="BM134">
        <f t="shared" si="240"/>
        <v>6.6699999999999997E-3</v>
      </c>
      <c r="BN134">
        <f t="shared" si="241"/>
        <v>6.3E-5</v>
      </c>
      <c r="BO134" s="538">
        <f t="shared" si="242"/>
        <v>0.17830614097346839</v>
      </c>
      <c r="BP134" s="469">
        <f t="shared" si="243"/>
        <v>177.54533602916356</v>
      </c>
      <c r="BQ134" s="538">
        <f t="shared" si="244"/>
        <v>0.18630766713229116</v>
      </c>
      <c r="BT134" s="469">
        <f t="shared" si="245"/>
        <v>186.30766713229116</v>
      </c>
      <c r="BU134" s="538">
        <f t="shared" si="246"/>
        <v>3.7783063796728751E-3</v>
      </c>
      <c r="BV134" s="538">
        <f t="shared" si="247"/>
        <v>3.7157460915821124E-2</v>
      </c>
      <c r="BW134" s="538">
        <f t="shared" si="248"/>
        <v>0</v>
      </c>
      <c r="BX134" s="538"/>
      <c r="BY134" s="538">
        <f t="shared" si="249"/>
        <v>1.8240000000000003E-2</v>
      </c>
      <c r="BZ134" s="469">
        <f t="shared" si="250"/>
        <v>59.175767295494012</v>
      </c>
      <c r="CA134" s="177">
        <f t="shared" si="251"/>
        <v>0.4230287704569487</v>
      </c>
      <c r="CB134" s="5">
        <f t="shared" si="252"/>
        <v>1.2</v>
      </c>
      <c r="CC134" s="177">
        <f t="shared" si="253"/>
        <v>0.73935842780048266</v>
      </c>
      <c r="CD134" s="5">
        <f t="shared" si="254"/>
        <v>73.935842780048262</v>
      </c>
      <c r="CG134" s="571">
        <f t="shared" si="255"/>
        <v>-50</v>
      </c>
      <c r="CH134">
        <f t="shared" si="256"/>
        <v>-50</v>
      </c>
    </row>
    <row r="135" spans="5:86" x14ac:dyDescent="0.2">
      <c r="E135" s="174">
        <v>25</v>
      </c>
      <c r="F135" s="221">
        <f t="shared" si="257"/>
        <v>0.25</v>
      </c>
      <c r="G135" s="221"/>
      <c r="H135" s="221">
        <f t="shared" si="201"/>
        <v>1.25</v>
      </c>
      <c r="I135" s="551">
        <f t="shared" si="202"/>
        <v>23</v>
      </c>
      <c r="J135" s="451">
        <f t="shared" si="203"/>
        <v>10.64</v>
      </c>
      <c r="K135" s="451">
        <f t="shared" si="204"/>
        <v>33.64</v>
      </c>
      <c r="L135" s="451"/>
      <c r="M135" s="221">
        <f t="shared" si="205"/>
        <v>0.31629013079667062</v>
      </c>
      <c r="N135" s="176">
        <f t="shared" si="206"/>
        <v>13.744455410225921</v>
      </c>
      <c r="O135" s="176">
        <f t="shared" si="262"/>
        <v>1.25</v>
      </c>
      <c r="P135" s="221">
        <f t="shared" si="207"/>
        <v>2.7488910820451844</v>
      </c>
      <c r="Q135" s="221">
        <f t="shared" si="208"/>
        <v>5</v>
      </c>
      <c r="R135" s="221"/>
      <c r="S135" s="176">
        <f t="shared" si="209"/>
        <v>158.26320548376339</v>
      </c>
      <c r="T135" s="176">
        <f t="shared" si="210"/>
        <v>5</v>
      </c>
      <c r="U135" s="221">
        <f t="shared" si="211"/>
        <v>0.38184228687661187</v>
      </c>
      <c r="V135" s="221">
        <f t="shared" si="212"/>
        <v>0.11621286991896883</v>
      </c>
      <c r="W135" s="221">
        <f t="shared" si="213"/>
        <v>0.2512120308398762</v>
      </c>
      <c r="X135" s="201">
        <f t="shared" si="214"/>
        <v>350</v>
      </c>
      <c r="Y135" s="451">
        <f t="shared" si="215"/>
        <v>350</v>
      </c>
      <c r="AA135" s="221">
        <f t="shared" si="216"/>
        <v>2.9692542891116021</v>
      </c>
      <c r="AB135" s="177">
        <f t="shared" si="217"/>
        <v>1.9534567691523697</v>
      </c>
      <c r="AC135" s="177">
        <f t="shared" si="218"/>
        <v>2.0301084616399181</v>
      </c>
      <c r="AD135" s="177"/>
      <c r="AE135" s="177">
        <f t="shared" si="219"/>
        <v>0.53947368421052622</v>
      </c>
      <c r="AF135" s="555">
        <f t="shared" si="220"/>
        <v>565.13979773944095</v>
      </c>
      <c r="AG135" s="538">
        <f t="shared" si="221"/>
        <v>0.15482894736842101</v>
      </c>
      <c r="AI135" s="177">
        <f t="shared" si="222"/>
        <v>1.0419761445034554</v>
      </c>
      <c r="AJ135" s="177">
        <f t="shared" si="223"/>
        <v>1.0419761445034554</v>
      </c>
      <c r="AK135" s="177">
        <f t="shared" si="224"/>
        <v>1.3479840963356369</v>
      </c>
      <c r="AM135" s="555">
        <f t="shared" si="225"/>
        <v>250</v>
      </c>
      <c r="AN135" s="469">
        <f t="shared" si="226"/>
        <v>350</v>
      </c>
      <c r="AP135" s="469">
        <f t="shared" si="227"/>
        <v>250</v>
      </c>
      <c r="AQ135" s="469">
        <f t="shared" si="228"/>
        <v>350</v>
      </c>
      <c r="AS135" s="5">
        <f t="shared" si="263"/>
        <v>2.8571428571428572</v>
      </c>
      <c r="AT135" s="5">
        <f t="shared" si="229"/>
        <v>0.31712317441409515</v>
      </c>
      <c r="AU135" s="5">
        <f t="shared" si="230"/>
        <v>2.540019682728762</v>
      </c>
      <c r="AV135" s="5"/>
      <c r="AW135" s="177">
        <f t="shared" si="231"/>
        <v>0.1109931110449333</v>
      </c>
      <c r="AX135" s="177">
        <f t="shared" si="259"/>
        <v>1.3300000000000003</v>
      </c>
      <c r="AY135" s="177">
        <f t="shared" si="260"/>
        <v>0.92632397059041194</v>
      </c>
      <c r="AZ135" s="177">
        <f t="shared" si="264"/>
        <v>1.4357827738736988</v>
      </c>
      <c r="BA135" s="469">
        <f t="shared" si="232"/>
        <v>101.93868054563885</v>
      </c>
      <c r="BB135" s="469">
        <f t="shared" si="233"/>
        <v>1.1553942816635159</v>
      </c>
      <c r="BC135" s="5">
        <f t="shared" si="258"/>
        <v>0.12781902590221225</v>
      </c>
      <c r="BD135" s="469">
        <f t="shared" si="235"/>
        <v>15.519442528555325</v>
      </c>
      <c r="BF135" s="177">
        <f t="shared" si="265"/>
        <v>0.20042189357898349</v>
      </c>
      <c r="BG135" s="177">
        <f t="shared" si="261"/>
        <v>1.1344352365454391</v>
      </c>
      <c r="BI135" s="538">
        <f t="shared" si="236"/>
        <v>4.4185828968363924E-3</v>
      </c>
      <c r="BJ135" s="538">
        <f t="shared" si="237"/>
        <v>6.1341135626918425E-2</v>
      </c>
      <c r="BK135" s="538">
        <f t="shared" si="238"/>
        <v>1.7499999999999998E-2</v>
      </c>
      <c r="BL135" s="538">
        <f t="shared" si="239"/>
        <v>8.9117405999999996E-2</v>
      </c>
      <c r="BM135">
        <f t="shared" si="240"/>
        <v>6.6699999999999997E-3</v>
      </c>
      <c r="BN135">
        <f t="shared" si="241"/>
        <v>6.3E-5</v>
      </c>
      <c r="BO135" s="538">
        <f t="shared" si="242"/>
        <v>0.1798532547218922</v>
      </c>
      <c r="BP135" s="469">
        <f t="shared" si="243"/>
        <v>179.04712452375483</v>
      </c>
      <c r="BQ135" s="538">
        <f t="shared" si="244"/>
        <v>0.19382246857197527</v>
      </c>
      <c r="BT135" s="469">
        <f t="shared" si="245"/>
        <v>193.82246857197526</v>
      </c>
      <c r="BU135" s="538">
        <f t="shared" si="246"/>
        <v>4.0168935425785382E-3</v>
      </c>
      <c r="BV135" s="538">
        <f t="shared" si="247"/>
        <v>3.8608299177477191E-2</v>
      </c>
      <c r="BW135" s="538">
        <f t="shared" si="248"/>
        <v>0</v>
      </c>
      <c r="BX135" s="538"/>
      <c r="BY135" s="538">
        <f t="shared" si="249"/>
        <v>1.9000000000000003E-2</v>
      </c>
      <c r="BZ135" s="469">
        <f t="shared" si="250"/>
        <v>61.625192720055736</v>
      </c>
      <c r="CA135" s="177">
        <f t="shared" si="251"/>
        <v>0.43449478581578588</v>
      </c>
      <c r="CB135" s="5">
        <f t="shared" si="252"/>
        <v>1.25</v>
      </c>
      <c r="CC135" s="177">
        <f t="shared" si="253"/>
        <v>0.74206225541662096</v>
      </c>
      <c r="CD135" s="5">
        <f t="shared" si="254"/>
        <v>74.206225541662093</v>
      </c>
      <c r="CG135" s="571">
        <f t="shared" si="255"/>
        <v>-50</v>
      </c>
      <c r="CH135">
        <f t="shared" si="256"/>
        <v>-50</v>
      </c>
    </row>
    <row r="136" spans="5:86" x14ac:dyDescent="0.2">
      <c r="E136" s="174">
        <v>26</v>
      </c>
      <c r="F136" s="221">
        <f t="shared" si="257"/>
        <v>0.26</v>
      </c>
      <c r="G136" s="221"/>
      <c r="H136" s="221">
        <f t="shared" si="201"/>
        <v>1.3</v>
      </c>
      <c r="I136" s="551">
        <f t="shared" si="202"/>
        <v>23</v>
      </c>
      <c r="J136" s="451">
        <f t="shared" si="203"/>
        <v>10.64</v>
      </c>
      <c r="K136" s="451">
        <f t="shared" si="204"/>
        <v>33.64</v>
      </c>
      <c r="L136" s="451"/>
      <c r="M136" s="221">
        <f t="shared" si="205"/>
        <v>0.31629013079667062</v>
      </c>
      <c r="N136" s="176">
        <f t="shared" si="206"/>
        <v>13.744455410225921</v>
      </c>
      <c r="O136" s="176">
        <f t="shared" si="262"/>
        <v>1.3</v>
      </c>
      <c r="P136" s="221">
        <f t="shared" si="207"/>
        <v>2.7488910820451844</v>
      </c>
      <c r="Q136" s="221">
        <f t="shared" si="208"/>
        <v>5</v>
      </c>
      <c r="R136" s="221"/>
      <c r="S136" s="176">
        <f t="shared" si="209"/>
        <v>151.73574011283597</v>
      </c>
      <c r="T136" s="176">
        <f t="shared" si="210"/>
        <v>5</v>
      </c>
      <c r="U136" s="221">
        <f t="shared" si="211"/>
        <v>0.39711597835167634</v>
      </c>
      <c r="V136" s="221">
        <f t="shared" si="212"/>
        <v>0.12086138471572759</v>
      </c>
      <c r="W136" s="221">
        <f t="shared" si="213"/>
        <v>0.26126051207347128</v>
      </c>
      <c r="X136" s="201">
        <f t="shared" si="214"/>
        <v>350</v>
      </c>
      <c r="Y136" s="451">
        <f t="shared" si="215"/>
        <v>350</v>
      </c>
      <c r="AA136" s="221">
        <f t="shared" si="216"/>
        <v>2.9692542891116021</v>
      </c>
      <c r="AB136" s="177">
        <f t="shared" si="217"/>
        <v>1.9534567691523697</v>
      </c>
      <c r="AC136" s="177">
        <f t="shared" si="218"/>
        <v>2.0301084616399181</v>
      </c>
      <c r="AD136" s="177"/>
      <c r="AE136" s="177">
        <f t="shared" si="219"/>
        <v>0.53947368421052622</v>
      </c>
      <c r="AF136" s="555">
        <f t="shared" si="220"/>
        <v>587.74538964901853</v>
      </c>
      <c r="AG136" s="538">
        <f t="shared" si="221"/>
        <v>0.15482894736842101</v>
      </c>
      <c r="AI136" s="177">
        <f t="shared" si="222"/>
        <v>1.0626113387042591</v>
      </c>
      <c r="AJ136" s="177">
        <f t="shared" si="223"/>
        <v>1.0626113387042591</v>
      </c>
      <c r="AK136" s="177">
        <f t="shared" si="224"/>
        <v>1.361740892469506</v>
      </c>
      <c r="AM136" s="555">
        <f t="shared" si="225"/>
        <v>260</v>
      </c>
      <c r="AN136" s="469">
        <f t="shared" si="226"/>
        <v>350</v>
      </c>
      <c r="AP136" s="469">
        <f t="shared" si="227"/>
        <v>260</v>
      </c>
      <c r="AQ136" s="469">
        <f t="shared" si="228"/>
        <v>350</v>
      </c>
      <c r="AS136" s="5">
        <f t="shared" si="263"/>
        <v>2.8571428571428572</v>
      </c>
      <c r="AT136" s="5">
        <f t="shared" si="229"/>
        <v>0.32340345090999184</v>
      </c>
      <c r="AU136" s="5">
        <f t="shared" si="230"/>
        <v>2.5337394062328653</v>
      </c>
      <c r="AV136" s="5"/>
      <c r="AW136" s="177">
        <f t="shared" si="231"/>
        <v>0.11319120781849715</v>
      </c>
      <c r="AX136" s="177">
        <f t="shared" si="259"/>
        <v>1.3832000000000007</v>
      </c>
      <c r="AY136" s="177">
        <f t="shared" si="260"/>
        <v>0.94233307783469389</v>
      </c>
      <c r="AZ136" s="177">
        <f t="shared" si="264"/>
        <v>1.467846170887195</v>
      </c>
      <c r="BA136" s="469">
        <f t="shared" si="232"/>
        <v>101.93868054563885</v>
      </c>
      <c r="BB136" s="469">
        <f t="shared" si="233"/>
        <v>1.2184744550472588</v>
      </c>
      <c r="BC136" s="5">
        <f t="shared" si="258"/>
        <v>0.1326031090218488</v>
      </c>
      <c r="BD136" s="469">
        <f t="shared" si="235"/>
        <v>16.100778879723308</v>
      </c>
      <c r="BF136" s="177">
        <f t="shared" si="265"/>
        <v>0.20640497716837228</v>
      </c>
      <c r="BG136" s="177">
        <f t="shared" si="261"/>
        <v>1.1554703592582136</v>
      </c>
      <c r="BI136" s="538">
        <f t="shared" si="236"/>
        <v>4.6863316059863915E-3</v>
      </c>
      <c r="BJ136" s="538">
        <f t="shared" si="237"/>
        <v>6.2555929509519742E-2</v>
      </c>
      <c r="BK136" s="538">
        <f t="shared" si="238"/>
        <v>1.7499999999999998E-2</v>
      </c>
      <c r="BL136" s="538">
        <f t="shared" si="239"/>
        <v>8.9117405999999996E-2</v>
      </c>
      <c r="BM136">
        <f t="shared" si="240"/>
        <v>6.6699999999999997E-3</v>
      </c>
      <c r="BN136">
        <f t="shared" si="241"/>
        <v>6.3E-5</v>
      </c>
      <c r="BO136" s="538">
        <f t="shared" si="242"/>
        <v>0.18138215000079058</v>
      </c>
      <c r="BP136" s="469">
        <f t="shared" si="243"/>
        <v>180.52966711550613</v>
      </c>
      <c r="BQ136" s="538">
        <f t="shared" si="244"/>
        <v>0.20132253778589693</v>
      </c>
      <c r="BT136" s="469">
        <f t="shared" si="245"/>
        <v>201.32253778589694</v>
      </c>
      <c r="BU136" s="538">
        <f t="shared" si="246"/>
        <v>4.260301459987628E-3</v>
      </c>
      <c r="BV136" s="538">
        <f t="shared" si="247"/>
        <v>4.0053352533729158E-2</v>
      </c>
      <c r="BW136" s="538">
        <f t="shared" si="248"/>
        <v>0</v>
      </c>
      <c r="BX136" s="538"/>
      <c r="BY136" s="538">
        <f t="shared" si="249"/>
        <v>1.976000000000001E-2</v>
      </c>
      <c r="BZ136" s="469">
        <f t="shared" si="250"/>
        <v>64.073653993716803</v>
      </c>
      <c r="CA136" s="177">
        <f t="shared" si="251"/>
        <v>0.44592585889511982</v>
      </c>
      <c r="CB136" s="5">
        <f t="shared" si="252"/>
        <v>1.3</v>
      </c>
      <c r="CC136" s="177">
        <f t="shared" si="253"/>
        <v>0.74459060983419045</v>
      </c>
      <c r="CD136" s="5">
        <f t="shared" si="254"/>
        <v>74.45906098341905</v>
      </c>
      <c r="CG136" s="571">
        <f t="shared" si="255"/>
        <v>-50</v>
      </c>
      <c r="CH136">
        <f t="shared" si="256"/>
        <v>-50</v>
      </c>
    </row>
    <row r="137" spans="5:86" x14ac:dyDescent="0.2">
      <c r="E137" s="174">
        <v>27</v>
      </c>
      <c r="F137" s="221">
        <f t="shared" si="257"/>
        <v>0.27</v>
      </c>
      <c r="G137" s="221"/>
      <c r="H137" s="221">
        <f t="shared" si="201"/>
        <v>1.35</v>
      </c>
      <c r="I137" s="551">
        <f t="shared" si="202"/>
        <v>23</v>
      </c>
      <c r="J137" s="451">
        <f t="shared" si="203"/>
        <v>10.64</v>
      </c>
      <c r="K137" s="451">
        <f t="shared" si="204"/>
        <v>33.64</v>
      </c>
      <c r="L137" s="451"/>
      <c r="M137" s="221">
        <f t="shared" si="205"/>
        <v>0.31629013079667062</v>
      </c>
      <c r="N137" s="176">
        <f t="shared" si="206"/>
        <v>13.744455410225921</v>
      </c>
      <c r="O137" s="176">
        <f t="shared" si="262"/>
        <v>1.35</v>
      </c>
      <c r="P137" s="221">
        <f t="shared" si="207"/>
        <v>2.7488910820451844</v>
      </c>
      <c r="Q137" s="221">
        <f t="shared" si="208"/>
        <v>5</v>
      </c>
      <c r="R137" s="221"/>
      <c r="S137" s="176">
        <f t="shared" si="209"/>
        <v>145.69187009702856</v>
      </c>
      <c r="T137" s="176">
        <f t="shared" si="210"/>
        <v>5</v>
      </c>
      <c r="U137" s="221">
        <f t="shared" si="211"/>
        <v>0.4123896698267408</v>
      </c>
      <c r="V137" s="221">
        <f t="shared" si="212"/>
        <v>0.12550989951248634</v>
      </c>
      <c r="W137" s="221">
        <f t="shared" si="213"/>
        <v>0.27130899330706632</v>
      </c>
      <c r="X137" s="201">
        <f t="shared" si="214"/>
        <v>350</v>
      </c>
      <c r="Y137" s="451">
        <f t="shared" si="215"/>
        <v>350</v>
      </c>
      <c r="AA137" s="221">
        <f t="shared" si="216"/>
        <v>2.9692542891116021</v>
      </c>
      <c r="AB137" s="177">
        <f t="shared" si="217"/>
        <v>1.9534567691523697</v>
      </c>
      <c r="AC137" s="177">
        <f t="shared" si="218"/>
        <v>2.0301084616399181</v>
      </c>
      <c r="AD137" s="177"/>
      <c r="AE137" s="177">
        <f t="shared" si="219"/>
        <v>0.53947368421052622</v>
      </c>
      <c r="AF137" s="555">
        <f t="shared" si="220"/>
        <v>610.35098155859623</v>
      </c>
      <c r="AG137" s="538">
        <f t="shared" si="221"/>
        <v>0.15482894736842101</v>
      </c>
      <c r="AI137" s="177">
        <f t="shared" si="222"/>
        <v>1.0828533735328292</v>
      </c>
      <c r="AJ137" s="177">
        <f t="shared" si="223"/>
        <v>1.0828533735328292</v>
      </c>
      <c r="AK137" s="177">
        <f t="shared" si="224"/>
        <v>1.3752355823552196</v>
      </c>
      <c r="AM137" s="555">
        <f t="shared" si="225"/>
        <v>270</v>
      </c>
      <c r="AN137" s="469">
        <f t="shared" si="226"/>
        <v>350</v>
      </c>
      <c r="AP137" s="469">
        <f t="shared" si="227"/>
        <v>270</v>
      </c>
      <c r="AQ137" s="469">
        <f t="shared" si="228"/>
        <v>350</v>
      </c>
      <c r="AS137" s="5">
        <f t="shared" si="263"/>
        <v>2.8571428571428572</v>
      </c>
      <c r="AT137" s="5">
        <f t="shared" si="229"/>
        <v>0.32956407020564366</v>
      </c>
      <c r="AU137" s="5">
        <f t="shared" si="230"/>
        <v>2.5275787869372137</v>
      </c>
      <c r="AV137" s="5"/>
      <c r="AW137" s="177">
        <f t="shared" si="231"/>
        <v>0.11534742457197528</v>
      </c>
      <c r="AX137" s="177">
        <f t="shared" si="259"/>
        <v>1.4364000000000001</v>
      </c>
      <c r="AY137" s="177">
        <f t="shared" si="260"/>
        <v>0.95794902570674223</v>
      </c>
      <c r="AZ137" s="177">
        <f t="shared" si="264"/>
        <v>1.4994534797300649</v>
      </c>
      <c r="BA137" s="469">
        <f t="shared" si="232"/>
        <v>101.93868054563885</v>
      </c>
      <c r="BB137" s="469">
        <f t="shared" si="233"/>
        <v>1.2828518901323251</v>
      </c>
      <c r="BC137" s="5">
        <f t="shared" si="258"/>
        <v>0.13736841233354419</v>
      </c>
      <c r="BD137" s="469">
        <f t="shared" si="235"/>
        <v>16.67986165393835</v>
      </c>
      <c r="BF137" s="177">
        <f t="shared" si="265"/>
        <v>0.21233079099398669</v>
      </c>
      <c r="BG137" s="177">
        <f t="shared" si="261"/>
        <v>1.1760489412486386</v>
      </c>
      <c r="BI137" s="538">
        <f t="shared" si="236"/>
        <v>4.9592801284545265E-3</v>
      </c>
      <c r="BJ137" s="538">
        <f t="shared" si="237"/>
        <v>6.3747578099877661E-2</v>
      </c>
      <c r="BK137" s="538">
        <f t="shared" si="238"/>
        <v>1.7499999999999998E-2</v>
      </c>
      <c r="BL137" s="538">
        <f t="shared" si="239"/>
        <v>8.9117405999999996E-2</v>
      </c>
      <c r="BM137">
        <f t="shared" si="240"/>
        <v>6.6699999999999997E-3</v>
      </c>
      <c r="BN137">
        <f t="shared" si="241"/>
        <v>6.3E-5</v>
      </c>
      <c r="BO137" s="538">
        <f t="shared" si="242"/>
        <v>0.18289411281487333</v>
      </c>
      <c r="BP137" s="469">
        <f t="shared" si="243"/>
        <v>181.99426422833221</v>
      </c>
      <c r="BQ137" s="538">
        <f t="shared" si="244"/>
        <v>0.20880816097300017</v>
      </c>
      <c r="BT137" s="469">
        <f t="shared" si="245"/>
        <v>208.80816097300018</v>
      </c>
      <c r="BU137" s="538">
        <f t="shared" si="246"/>
        <v>4.508436480413206E-3</v>
      </c>
      <c r="BV137" s="538">
        <f t="shared" si="247"/>
        <v>4.1492733366361313E-2</v>
      </c>
      <c r="BW137" s="538">
        <f t="shared" si="248"/>
        <v>0</v>
      </c>
      <c r="BX137" s="538"/>
      <c r="BY137" s="538">
        <f t="shared" si="249"/>
        <v>2.0520000000000007E-2</v>
      </c>
      <c r="BZ137" s="469">
        <f t="shared" si="250"/>
        <v>66.521169846774526</v>
      </c>
      <c r="CA137" s="177">
        <f t="shared" si="251"/>
        <v>0.45732359504810688</v>
      </c>
      <c r="CB137" s="5">
        <f t="shared" si="252"/>
        <v>1.35</v>
      </c>
      <c r="CC137" s="177">
        <f t="shared" si="253"/>
        <v>0.74696086727295008</v>
      </c>
      <c r="CD137" s="5">
        <f t="shared" si="254"/>
        <v>74.696086727295011</v>
      </c>
      <c r="CG137" s="571">
        <f t="shared" si="255"/>
        <v>-50</v>
      </c>
      <c r="CH137">
        <f t="shared" si="256"/>
        <v>-50</v>
      </c>
    </row>
    <row r="138" spans="5:86" x14ac:dyDescent="0.2">
      <c r="E138" s="174">
        <v>28</v>
      </c>
      <c r="F138" s="221">
        <f t="shared" si="257"/>
        <v>0.28000000000000003</v>
      </c>
      <c r="G138" s="221"/>
      <c r="H138" s="221">
        <f t="shared" si="201"/>
        <v>1.4000000000000001</v>
      </c>
      <c r="I138" s="551">
        <f t="shared" si="202"/>
        <v>23</v>
      </c>
      <c r="J138" s="451">
        <f t="shared" si="203"/>
        <v>10.64</v>
      </c>
      <c r="K138" s="451">
        <f t="shared" si="204"/>
        <v>33.64</v>
      </c>
      <c r="L138" s="451"/>
      <c r="M138" s="221">
        <f t="shared" si="205"/>
        <v>0.31629013079667062</v>
      </c>
      <c r="N138" s="176">
        <f t="shared" si="206"/>
        <v>13.744455410225921</v>
      </c>
      <c r="O138" s="176">
        <f t="shared" si="262"/>
        <v>1.4000000000000001</v>
      </c>
      <c r="P138" s="221">
        <f t="shared" si="207"/>
        <v>2.7488910820451844</v>
      </c>
      <c r="Q138" s="221">
        <f t="shared" si="208"/>
        <v>5</v>
      </c>
      <c r="R138" s="221"/>
      <c r="S138" s="176">
        <f t="shared" si="209"/>
        <v>140.07978229542488</v>
      </c>
      <c r="T138" s="176">
        <f t="shared" si="210"/>
        <v>5</v>
      </c>
      <c r="U138" s="221">
        <f t="shared" si="211"/>
        <v>0.42766336130180532</v>
      </c>
      <c r="V138" s="221">
        <f t="shared" si="212"/>
        <v>0.1301584143092451</v>
      </c>
      <c r="W138" s="221">
        <f t="shared" si="213"/>
        <v>0.28135747454066135</v>
      </c>
      <c r="X138" s="201">
        <f t="shared" si="214"/>
        <v>350</v>
      </c>
      <c r="Y138" s="451">
        <f t="shared" si="215"/>
        <v>350</v>
      </c>
      <c r="AA138" s="221">
        <f t="shared" si="216"/>
        <v>2.9692542891116021</v>
      </c>
      <c r="AB138" s="177">
        <f t="shared" si="217"/>
        <v>1.9534567691523697</v>
      </c>
      <c r="AC138" s="177">
        <f t="shared" si="218"/>
        <v>2.0301084616399181</v>
      </c>
      <c r="AD138" s="177"/>
      <c r="AE138" s="177">
        <f t="shared" si="219"/>
        <v>0.53947368421052622</v>
      </c>
      <c r="AF138" s="555">
        <f t="shared" si="220"/>
        <v>632.95657346817381</v>
      </c>
      <c r="AG138" s="538">
        <f t="shared" si="221"/>
        <v>0.15482894736842101</v>
      </c>
      <c r="AI138" s="177">
        <f t="shared" si="222"/>
        <v>1.1027239001672178</v>
      </c>
      <c r="AJ138" s="177">
        <f t="shared" si="223"/>
        <v>1.1027239001672178</v>
      </c>
      <c r="AK138" s="177">
        <f t="shared" si="224"/>
        <v>1.3884826001114785</v>
      </c>
      <c r="AM138" s="555">
        <f t="shared" si="225"/>
        <v>280</v>
      </c>
      <c r="AN138" s="469">
        <f t="shared" si="226"/>
        <v>350</v>
      </c>
      <c r="AP138" s="469">
        <f t="shared" si="227"/>
        <v>280</v>
      </c>
      <c r="AQ138" s="469">
        <f t="shared" si="228"/>
        <v>350</v>
      </c>
      <c r="AS138" s="5">
        <f t="shared" si="263"/>
        <v>2.8571428571428572</v>
      </c>
      <c r="AT138" s="5">
        <f t="shared" si="229"/>
        <v>0.33561162179002285</v>
      </c>
      <c r="AU138" s="5">
        <f t="shared" si="230"/>
        <v>2.5215312353528345</v>
      </c>
      <c r="AV138" s="5"/>
      <c r="AW138" s="177">
        <f t="shared" si="231"/>
        <v>0.11746406762650799</v>
      </c>
      <c r="AX138" s="177">
        <f t="shared" si="259"/>
        <v>1.4895999999999998</v>
      </c>
      <c r="AY138" s="177">
        <f t="shared" si="260"/>
        <v>0.97319346538460905</v>
      </c>
      <c r="AZ138" s="177">
        <f t="shared" si="264"/>
        <v>1.5306309104853117</v>
      </c>
      <c r="BA138" s="469">
        <f t="shared" si="232"/>
        <v>101.93868054563885</v>
      </c>
      <c r="BB138" s="469">
        <f t="shared" si="233"/>
        <v>1.3485265869187144</v>
      </c>
      <c r="BC138" s="5">
        <f t="shared" si="258"/>
        <v>0.14211528701666537</v>
      </c>
      <c r="BD138" s="469">
        <f t="shared" si="235"/>
        <v>17.256732992724483</v>
      </c>
      <c r="BF138" s="177">
        <f t="shared" si="265"/>
        <v>0.21820197542172842</v>
      </c>
      <c r="BG138" s="177">
        <f t="shared" si="261"/>
        <v>1.1961960228246686</v>
      </c>
      <c r="BI138" s="538">
        <f t="shared" si="236"/>
        <v>5.2373312285739033E-3</v>
      </c>
      <c r="BJ138" s="538">
        <f t="shared" si="237"/>
        <v>6.4917356002844109E-2</v>
      </c>
      <c r="BK138" s="538">
        <f t="shared" si="238"/>
        <v>1.7499999999999998E-2</v>
      </c>
      <c r="BL138" s="538">
        <f t="shared" si="239"/>
        <v>8.9117405999999996E-2</v>
      </c>
      <c r="BM138">
        <f t="shared" si="240"/>
        <v>6.6699999999999997E-3</v>
      </c>
      <c r="BN138">
        <f t="shared" si="241"/>
        <v>6.3E-5</v>
      </c>
      <c r="BO138" s="538">
        <f t="shared" si="242"/>
        <v>0.18439030701665807</v>
      </c>
      <c r="BP138" s="469">
        <f t="shared" si="243"/>
        <v>183.44209323141803</v>
      </c>
      <c r="BQ138" s="538">
        <f t="shared" si="244"/>
        <v>0.21627960827164686</v>
      </c>
      <c r="BT138" s="469">
        <f t="shared" si="245"/>
        <v>216.27960827164685</v>
      </c>
      <c r="BU138" s="538">
        <f t="shared" si="246"/>
        <v>4.761210207794458E-3</v>
      </c>
      <c r="BV138" s="538">
        <f t="shared" si="247"/>
        <v>4.2926547750646651E-2</v>
      </c>
      <c r="BW138" s="538">
        <f t="shared" si="248"/>
        <v>0</v>
      </c>
      <c r="BX138" s="538"/>
      <c r="BY138" s="538">
        <f t="shared" si="249"/>
        <v>2.128E-2</v>
      </c>
      <c r="BZ138" s="469">
        <f t="shared" si="250"/>
        <v>68.967757958441112</v>
      </c>
      <c r="CA138" s="177">
        <f t="shared" si="251"/>
        <v>0.46868945946150598</v>
      </c>
      <c r="CB138" s="5">
        <f t="shared" si="252"/>
        <v>1.4000000000000001</v>
      </c>
      <c r="CC138" s="177">
        <f t="shared" si="253"/>
        <v>0.74918815050384746</v>
      </c>
      <c r="CD138" s="5">
        <f t="shared" si="254"/>
        <v>74.918815050384751</v>
      </c>
      <c r="CG138" s="571">
        <f t="shared" si="255"/>
        <v>-50</v>
      </c>
      <c r="CH138">
        <f t="shared" si="256"/>
        <v>-50</v>
      </c>
    </row>
    <row r="139" spans="5:86" x14ac:dyDescent="0.2">
      <c r="E139" s="174">
        <v>29</v>
      </c>
      <c r="F139" s="221">
        <f t="shared" si="257"/>
        <v>0.28999999999999998</v>
      </c>
      <c r="G139" s="221"/>
      <c r="H139" s="221">
        <f t="shared" si="201"/>
        <v>1.45</v>
      </c>
      <c r="I139" s="551">
        <f t="shared" si="202"/>
        <v>23</v>
      </c>
      <c r="J139" s="451">
        <f t="shared" si="203"/>
        <v>10.64</v>
      </c>
      <c r="K139" s="451">
        <f t="shared" si="204"/>
        <v>33.64</v>
      </c>
      <c r="L139" s="451"/>
      <c r="M139" s="221">
        <f t="shared" si="205"/>
        <v>0.31629013079667062</v>
      </c>
      <c r="N139" s="176">
        <f t="shared" si="206"/>
        <v>13.744455410225921</v>
      </c>
      <c r="O139" s="176">
        <f t="shared" si="262"/>
        <v>1.45</v>
      </c>
      <c r="P139" s="221">
        <f t="shared" si="207"/>
        <v>2.7488910820451844</v>
      </c>
      <c r="Q139" s="221">
        <f t="shared" si="208"/>
        <v>5</v>
      </c>
      <c r="R139" s="221"/>
      <c r="S139" s="176">
        <f t="shared" si="209"/>
        <v>134.85481021404829</v>
      </c>
      <c r="T139" s="176">
        <f t="shared" si="210"/>
        <v>5</v>
      </c>
      <c r="U139" s="221">
        <f t="shared" si="211"/>
        <v>0.44293705277686973</v>
      </c>
      <c r="V139" s="221">
        <f t="shared" si="212"/>
        <v>0.13480692910600381</v>
      </c>
      <c r="W139" s="221">
        <f t="shared" si="213"/>
        <v>0.29140595577425638</v>
      </c>
      <c r="X139" s="201">
        <f t="shared" si="214"/>
        <v>350</v>
      </c>
      <c r="Y139" s="451">
        <f t="shared" si="215"/>
        <v>350</v>
      </c>
      <c r="AA139" s="221">
        <f t="shared" si="216"/>
        <v>2.9692542891116021</v>
      </c>
      <c r="AB139" s="177">
        <f t="shared" si="217"/>
        <v>1.9534567691523697</v>
      </c>
      <c r="AC139" s="177">
        <f t="shared" si="218"/>
        <v>2.0301084616399181</v>
      </c>
      <c r="AD139" s="177"/>
      <c r="AE139" s="177">
        <f t="shared" si="219"/>
        <v>0.53947368421052622</v>
      </c>
      <c r="AF139" s="555">
        <f t="shared" si="220"/>
        <v>655.56216537775151</v>
      </c>
      <c r="AG139" s="538">
        <f t="shared" si="221"/>
        <v>0.15482894736842101</v>
      </c>
      <c r="AI139" s="177">
        <f t="shared" si="222"/>
        <v>1.122242652650741</v>
      </c>
      <c r="AJ139" s="177">
        <f t="shared" si="223"/>
        <v>1.122242652650741</v>
      </c>
      <c r="AK139" s="177">
        <f t="shared" si="224"/>
        <v>1.4014951017671606</v>
      </c>
      <c r="AM139" s="555">
        <f t="shared" si="225"/>
        <v>290</v>
      </c>
      <c r="AN139" s="469">
        <f t="shared" si="226"/>
        <v>350</v>
      </c>
      <c r="AP139" s="469">
        <f t="shared" si="227"/>
        <v>290</v>
      </c>
      <c r="AQ139" s="469">
        <f t="shared" si="228"/>
        <v>350</v>
      </c>
      <c r="AS139" s="5">
        <f t="shared" si="263"/>
        <v>2.8571428571428572</v>
      </c>
      <c r="AT139" s="5">
        <f t="shared" si="229"/>
        <v>0.3415521116763125</v>
      </c>
      <c r="AU139" s="5">
        <f t="shared" si="230"/>
        <v>2.5155907454665449</v>
      </c>
      <c r="AV139" s="5"/>
      <c r="AW139" s="177">
        <f t="shared" si="231"/>
        <v>0.11954323908670937</v>
      </c>
      <c r="AX139" s="177">
        <f t="shared" si="259"/>
        <v>1.5428000000000002</v>
      </c>
      <c r="AY139" s="177">
        <f t="shared" si="260"/>
        <v>0.98808613091161046</v>
      </c>
      <c r="AZ139" s="177">
        <f t="shared" si="264"/>
        <v>1.5614023431101187</v>
      </c>
      <c r="BA139" s="469">
        <f t="shared" si="232"/>
        <v>101.93868054563885</v>
      </c>
      <c r="BB139" s="469">
        <f t="shared" si="233"/>
        <v>1.4154985454064268</v>
      </c>
      <c r="BC139" s="5">
        <f t="shared" si="258"/>
        <v>0.14684406525468957</v>
      </c>
      <c r="BD139" s="469">
        <f t="shared" si="235"/>
        <v>17.83143275809898</v>
      </c>
      <c r="BF139" s="177">
        <f t="shared" si="265"/>
        <v>0.22402095945611769</v>
      </c>
      <c r="BG139" s="177">
        <f t="shared" si="261"/>
        <v>1.2159344283864726</v>
      </c>
      <c r="BI139" s="538">
        <f t="shared" si="236"/>
        <v>5.5203929303203484E-3</v>
      </c>
      <c r="BJ139" s="538">
        <f t="shared" si="237"/>
        <v>6.6066424961549117E-2</v>
      </c>
      <c r="BK139" s="538">
        <f t="shared" si="238"/>
        <v>1.7499999999999998E-2</v>
      </c>
      <c r="BL139" s="538">
        <f t="shared" si="239"/>
        <v>8.9117405999999996E-2</v>
      </c>
      <c r="BM139">
        <f t="shared" si="240"/>
        <v>6.6699999999999997E-3</v>
      </c>
      <c r="BN139">
        <f t="shared" si="241"/>
        <v>6.3E-5</v>
      </c>
      <c r="BO139" s="538">
        <f t="shared" si="242"/>
        <v>0.18587178967783732</v>
      </c>
      <c r="BP139" s="469">
        <f t="shared" si="243"/>
        <v>184.87422389186946</v>
      </c>
      <c r="BQ139" s="538">
        <f t="shared" si="244"/>
        <v>0.22373713520795507</v>
      </c>
      <c r="BT139" s="469">
        <f t="shared" si="245"/>
        <v>223.73713520795508</v>
      </c>
      <c r="BU139" s="538">
        <f t="shared" si="246"/>
        <v>5.0185390275639535E-3</v>
      </c>
      <c r="BV139" s="538">
        <f t="shared" si="247"/>
        <v>4.4354896024066136E-2</v>
      </c>
      <c r="BW139" s="538">
        <f t="shared" si="248"/>
        <v>0</v>
      </c>
      <c r="BX139" s="538"/>
      <c r="BY139" s="538">
        <f t="shared" si="249"/>
        <v>2.2040000000000008E-2</v>
      </c>
      <c r="BZ139" s="469">
        <f t="shared" si="250"/>
        <v>71.413435051630103</v>
      </c>
      <c r="CA139" s="177">
        <f t="shared" si="251"/>
        <v>0.4800247941514546</v>
      </c>
      <c r="CB139" s="5">
        <f t="shared" si="252"/>
        <v>1.45</v>
      </c>
      <c r="CC139" s="177">
        <f t="shared" si="253"/>
        <v>0.75128568523778994</v>
      </c>
      <c r="CD139" s="5">
        <f t="shared" si="254"/>
        <v>75.128568523778995</v>
      </c>
      <c r="CG139" s="571">
        <f t="shared" si="255"/>
        <v>-50</v>
      </c>
      <c r="CH139">
        <f t="shared" si="256"/>
        <v>-50</v>
      </c>
    </row>
    <row r="140" spans="5:86" x14ac:dyDescent="0.2">
      <c r="E140" s="174">
        <v>30</v>
      </c>
      <c r="F140" s="221">
        <f t="shared" si="257"/>
        <v>0.3</v>
      </c>
      <c r="G140" s="221"/>
      <c r="H140" s="221">
        <f t="shared" si="201"/>
        <v>1.5</v>
      </c>
      <c r="I140" s="551">
        <f t="shared" si="202"/>
        <v>23</v>
      </c>
      <c r="J140" s="451">
        <f t="shared" si="203"/>
        <v>10.64</v>
      </c>
      <c r="K140" s="451">
        <f t="shared" si="204"/>
        <v>33.64</v>
      </c>
      <c r="L140" s="451"/>
      <c r="M140" s="221">
        <f t="shared" si="205"/>
        <v>0.31629013079667062</v>
      </c>
      <c r="N140" s="176">
        <f t="shared" si="206"/>
        <v>13.744455410225921</v>
      </c>
      <c r="O140" s="176">
        <f t="shared" si="262"/>
        <v>1.5</v>
      </c>
      <c r="P140" s="221">
        <f t="shared" si="207"/>
        <v>2.7488910820451844</v>
      </c>
      <c r="Q140" s="221">
        <f t="shared" si="208"/>
        <v>5</v>
      </c>
      <c r="R140" s="221"/>
      <c r="S140" s="176">
        <f t="shared" si="209"/>
        <v>129.97824289812471</v>
      </c>
      <c r="T140" s="176">
        <f t="shared" si="210"/>
        <v>5</v>
      </c>
      <c r="U140" s="221">
        <f t="shared" si="211"/>
        <v>0.4582107442519342</v>
      </c>
      <c r="V140" s="221">
        <f t="shared" si="212"/>
        <v>0.13945544390276257</v>
      </c>
      <c r="W140" s="221">
        <f t="shared" si="213"/>
        <v>0.30145443700785141</v>
      </c>
      <c r="X140" s="201">
        <f t="shared" si="214"/>
        <v>350</v>
      </c>
      <c r="Y140" s="451">
        <f t="shared" si="215"/>
        <v>350</v>
      </c>
      <c r="AA140" s="221">
        <f t="shared" si="216"/>
        <v>2.9692542891116021</v>
      </c>
      <c r="AB140" s="177">
        <f t="shared" si="217"/>
        <v>1.9534567691523697</v>
      </c>
      <c r="AC140" s="177">
        <f t="shared" si="218"/>
        <v>2.0301084616399181</v>
      </c>
      <c r="AD140" s="177"/>
      <c r="AE140" s="177">
        <f t="shared" si="219"/>
        <v>0.53947368421052622</v>
      </c>
      <c r="AF140" s="555">
        <f t="shared" si="220"/>
        <v>678.1677572873291</v>
      </c>
      <c r="AG140" s="538">
        <f t="shared" si="221"/>
        <v>0.15482894736842101</v>
      </c>
      <c r="AI140" s="177">
        <f t="shared" si="222"/>
        <v>1.1414276774536103</v>
      </c>
      <c r="AJ140" s="177">
        <f t="shared" si="223"/>
        <v>1.1414276774536103</v>
      </c>
      <c r="AK140" s="177">
        <f t="shared" si="224"/>
        <v>1.414285118302407</v>
      </c>
      <c r="AM140" s="555">
        <f t="shared" si="225"/>
        <v>300</v>
      </c>
      <c r="AN140" s="469">
        <f t="shared" si="226"/>
        <v>350</v>
      </c>
      <c r="AP140" s="469">
        <f t="shared" si="227"/>
        <v>300</v>
      </c>
      <c r="AQ140" s="469">
        <f t="shared" si="228"/>
        <v>350</v>
      </c>
      <c r="AS140" s="5">
        <f t="shared" si="263"/>
        <v>2.8571428571428572</v>
      </c>
      <c r="AT140" s="5">
        <f t="shared" si="229"/>
        <v>0.34739103226849005</v>
      </c>
      <c r="AU140" s="5">
        <f t="shared" si="230"/>
        <v>2.5097518248743671</v>
      </c>
      <c r="AV140" s="5"/>
      <c r="AW140" s="177">
        <f t="shared" si="231"/>
        <v>0.12158686129397152</v>
      </c>
      <c r="AX140" s="177">
        <f t="shared" si="259"/>
        <v>1.5960000000000001</v>
      </c>
      <c r="AY140" s="177">
        <f t="shared" si="260"/>
        <v>1.002645068757958</v>
      </c>
      <c r="AZ140" s="177">
        <f t="shared" si="264"/>
        <v>1.5917896070411732</v>
      </c>
      <c r="BA140" s="469">
        <f t="shared" si="232"/>
        <v>101.93868054563885</v>
      </c>
      <c r="BB140" s="469">
        <f t="shared" si="233"/>
        <v>1.4837677655954629</v>
      </c>
      <c r="BC140" s="5">
        <f t="shared" si="258"/>
        <v>0.1515550618885487</v>
      </c>
      <c r="BD140" s="469">
        <f t="shared" si="235"/>
        <v>18.403998730973676</v>
      </c>
      <c r="BF140" s="177">
        <f t="shared" si="265"/>
        <v>0.22978998434398853</v>
      </c>
      <c r="BG140" s="177">
        <f t="shared" si="261"/>
        <v>1.2352850316925301</v>
      </c>
      <c r="BI140" s="538">
        <f t="shared" si="236"/>
        <v>5.8083780595291545E-3</v>
      </c>
      <c r="BJ140" s="538">
        <f t="shared" si="237"/>
        <v>6.719584737169404E-2</v>
      </c>
      <c r="BK140" s="538">
        <f t="shared" si="238"/>
        <v>1.7499999999999998E-2</v>
      </c>
      <c r="BL140" s="538">
        <f t="shared" si="239"/>
        <v>8.9117405999999996E-2</v>
      </c>
      <c r="BM140">
        <f t="shared" si="240"/>
        <v>6.6699999999999997E-3</v>
      </c>
      <c r="BN140">
        <f t="shared" si="241"/>
        <v>6.3E-5</v>
      </c>
      <c r="BO140" s="538">
        <f t="shared" si="242"/>
        <v>0.18733952407441254</v>
      </c>
      <c r="BP140" s="469">
        <f t="shared" si="243"/>
        <v>186.29163143122318</v>
      </c>
      <c r="BQ140" s="538">
        <f t="shared" si="244"/>
        <v>0.2311809839676042</v>
      </c>
      <c r="BT140" s="469">
        <f t="shared" si="245"/>
        <v>231.18098396760419</v>
      </c>
      <c r="BU140" s="538">
        <f t="shared" si="246"/>
        <v>5.2803436904810498E-3</v>
      </c>
      <c r="BV140" s="538">
        <f t="shared" si="247"/>
        <v>4.5777873285708454E-2</v>
      </c>
      <c r="BW140" s="538">
        <f t="shared" si="248"/>
        <v>0</v>
      </c>
      <c r="BX140" s="538"/>
      <c r="BY140" s="538">
        <f t="shared" si="249"/>
        <v>2.2800000000000001E-2</v>
      </c>
      <c r="BZ140" s="469">
        <f t="shared" si="250"/>
        <v>73.858216976189496</v>
      </c>
      <c r="CA140" s="177">
        <f t="shared" si="251"/>
        <v>0.4913308323750169</v>
      </c>
      <c r="CB140" s="5">
        <f t="shared" si="252"/>
        <v>1.5</v>
      </c>
      <c r="CC140" s="177">
        <f t="shared" si="253"/>
        <v>0.75326509066852676</v>
      </c>
      <c r="CD140" s="5">
        <f t="shared" si="254"/>
        <v>75.32650906685268</v>
      </c>
      <c r="CG140" s="571">
        <f t="shared" si="255"/>
        <v>-50</v>
      </c>
      <c r="CH140">
        <f t="shared" si="256"/>
        <v>-50</v>
      </c>
    </row>
    <row r="141" spans="5:86" x14ac:dyDescent="0.2">
      <c r="E141" s="174">
        <v>31</v>
      </c>
      <c r="F141" s="221">
        <f t="shared" si="257"/>
        <v>0.31</v>
      </c>
      <c r="G141" s="221"/>
      <c r="H141" s="221">
        <f t="shared" si="201"/>
        <v>1.55</v>
      </c>
      <c r="I141" s="551">
        <f t="shared" si="202"/>
        <v>23</v>
      </c>
      <c r="J141" s="451">
        <f t="shared" si="203"/>
        <v>10.64</v>
      </c>
      <c r="K141" s="451">
        <f t="shared" si="204"/>
        <v>33.64</v>
      </c>
      <c r="L141" s="451"/>
      <c r="M141" s="221">
        <f t="shared" si="205"/>
        <v>0.31629013079667062</v>
      </c>
      <c r="N141" s="176">
        <f t="shared" si="206"/>
        <v>13.744455410225921</v>
      </c>
      <c r="O141" s="176">
        <f t="shared" si="262"/>
        <v>1.55</v>
      </c>
      <c r="P141" s="221">
        <f t="shared" si="207"/>
        <v>2.7488910820451844</v>
      </c>
      <c r="Q141" s="221">
        <f t="shared" si="208"/>
        <v>5</v>
      </c>
      <c r="R141" s="221"/>
      <c r="S141" s="176">
        <f t="shared" si="209"/>
        <v>125.41636436132869</v>
      </c>
      <c r="T141" s="176">
        <f t="shared" si="210"/>
        <v>5</v>
      </c>
      <c r="U141" s="221">
        <f t="shared" si="211"/>
        <v>0.47348443572699872</v>
      </c>
      <c r="V141" s="221">
        <f t="shared" si="212"/>
        <v>0.14410395869952136</v>
      </c>
      <c r="W141" s="221">
        <f t="shared" si="213"/>
        <v>0.31150291824144649</v>
      </c>
      <c r="X141" s="201">
        <f t="shared" si="214"/>
        <v>350</v>
      </c>
      <c r="Y141" s="451">
        <f t="shared" si="215"/>
        <v>350</v>
      </c>
      <c r="AA141" s="221">
        <f t="shared" si="216"/>
        <v>2.9692542891116021</v>
      </c>
      <c r="AB141" s="177">
        <f t="shared" si="217"/>
        <v>1.9534567691523697</v>
      </c>
      <c r="AC141" s="177">
        <f t="shared" si="218"/>
        <v>2.0301084616399181</v>
      </c>
      <c r="AD141" s="177"/>
      <c r="AE141" s="177">
        <f t="shared" si="219"/>
        <v>0.53947368421052622</v>
      </c>
      <c r="AF141" s="555">
        <f t="shared" si="220"/>
        <v>700.77334919690668</v>
      </c>
      <c r="AG141" s="538">
        <f t="shared" si="221"/>
        <v>0.15482894736842101</v>
      </c>
      <c r="AI141" s="177">
        <f t="shared" si="222"/>
        <v>1.1602955288570729</v>
      </c>
      <c r="AJ141" s="177">
        <f t="shared" si="223"/>
        <v>1.1602955288570729</v>
      </c>
      <c r="AK141" s="177">
        <f t="shared" si="224"/>
        <v>1.4268636859047152</v>
      </c>
      <c r="AM141" s="555">
        <f t="shared" si="225"/>
        <v>310</v>
      </c>
      <c r="AN141" s="469">
        <f t="shared" si="226"/>
        <v>350</v>
      </c>
      <c r="AP141" s="469">
        <f t="shared" si="227"/>
        <v>310</v>
      </c>
      <c r="AQ141" s="469">
        <f t="shared" si="228"/>
        <v>350</v>
      </c>
      <c r="AS141" s="5">
        <f t="shared" si="263"/>
        <v>2.8571428571428572</v>
      </c>
      <c r="AT141" s="5">
        <f t="shared" si="229"/>
        <v>0.35313342182606561</v>
      </c>
      <c r="AU141" s="5">
        <f t="shared" si="230"/>
        <v>2.5040094353167914</v>
      </c>
      <c r="AV141" s="5"/>
      <c r="AW141" s="177">
        <f t="shared" si="231"/>
        <v>0.12359669763912295</v>
      </c>
      <c r="AX141" s="177">
        <f t="shared" si="259"/>
        <v>1.6492000000000002</v>
      </c>
      <c r="AY141" s="177">
        <f t="shared" si="260"/>
        <v>1.016886833204899</v>
      </c>
      <c r="AZ141" s="177">
        <f t="shared" si="264"/>
        <v>1.6218127191225933</v>
      </c>
      <c r="BA141" s="469">
        <f t="shared" si="232"/>
        <v>101.93868054563885</v>
      </c>
      <c r="BB141" s="469">
        <f t="shared" si="233"/>
        <v>1.5533342474858221</v>
      </c>
      <c r="BC141" s="5">
        <f t="shared" si="258"/>
        <v>0.1562485758752426</v>
      </c>
      <c r="BD141" s="469">
        <f t="shared" si="235"/>
        <v>18.974466786188533</v>
      </c>
      <c r="BF141" s="177">
        <f t="shared" si="265"/>
        <v>0.23551112384516798</v>
      </c>
      <c r="BG141" s="177">
        <f t="shared" si="261"/>
        <v>1.254266981638424</v>
      </c>
      <c r="BI141" s="538">
        <f t="shared" si="236"/>
        <v>6.1012038400295454E-3</v>
      </c>
      <c r="BJ141" s="538">
        <f t="shared" si="237"/>
        <v>6.8306597783815884E-2</v>
      </c>
      <c r="BK141" s="538">
        <f t="shared" si="238"/>
        <v>1.7499999999999998E-2</v>
      </c>
      <c r="BL141" s="538">
        <f t="shared" si="239"/>
        <v>8.9117405999999996E-2</v>
      </c>
      <c r="BM141">
        <f t="shared" si="240"/>
        <v>6.6699999999999997E-3</v>
      </c>
      <c r="BN141">
        <f t="shared" si="241"/>
        <v>6.3E-5</v>
      </c>
      <c r="BO141" s="538">
        <f t="shared" si="242"/>
        <v>0.18879439072212384</v>
      </c>
      <c r="BP141" s="469">
        <f t="shared" si="243"/>
        <v>187.69520762384545</v>
      </c>
      <c r="BQ141" s="538">
        <f t="shared" si="244"/>
        <v>0.23861138451784691</v>
      </c>
      <c r="BT141" s="469">
        <f t="shared" si="245"/>
        <v>238.61138451784691</v>
      </c>
      <c r="BU141" s="538">
        <f t="shared" si="246"/>
        <v>5.5465489454814051E-3</v>
      </c>
      <c r="BV141" s="538">
        <f t="shared" si="247"/>
        <v>4.7195569836850873E-2</v>
      </c>
      <c r="BW141" s="538">
        <f t="shared" si="248"/>
        <v>0</v>
      </c>
      <c r="BX141" s="538"/>
      <c r="BY141" s="538">
        <f t="shared" si="249"/>
        <v>2.3560000000000008E-2</v>
      </c>
      <c r="BZ141" s="469">
        <f t="shared" si="250"/>
        <v>76.302118782332286</v>
      </c>
      <c r="CA141" s="177">
        <f t="shared" si="251"/>
        <v>0.50260871092402459</v>
      </c>
      <c r="CB141" s="5">
        <f t="shared" si="252"/>
        <v>1.55</v>
      </c>
      <c r="CC141" s="177">
        <f t="shared" si="253"/>
        <v>0.75513661797831655</v>
      </c>
      <c r="CD141" s="5">
        <f t="shared" si="254"/>
        <v>75.513661797831659</v>
      </c>
      <c r="CG141" s="571">
        <f t="shared" si="255"/>
        <v>-50</v>
      </c>
      <c r="CH141">
        <f t="shared" si="256"/>
        <v>-50</v>
      </c>
    </row>
    <row r="142" spans="5:86" x14ac:dyDescent="0.2">
      <c r="E142" s="174">
        <v>32</v>
      </c>
      <c r="F142" s="221">
        <f t="shared" si="257"/>
        <v>0.32</v>
      </c>
      <c r="G142" s="221"/>
      <c r="H142" s="221">
        <f t="shared" ref="H142:H173" si="266">F142*Vout</f>
        <v>1.6</v>
      </c>
      <c r="I142" s="551">
        <f t="shared" ref="I142:I173" si="267">VIN_min</f>
        <v>23</v>
      </c>
      <c r="J142" s="451">
        <f t="shared" ref="J142:J173" si="268">(T142+Vfwd1)*Nps</f>
        <v>10.64</v>
      </c>
      <c r="K142" s="451">
        <f t="shared" ref="K142:K173" si="269">(Vout+Vfwd1)*Nps+I142</f>
        <v>33.64</v>
      </c>
      <c r="L142" s="451"/>
      <c r="M142" s="221">
        <f t="shared" ref="M142:M173" si="270">(Vout+Vfwd1)*Nps/((Vout+Vfwd1)*Nps+I142)</f>
        <v>0.31629013079667062</v>
      </c>
      <c r="N142" s="176">
        <f t="shared" ref="N142:N173" si="271">M142*I142*(Isw_max+VIN_min/Lmag*ILIM_delay)*0.5*Efficiency</f>
        <v>13.744455410225921</v>
      </c>
      <c r="O142" s="176">
        <f t="shared" si="262"/>
        <v>1.6</v>
      </c>
      <c r="P142" s="221">
        <f t="shared" ref="P142:P173" si="272">N142/Vout</f>
        <v>2.7488910820451844</v>
      </c>
      <c r="Q142" s="221">
        <f t="shared" ref="Q142:Q173" si="273">MIN(Vout,N142/F142)</f>
        <v>5</v>
      </c>
      <c r="R142" s="221"/>
      <c r="S142" s="176">
        <f t="shared" ref="S142:S173" si="274">(SQRT(Isw_max^2*Nps^2*I142^2+4*Isw_max*F142/Efficiency*(Nps^2*Vfwd1*I142-Nps*I142^2)+4*(F142/Efficiency)^2*Nps^2*Vfwd1^2+8*(F142/Efficiency)^2*Nps*Vfwd1*I142+4*(F142/Efficiency)^2*I142^2)-2*F142/Efficiency*I142-2*F142/Efficiency*Nps*Vfwd1+Isw_max*Nps*I142)/(4*F142/Efficiency*Nps)</f>
        <v>121.13967312204666</v>
      </c>
      <c r="T142" s="176">
        <f t="shared" ref="T142:T173" si="275">MIN(Vout, S142)</f>
        <v>5</v>
      </c>
      <c r="U142" s="221">
        <f t="shared" ref="U142:U173" si="276">MIN(2*Vout*F142/(Efficiency*I142*M142), Isw_max)</f>
        <v>0.48875812720206319</v>
      </c>
      <c r="V142" s="221">
        <f t="shared" ref="V142:V173" si="277">L*U142/I142*1000000</f>
        <v>0.1487524734962801</v>
      </c>
      <c r="W142" s="221">
        <f t="shared" ref="W142:W173" si="278">L*U142/J142*1000000</f>
        <v>0.32155139947504158</v>
      </c>
      <c r="X142" s="201">
        <f t="shared" ref="X142:X173" si="279">IF(1/((350000*L)*(1/I142+1/J142))&gt;Isw_min, 350, 0.001/((Isw_min*L)*(1/I142+1/J142)))</f>
        <v>350</v>
      </c>
      <c r="Y142" s="451">
        <f t="shared" si="215"/>
        <v>350</v>
      </c>
      <c r="AA142" s="221">
        <f t="shared" ref="AA142:AA173" si="280">1/((X142*1000*L)*(1/I142+1/J142))</f>
        <v>2.9692542891116021</v>
      </c>
      <c r="AB142" s="177">
        <f t="shared" ref="AB142:AB173" si="281">L*AA142/J142*1000000</f>
        <v>1.9534567691523697</v>
      </c>
      <c r="AC142" s="177">
        <f t="shared" ref="AC142:AC173" si="282">0.5*AB142*AA142*Nps*X142/1000</f>
        <v>2.0301084616399181</v>
      </c>
      <c r="AD142" s="177"/>
      <c r="AE142" s="177">
        <f t="shared" ref="AE142:AE173" si="283">L*Isw_min/J142*1000000</f>
        <v>0.53947368421052622</v>
      </c>
      <c r="AF142" s="555">
        <f t="shared" ref="AF142:AF173" si="284">MAX(12000,F142/(0.5*AE142/1000000*Isw_min*Nps))/1000</f>
        <v>723.37894110648438</v>
      </c>
      <c r="AG142" s="538">
        <f t="shared" ref="AG142:AG173" si="285">0.5*AE142/1000000*Isw_min*Nps*X142*1000</f>
        <v>0.15482894736842101</v>
      </c>
      <c r="AI142" s="177">
        <f t="shared" ref="AI142:AI173" si="286">SQRT(F142/(0.5*L/J142*Fsw_DCM*Nps))</f>
        <v>1.1788614361808116</v>
      </c>
      <c r="AJ142" s="177">
        <f t="shared" ref="AJ142:AJ173" si="287">MAX(IF(F142&gt;AC142,U142,AI142),Isw_min)</f>
        <v>1.1788614361808116</v>
      </c>
      <c r="AK142" s="177">
        <f t="shared" ref="AK142:AK173" si="288">IF(F142&gt;AG142, (AJ142-Isw_min)/1.2*0.8+1.2, AF142*0.2/350+1)</f>
        <v>1.4392409574538745</v>
      </c>
      <c r="AM142" s="555">
        <f t="shared" ref="AM142:AM173" si="289">F142*1000</f>
        <v>320</v>
      </c>
      <c r="AN142" s="469">
        <f t="shared" ref="AN142:AN173" si="290">IF(F142&gt;AG142, Y142, AF142)</f>
        <v>350</v>
      </c>
      <c r="AP142" s="469">
        <f t="shared" ref="AP142:AP173" si="291">IF(H142&gt;N142, "",AM142)</f>
        <v>320</v>
      </c>
      <c r="AQ142" s="469">
        <f t="shared" ref="AQ142:AQ173" si="292">IF(H142&gt;N142, "",AN142)</f>
        <v>350</v>
      </c>
      <c r="AS142" s="5">
        <f t="shared" si="263"/>
        <v>2.8571428571428572</v>
      </c>
      <c r="AT142" s="5">
        <f t="shared" ref="AT142:AT173" si="293">L*AJ142/I142*1000000</f>
        <v>0.35878391535937743</v>
      </c>
      <c r="AU142" s="5">
        <f t="shared" si="230"/>
        <v>2.4983589417834797</v>
      </c>
      <c r="AV142" s="5"/>
      <c r="AW142" s="177">
        <f t="shared" si="231"/>
        <v>0.12557437037578209</v>
      </c>
      <c r="AX142" s="177">
        <f t="shared" si="259"/>
        <v>1.7024000000000001</v>
      </c>
      <c r="AY142" s="177">
        <f t="shared" si="260"/>
        <v>1.030826653572116</v>
      </c>
      <c r="AZ142" s="177">
        <f t="shared" si="264"/>
        <v>1.6514900872039795</v>
      </c>
      <c r="BA142" s="469">
        <f t="shared" ref="BA142:BA173" si="294">L*Isw_max^2/(2*Vout_ripple*Vout)*1000000000*((1+M142)/2)^2</f>
        <v>101.93868054563885</v>
      </c>
      <c r="BB142" s="469">
        <f t="shared" ref="BB142:BB173" si="295">L*F142^2/(2*Cout*Vout*Nps^2)*1000000000*((1+M142)/(1-M142))^2+F142*RCoutEsr</f>
        <v>1.6241979910775046</v>
      </c>
      <c r="BC142" s="5">
        <f t="shared" si="258"/>
        <v>0.16092489158025633</v>
      </c>
      <c r="BD142" s="469">
        <f t="shared" ref="BD142:BD173" si="296">((CB142/I142/Efficiency)*AU142/Cin+(CB142/I142/Efficiency)*RCinEsr)*1000</f>
        <v>19.542871047601775</v>
      </c>
      <c r="BF142" s="177">
        <f t="shared" si="265"/>
        <v>0.24118630173291433</v>
      </c>
      <c r="BG142" s="177">
        <f t="shared" si="261"/>
        <v>1.2728978955037908</v>
      </c>
      <c r="BI142" s="538">
        <f t="shared" si="236"/>
        <v>6.398791535796043E-3</v>
      </c>
      <c r="BJ142" s="538">
        <f t="shared" si="237"/>
        <v>6.9399572747964378E-2</v>
      </c>
      <c r="BK142" s="538">
        <f t="shared" si="238"/>
        <v>1.7499999999999998E-2</v>
      </c>
      <c r="BL142" s="538">
        <f t="shared" si="239"/>
        <v>8.9117405999999996E-2</v>
      </c>
      <c r="BM142">
        <f t="shared" si="240"/>
        <v>6.6699999999999997E-3</v>
      </c>
      <c r="BN142">
        <f t="shared" ref="BN142:BN173" si="297">(I142-Vdd)*Qg*AN142</f>
        <v>6.3E-5</v>
      </c>
      <c r="BO142" s="538">
        <f t="shared" ref="BO142:BO173" si="298">(BJ142+BK142+BL142+BM142+BN142+BI142*(1+RdsonTC*(Ta-25)))/(1-BI142*RdsonTC*ThetaJA)</f>
        <v>0.19023719680748474</v>
      </c>
      <c r="BP142" s="469">
        <f t="shared" si="243"/>
        <v>189.08577028376044</v>
      </c>
      <c r="BQ142" s="538">
        <f t="shared" ref="BQ142:BQ173" si="299">(Vfwd2*F142+BG142^2*Rdiode)*(1+Diode_TC/1000*(Ta-25))</f>
        <v>0.24602855560167769</v>
      </c>
      <c r="BT142" s="469">
        <f t="shared" si="245"/>
        <v>246.02855560167768</v>
      </c>
      <c r="BU142" s="538">
        <f t="shared" si="246"/>
        <v>5.8170832143600399E-3</v>
      </c>
      <c r="BV142" s="538">
        <f t="shared" si="247"/>
        <v>4.8608071571339388E-2</v>
      </c>
      <c r="BW142" s="538">
        <f t="shared" si="248"/>
        <v>0</v>
      </c>
      <c r="BX142" s="538"/>
      <c r="BY142" s="538">
        <f t="shared" si="249"/>
        <v>2.4320000000000005E-2</v>
      </c>
      <c r="BZ142" s="469">
        <f t="shared" si="250"/>
        <v>78.745154785699441</v>
      </c>
      <c r="CA142" s="177">
        <f t="shared" si="251"/>
        <v>0.51385948067113751</v>
      </c>
      <c r="CB142" s="5">
        <f t="shared" si="252"/>
        <v>1.6</v>
      </c>
      <c r="CC142" s="177">
        <f t="shared" si="253"/>
        <v>0.75690934739522497</v>
      </c>
      <c r="CD142" s="5">
        <f t="shared" si="254"/>
        <v>75.690934739522504</v>
      </c>
      <c r="CG142" s="571">
        <f t="shared" ref="CG142:CG173" si="300">IF(ABS(F142-Ioutmax_Vinmin)&lt;Iout/200, AN142, -50)</f>
        <v>-50</v>
      </c>
      <c r="CH142">
        <f t="shared" ref="CH142:CH173" si="301">IF(ABS(F142-Ioutmax_Vinmin)&lt;Iout/200, N142*CC142, -50)</f>
        <v>-50</v>
      </c>
    </row>
    <row r="143" spans="5:86" x14ac:dyDescent="0.2">
      <c r="E143" s="174">
        <v>33</v>
      </c>
      <c r="F143" s="221">
        <f t="shared" ref="F143:F174" si="302">IF(PLOT_TYPE=1, E143/100*Iout_max, min_I*EXP(N143*rr/100))</f>
        <v>0.33</v>
      </c>
      <c r="G143" s="221"/>
      <c r="H143" s="221">
        <f t="shared" si="266"/>
        <v>1.6500000000000001</v>
      </c>
      <c r="I143" s="551">
        <f t="shared" si="267"/>
        <v>23</v>
      </c>
      <c r="J143" s="451">
        <f t="shared" si="268"/>
        <v>10.64</v>
      </c>
      <c r="K143" s="451">
        <f t="shared" si="269"/>
        <v>33.64</v>
      </c>
      <c r="L143" s="451"/>
      <c r="M143" s="221">
        <f t="shared" si="270"/>
        <v>0.31629013079667062</v>
      </c>
      <c r="N143" s="176">
        <f t="shared" si="271"/>
        <v>13.744455410225921</v>
      </c>
      <c r="O143" s="176">
        <f t="shared" si="262"/>
        <v>1.6500000000000001</v>
      </c>
      <c r="P143" s="221">
        <f t="shared" si="272"/>
        <v>2.7488910820451844</v>
      </c>
      <c r="Q143" s="221">
        <f t="shared" si="273"/>
        <v>5</v>
      </c>
      <c r="R143" s="221"/>
      <c r="S143" s="176">
        <f t="shared" si="274"/>
        <v>117.12224364213934</v>
      </c>
      <c r="T143" s="176">
        <f t="shared" si="275"/>
        <v>5</v>
      </c>
      <c r="U143" s="221">
        <f t="shared" si="276"/>
        <v>0.50403181867712765</v>
      </c>
      <c r="V143" s="221">
        <f t="shared" si="277"/>
        <v>0.15340098829303886</v>
      </c>
      <c r="W143" s="221">
        <f t="shared" si="278"/>
        <v>0.33159988070863655</v>
      </c>
      <c r="X143" s="201">
        <f t="shared" si="279"/>
        <v>350</v>
      </c>
      <c r="Y143" s="451">
        <f t="shared" si="215"/>
        <v>350</v>
      </c>
      <c r="AA143" s="221">
        <f t="shared" si="280"/>
        <v>2.9692542891116021</v>
      </c>
      <c r="AB143" s="177">
        <f t="shared" si="281"/>
        <v>1.9534567691523697</v>
      </c>
      <c r="AC143" s="177">
        <f t="shared" si="282"/>
        <v>2.0301084616399181</v>
      </c>
      <c r="AD143" s="177"/>
      <c r="AE143" s="177">
        <f t="shared" si="283"/>
        <v>0.53947368421052622</v>
      </c>
      <c r="AF143" s="555">
        <f t="shared" si="284"/>
        <v>745.98453301606196</v>
      </c>
      <c r="AG143" s="538">
        <f t="shared" si="285"/>
        <v>0.15482894736842101</v>
      </c>
      <c r="AI143" s="177">
        <f t="shared" si="286"/>
        <v>1.1971394476596524</v>
      </c>
      <c r="AJ143" s="177">
        <f t="shared" si="287"/>
        <v>1.1971394476596524</v>
      </c>
      <c r="AK143" s="177">
        <f t="shared" si="288"/>
        <v>1.4514262984397683</v>
      </c>
      <c r="AM143" s="555">
        <f t="shared" si="289"/>
        <v>330</v>
      </c>
      <c r="AN143" s="469">
        <f t="shared" si="290"/>
        <v>350</v>
      </c>
      <c r="AP143" s="469">
        <f t="shared" si="291"/>
        <v>330</v>
      </c>
      <c r="AQ143" s="469">
        <f t="shared" si="292"/>
        <v>350</v>
      </c>
      <c r="AS143" s="5">
        <f t="shared" si="263"/>
        <v>2.8571428571428572</v>
      </c>
      <c r="AT143" s="5">
        <f t="shared" si="293"/>
        <v>0.3643467884181551</v>
      </c>
      <c r="AU143" s="5">
        <f t="shared" si="230"/>
        <v>2.4927960687247022</v>
      </c>
      <c r="AV143" s="5"/>
      <c r="AW143" s="177">
        <f t="shared" si="231"/>
        <v>0.12752137594635429</v>
      </c>
      <c r="AX143" s="177">
        <f t="shared" si="259"/>
        <v>1.7556000000000007</v>
      </c>
      <c r="AY143" s="177">
        <f t="shared" si="260"/>
        <v>1.044478578094435</v>
      </c>
      <c r="AZ143" s="177">
        <f t="shared" si="264"/>
        <v>1.6808386852729407</v>
      </c>
      <c r="BA143" s="469">
        <f t="shared" si="294"/>
        <v>101.93868054563885</v>
      </c>
      <c r="BB143" s="469">
        <f t="shared" si="295"/>
        <v>1.6963589963705101</v>
      </c>
      <c r="BC143" s="5">
        <f t="shared" si="258"/>
        <v>0.16558427992736546</v>
      </c>
      <c r="BD143" s="469">
        <f t="shared" si="296"/>
        <v>20.109244026066467</v>
      </c>
      <c r="BF143" s="177">
        <f t="shared" si="265"/>
        <v>0.24681730697727733</v>
      </c>
      <c r="BG143" s="177">
        <f t="shared" si="261"/>
        <v>1.2911940252197116</v>
      </c>
      <c r="BI143" s="538">
        <f t="shared" si="236"/>
        <v>6.701066132586711E-3</v>
      </c>
      <c r="BJ143" s="538">
        <f t="shared" si="237"/>
        <v>7.0475599283723739E-2</v>
      </c>
      <c r="BK143" s="538">
        <f t="shared" si="238"/>
        <v>1.7499999999999998E-2</v>
      </c>
      <c r="BL143" s="538">
        <f t="shared" si="239"/>
        <v>8.9117405999999996E-2</v>
      </c>
      <c r="BM143">
        <f t="shared" si="240"/>
        <v>6.6699999999999997E-3</v>
      </c>
      <c r="BN143">
        <f t="shared" si="297"/>
        <v>6.3E-5</v>
      </c>
      <c r="BO143" s="538">
        <f t="shared" si="298"/>
        <v>0.19166868428980496</v>
      </c>
      <c r="BP143" s="469">
        <f t="shared" si="243"/>
        <v>190.46407141631045</v>
      </c>
      <c r="BQ143" s="538">
        <f t="shared" si="299"/>
        <v>0.25343270562229941</v>
      </c>
      <c r="BT143" s="469">
        <f t="shared" si="245"/>
        <v>253.43270562229941</v>
      </c>
      <c r="BU143" s="538">
        <f t="shared" si="246"/>
        <v>6.0918783023515555E-3</v>
      </c>
      <c r="BV143" s="538">
        <f t="shared" si="247"/>
        <v>5.0015460322892433E-2</v>
      </c>
      <c r="BW143" s="538">
        <f t="shared" si="248"/>
        <v>0</v>
      </c>
      <c r="BX143" s="538"/>
      <c r="BY143" s="538">
        <f t="shared" si="249"/>
        <v>2.5080000000000015E-2</v>
      </c>
      <c r="BZ143" s="469">
        <f t="shared" si="250"/>
        <v>81.18733862524401</v>
      </c>
      <c r="CA143" s="177">
        <f t="shared" si="251"/>
        <v>0.52508411566385382</v>
      </c>
      <c r="CB143" s="5">
        <f t="shared" si="252"/>
        <v>1.6500000000000001</v>
      </c>
      <c r="CC143" s="177">
        <f t="shared" si="253"/>
        <v>0.75859135199302685</v>
      </c>
      <c r="CD143" s="5">
        <f t="shared" si="254"/>
        <v>75.859135199302685</v>
      </c>
      <c r="CG143" s="571">
        <f t="shared" si="300"/>
        <v>-50</v>
      </c>
      <c r="CH143">
        <f t="shared" si="301"/>
        <v>-50</v>
      </c>
    </row>
    <row r="144" spans="5:86" x14ac:dyDescent="0.2">
      <c r="E144" s="174">
        <v>34</v>
      </c>
      <c r="F144" s="221">
        <f t="shared" si="302"/>
        <v>0.34</v>
      </c>
      <c r="G144" s="221"/>
      <c r="H144" s="221">
        <f t="shared" si="266"/>
        <v>1.7000000000000002</v>
      </c>
      <c r="I144" s="551">
        <f t="shared" si="267"/>
        <v>23</v>
      </c>
      <c r="J144" s="451">
        <f t="shared" si="268"/>
        <v>10.64</v>
      </c>
      <c r="K144" s="451">
        <f t="shared" si="269"/>
        <v>33.64</v>
      </c>
      <c r="L144" s="451"/>
      <c r="M144" s="221">
        <f t="shared" si="270"/>
        <v>0.31629013079667062</v>
      </c>
      <c r="N144" s="176">
        <f t="shared" si="271"/>
        <v>13.744455410225921</v>
      </c>
      <c r="O144" s="176">
        <f t="shared" si="262"/>
        <v>1.7000000000000002</v>
      </c>
      <c r="P144" s="221">
        <f t="shared" si="272"/>
        <v>2.7488910820451844</v>
      </c>
      <c r="Q144" s="221">
        <f t="shared" si="273"/>
        <v>5</v>
      </c>
      <c r="R144" s="221"/>
      <c r="S144" s="176">
        <f t="shared" si="274"/>
        <v>113.34120045298229</v>
      </c>
      <c r="T144" s="176">
        <f t="shared" si="275"/>
        <v>5</v>
      </c>
      <c r="U144" s="221">
        <f t="shared" si="276"/>
        <v>0.51930551015219217</v>
      </c>
      <c r="V144" s="221">
        <f t="shared" si="277"/>
        <v>0.15804950308979762</v>
      </c>
      <c r="W144" s="221">
        <f t="shared" si="278"/>
        <v>0.34164836194223169</v>
      </c>
      <c r="X144" s="201">
        <f t="shared" si="279"/>
        <v>350</v>
      </c>
      <c r="Y144" s="451">
        <f t="shared" si="215"/>
        <v>350</v>
      </c>
      <c r="AA144" s="221">
        <f t="shared" si="280"/>
        <v>2.9692542891116021</v>
      </c>
      <c r="AB144" s="177">
        <f t="shared" si="281"/>
        <v>1.9534567691523697</v>
      </c>
      <c r="AC144" s="177">
        <f t="shared" si="282"/>
        <v>2.0301084616399181</v>
      </c>
      <c r="AD144" s="177"/>
      <c r="AE144" s="177">
        <f t="shared" si="283"/>
        <v>0.53947368421052622</v>
      </c>
      <c r="AF144" s="555">
        <f t="shared" si="284"/>
        <v>768.59012492563966</v>
      </c>
      <c r="AG144" s="538">
        <f t="shared" si="285"/>
        <v>0.15482894736842101</v>
      </c>
      <c r="AI144" s="177">
        <f t="shared" si="286"/>
        <v>1.2151425548352048</v>
      </c>
      <c r="AJ144" s="177">
        <f t="shared" si="287"/>
        <v>1.2151425548352048</v>
      </c>
      <c r="AK144" s="177">
        <f t="shared" si="288"/>
        <v>1.4634283698901367</v>
      </c>
      <c r="AM144" s="555">
        <f t="shared" si="289"/>
        <v>340</v>
      </c>
      <c r="AN144" s="469">
        <f t="shared" si="290"/>
        <v>350</v>
      </c>
      <c r="AP144" s="469">
        <f t="shared" si="291"/>
        <v>340</v>
      </c>
      <c r="AQ144" s="469">
        <f t="shared" si="292"/>
        <v>350</v>
      </c>
      <c r="AS144" s="5">
        <f t="shared" si="263"/>
        <v>2.8571428571428572</v>
      </c>
      <c r="AT144" s="5">
        <f t="shared" si="293"/>
        <v>0.36982599494984497</v>
      </c>
      <c r="AU144" s="5">
        <f t="shared" si="230"/>
        <v>2.4873168621930124</v>
      </c>
      <c r="AV144" s="5"/>
      <c r="AW144" s="177">
        <f t="shared" si="231"/>
        <v>0.12943909823244573</v>
      </c>
      <c r="AX144" s="177">
        <f t="shared" si="259"/>
        <v>1.8088000000000004</v>
      </c>
      <c r="AY144" s="177">
        <f t="shared" si="260"/>
        <v>1.0578555983134657</v>
      </c>
      <c r="AZ144" s="177">
        <f t="shared" si="264"/>
        <v>1.7098742048383182</v>
      </c>
      <c r="BA144" s="469">
        <f t="shared" si="294"/>
        <v>101.93868054563885</v>
      </c>
      <c r="BB144" s="469">
        <f t="shared" si="295"/>
        <v>1.7698172633648392</v>
      </c>
      <c r="BC144" s="5">
        <f t="shared" si="258"/>
        <v>0.17022699942544769</v>
      </c>
      <c r="BD144" s="469">
        <f t="shared" si="296"/>
        <v>20.67361674264793</v>
      </c>
      <c r="BF144" s="177">
        <f t="shared" si="265"/>
        <v>0.25240580697894671</v>
      </c>
      <c r="BG144" s="177">
        <f t="shared" si="261"/>
        <v>1.3091704011224559</v>
      </c>
      <c r="BI144" s="538">
        <f t="shared" si="236"/>
        <v>7.007956053636263E-3</v>
      </c>
      <c r="BJ144" s="538">
        <f t="shared" si="237"/>
        <v>7.1535442203148503E-2</v>
      </c>
      <c r="BK144" s="538">
        <f t="shared" si="238"/>
        <v>1.7499999999999998E-2</v>
      </c>
      <c r="BL144" s="538">
        <f t="shared" si="239"/>
        <v>8.9117405999999996E-2</v>
      </c>
      <c r="BM144">
        <f t="shared" si="240"/>
        <v>6.6699999999999997E-3</v>
      </c>
      <c r="BN144">
        <f t="shared" si="297"/>
        <v>6.3E-5</v>
      </c>
      <c r="BO144" s="538">
        <f t="shared" si="298"/>
        <v>0.1930895368954926</v>
      </c>
      <c r="BP144" s="469">
        <f t="shared" si="243"/>
        <v>191.83080425678477</v>
      </c>
      <c r="BQ144" s="538">
        <f t="shared" si="299"/>
        <v>0.26082403343298011</v>
      </c>
      <c r="BT144" s="469">
        <f t="shared" si="245"/>
        <v>260.82403343298012</v>
      </c>
      <c r="BU144" s="538">
        <f t="shared" si="246"/>
        <v>6.3708691396693303E-3</v>
      </c>
      <c r="BV144" s="538">
        <f t="shared" si="247"/>
        <v>5.1417814175253963E-2</v>
      </c>
      <c r="BW144" s="538">
        <f t="shared" si="248"/>
        <v>0</v>
      </c>
      <c r="BX144" s="538"/>
      <c r="BY144" s="538">
        <f t="shared" si="249"/>
        <v>2.5840000000000005E-2</v>
      </c>
      <c r="BZ144" s="469">
        <f t="shared" si="250"/>
        <v>83.628683314923308</v>
      </c>
      <c r="CA144" s="177">
        <f t="shared" si="251"/>
        <v>0.53628352100468812</v>
      </c>
      <c r="CB144" s="5">
        <f t="shared" si="252"/>
        <v>1.7000000000000002</v>
      </c>
      <c r="CC144" s="177">
        <f t="shared" si="253"/>
        <v>0.76018983462179524</v>
      </c>
      <c r="CD144" s="5">
        <f t="shared" si="254"/>
        <v>76.01898346217952</v>
      </c>
      <c r="CG144" s="571">
        <f t="shared" si="300"/>
        <v>-50</v>
      </c>
      <c r="CH144">
        <f t="shared" si="301"/>
        <v>-50</v>
      </c>
    </row>
    <row r="145" spans="5:86" x14ac:dyDescent="0.2">
      <c r="E145" s="174">
        <v>35</v>
      </c>
      <c r="F145" s="221">
        <f t="shared" si="302"/>
        <v>0.35</v>
      </c>
      <c r="G145" s="221"/>
      <c r="H145" s="221">
        <f t="shared" si="266"/>
        <v>1.75</v>
      </c>
      <c r="I145" s="551">
        <f t="shared" si="267"/>
        <v>23</v>
      </c>
      <c r="J145" s="451">
        <f t="shared" si="268"/>
        <v>10.64</v>
      </c>
      <c r="K145" s="451">
        <f t="shared" si="269"/>
        <v>33.64</v>
      </c>
      <c r="L145" s="451"/>
      <c r="M145" s="221">
        <f t="shared" si="270"/>
        <v>0.31629013079667062</v>
      </c>
      <c r="N145" s="176">
        <f t="shared" si="271"/>
        <v>13.744455410225921</v>
      </c>
      <c r="O145" s="176">
        <f t="shared" si="262"/>
        <v>1.75</v>
      </c>
      <c r="P145" s="221">
        <f t="shared" si="272"/>
        <v>2.7488910820451844</v>
      </c>
      <c r="Q145" s="221">
        <f t="shared" si="273"/>
        <v>5</v>
      </c>
      <c r="R145" s="221"/>
      <c r="S145" s="176">
        <f t="shared" si="274"/>
        <v>109.77628243132949</v>
      </c>
      <c r="T145" s="176">
        <f t="shared" si="275"/>
        <v>5</v>
      </c>
      <c r="U145" s="221">
        <f t="shared" si="276"/>
        <v>0.53457920162725658</v>
      </c>
      <c r="V145" s="221">
        <f t="shared" si="277"/>
        <v>0.16269801788655636</v>
      </c>
      <c r="W145" s="221">
        <f t="shared" si="278"/>
        <v>0.35169684317582667</v>
      </c>
      <c r="X145" s="201">
        <f t="shared" si="279"/>
        <v>350</v>
      </c>
      <c r="Y145" s="451">
        <f t="shared" si="215"/>
        <v>350</v>
      </c>
      <c r="AA145" s="221">
        <f t="shared" si="280"/>
        <v>2.9692542891116021</v>
      </c>
      <c r="AB145" s="177">
        <f t="shared" si="281"/>
        <v>1.9534567691523697</v>
      </c>
      <c r="AC145" s="177">
        <f t="shared" si="282"/>
        <v>2.0301084616399181</v>
      </c>
      <c r="AD145" s="177"/>
      <c r="AE145" s="177">
        <f t="shared" si="283"/>
        <v>0.53947368421052622</v>
      </c>
      <c r="AF145" s="555">
        <f t="shared" si="284"/>
        <v>791.19571683521724</v>
      </c>
      <c r="AG145" s="538">
        <f t="shared" si="285"/>
        <v>0.15482894736842101</v>
      </c>
      <c r="AI145" s="177">
        <f t="shared" si="286"/>
        <v>1.2328828005937953</v>
      </c>
      <c r="AJ145" s="177">
        <f t="shared" si="287"/>
        <v>1.2328828005937953</v>
      </c>
      <c r="AK145" s="177">
        <f t="shared" si="288"/>
        <v>1.4752552003958637</v>
      </c>
      <c r="AM145" s="555">
        <f t="shared" si="289"/>
        <v>350</v>
      </c>
      <c r="AN145" s="469">
        <f t="shared" si="290"/>
        <v>350</v>
      </c>
      <c r="AP145" s="469">
        <f t="shared" si="291"/>
        <v>350</v>
      </c>
      <c r="AQ145" s="469">
        <f t="shared" si="292"/>
        <v>350</v>
      </c>
      <c r="AS145" s="5">
        <f t="shared" si="263"/>
        <v>2.8571428571428572</v>
      </c>
      <c r="AT145" s="5">
        <f t="shared" si="293"/>
        <v>0.37522520018072025</v>
      </c>
      <c r="AU145" s="5">
        <f t="shared" si="230"/>
        <v>2.4819176569621368</v>
      </c>
      <c r="AV145" s="5"/>
      <c r="AW145" s="177">
        <f t="shared" si="231"/>
        <v>0.13132882006325208</v>
      </c>
      <c r="AX145" s="177">
        <f t="shared" si="259"/>
        <v>1.8619999999999999</v>
      </c>
      <c r="AY145" s="177">
        <f t="shared" si="260"/>
        <v>1.0709697571155345</v>
      </c>
      <c r="AZ145" s="177">
        <f t="shared" si="264"/>
        <v>1.7386111863839777</v>
      </c>
      <c r="BA145" s="469">
        <f t="shared" si="294"/>
        <v>101.93868054563885</v>
      </c>
      <c r="BB145" s="469">
        <f t="shared" si="295"/>
        <v>1.8445727920604909</v>
      </c>
      <c r="BC145" s="5">
        <f t="shared" si="258"/>
        <v>0.17485329708871736</v>
      </c>
      <c r="BD145" s="469">
        <f t="shared" si="296"/>
        <v>21.236018839051884</v>
      </c>
      <c r="BF145" s="177">
        <f t="shared" si="265"/>
        <v>0.25795335915377104</v>
      </c>
      <c r="BG145" s="177">
        <f t="shared" si="261"/>
        <v>1.3268409568112558</v>
      </c>
      <c r="BI145" s="538">
        <f t="shared" si="236"/>
        <v>7.319392904858584E-3</v>
      </c>
      <c r="BJ145" s="538">
        <f t="shared" si="237"/>
        <v>7.2579810470956727E-2</v>
      </c>
      <c r="BK145" s="538">
        <f t="shared" si="238"/>
        <v>1.7499999999999998E-2</v>
      </c>
      <c r="BL145" s="538">
        <f t="shared" si="239"/>
        <v>8.9117405999999996E-2</v>
      </c>
      <c r="BM145">
        <f t="shared" si="240"/>
        <v>6.6699999999999997E-3</v>
      </c>
      <c r="BN145">
        <f t="shared" si="297"/>
        <v>6.3E-5</v>
      </c>
      <c r="BO145" s="538">
        <f t="shared" si="298"/>
        <v>0.19450038618372359</v>
      </c>
      <c r="BP145" s="469">
        <f t="shared" si="243"/>
        <v>193.18660937581532</v>
      </c>
      <c r="BQ145" s="538">
        <f t="shared" si="299"/>
        <v>0.2682027290449262</v>
      </c>
      <c r="BT145" s="469">
        <f t="shared" si="245"/>
        <v>268.20272904492623</v>
      </c>
      <c r="BU145" s="538">
        <f t="shared" si="246"/>
        <v>6.6539935498714405E-3</v>
      </c>
      <c r="BV145" s="538">
        <f t="shared" si="247"/>
        <v>5.281520774015426E-2</v>
      </c>
      <c r="BW145" s="538">
        <f t="shared" si="248"/>
        <v>0</v>
      </c>
      <c r="BX145" s="538"/>
      <c r="BY145" s="538">
        <f t="shared" si="249"/>
        <v>2.6600000000000002E-2</v>
      </c>
      <c r="BZ145" s="469">
        <f t="shared" si="250"/>
        <v>86.069201290025703</v>
      </c>
      <c r="CA145" s="177">
        <f t="shared" si="251"/>
        <v>0.54745853971076719</v>
      </c>
      <c r="CB145" s="5">
        <f t="shared" si="252"/>
        <v>1.75</v>
      </c>
      <c r="CC145" s="177">
        <f t="shared" si="253"/>
        <v>0.76171124298953041</v>
      </c>
      <c r="CD145" s="5">
        <f t="shared" si="254"/>
        <v>76.171124298953046</v>
      </c>
      <c r="CG145" s="571">
        <f t="shared" si="300"/>
        <v>-50</v>
      </c>
      <c r="CH145">
        <f t="shared" si="301"/>
        <v>-50</v>
      </c>
    </row>
    <row r="146" spans="5:86" x14ac:dyDescent="0.2">
      <c r="E146" s="174">
        <v>36</v>
      </c>
      <c r="F146" s="221">
        <f t="shared" si="302"/>
        <v>0.36</v>
      </c>
      <c r="G146" s="221"/>
      <c r="H146" s="221">
        <f t="shared" si="266"/>
        <v>1.7999999999999998</v>
      </c>
      <c r="I146" s="551">
        <f t="shared" si="267"/>
        <v>23</v>
      </c>
      <c r="J146" s="451">
        <f t="shared" si="268"/>
        <v>10.64</v>
      </c>
      <c r="K146" s="451">
        <f t="shared" si="269"/>
        <v>33.64</v>
      </c>
      <c r="L146" s="451"/>
      <c r="M146" s="221">
        <f t="shared" si="270"/>
        <v>0.31629013079667062</v>
      </c>
      <c r="N146" s="176">
        <f t="shared" si="271"/>
        <v>13.744455410225921</v>
      </c>
      <c r="O146" s="176">
        <f t="shared" si="262"/>
        <v>1.7999999999999998</v>
      </c>
      <c r="P146" s="221">
        <f t="shared" si="272"/>
        <v>2.7488910820451844</v>
      </c>
      <c r="Q146" s="221">
        <f t="shared" si="273"/>
        <v>5</v>
      </c>
      <c r="R146" s="221"/>
      <c r="S146" s="176">
        <f t="shared" si="274"/>
        <v>106.40947969586742</v>
      </c>
      <c r="T146" s="176">
        <f t="shared" si="275"/>
        <v>5</v>
      </c>
      <c r="U146" s="221">
        <f t="shared" si="276"/>
        <v>0.54985289310232099</v>
      </c>
      <c r="V146" s="221">
        <f t="shared" si="277"/>
        <v>0.16734653268331506</v>
      </c>
      <c r="W146" s="221">
        <f t="shared" si="278"/>
        <v>0.36174532440942164</v>
      </c>
      <c r="X146" s="201">
        <f t="shared" si="279"/>
        <v>350</v>
      </c>
      <c r="Y146" s="451">
        <f t="shared" si="215"/>
        <v>350</v>
      </c>
      <c r="AA146" s="221">
        <f t="shared" si="280"/>
        <v>2.9692542891116021</v>
      </c>
      <c r="AB146" s="177">
        <f t="shared" si="281"/>
        <v>1.9534567691523697</v>
      </c>
      <c r="AC146" s="177">
        <f t="shared" si="282"/>
        <v>2.0301084616399181</v>
      </c>
      <c r="AD146" s="177"/>
      <c r="AE146" s="177">
        <f t="shared" si="283"/>
        <v>0.53947368421052622</v>
      </c>
      <c r="AF146" s="555">
        <f t="shared" si="284"/>
        <v>813.80130874479494</v>
      </c>
      <c r="AG146" s="538">
        <f t="shared" si="285"/>
        <v>0.15482894736842101</v>
      </c>
      <c r="AI146" s="177">
        <f t="shared" si="286"/>
        <v>1.2503713734041466</v>
      </c>
      <c r="AJ146" s="177">
        <f t="shared" si="287"/>
        <v>1.2503713734041466</v>
      </c>
      <c r="AK146" s="177">
        <f t="shared" si="288"/>
        <v>1.4869142489360978</v>
      </c>
      <c r="AM146" s="555">
        <f t="shared" si="289"/>
        <v>360</v>
      </c>
      <c r="AN146" s="469">
        <f t="shared" si="290"/>
        <v>350</v>
      </c>
      <c r="AP146" s="469">
        <f t="shared" si="291"/>
        <v>360</v>
      </c>
      <c r="AQ146" s="469">
        <f t="shared" si="292"/>
        <v>350</v>
      </c>
      <c r="AS146" s="5">
        <f t="shared" si="263"/>
        <v>2.8571428571428572</v>
      </c>
      <c r="AT146" s="5">
        <f t="shared" si="293"/>
        <v>0.38054780929691417</v>
      </c>
      <c r="AU146" s="5">
        <f t="shared" si="230"/>
        <v>2.4765950478459429</v>
      </c>
      <c r="AV146" s="5"/>
      <c r="AW146" s="177">
        <f t="shared" si="231"/>
        <v>0.13319173325391995</v>
      </c>
      <c r="AX146" s="177">
        <f t="shared" si="259"/>
        <v>1.9152000000000005</v>
      </c>
      <c r="AY146" s="177">
        <f t="shared" si="260"/>
        <v>1.0838322429693639</v>
      </c>
      <c r="AZ146" s="177">
        <f t="shared" si="264"/>
        <v>1.7670631340076643</v>
      </c>
      <c r="BA146" s="469">
        <f t="shared" si="294"/>
        <v>101.93868054563885</v>
      </c>
      <c r="BB146" s="469">
        <f t="shared" si="295"/>
        <v>1.9206255824574665</v>
      </c>
      <c r="BC146" s="5">
        <f t="shared" si="258"/>
        <v>0.17946340926419868</v>
      </c>
      <c r="BD146" s="469">
        <f t="shared" si="296"/>
        <v>21.796478676921236</v>
      </c>
      <c r="BF146" s="177">
        <f t="shared" si="265"/>
        <v>0.26346142111466181</v>
      </c>
      <c r="BG146" s="177">
        <f t="shared" si="261"/>
        <v>1.344218638060193</v>
      </c>
      <c r="BI146" s="538">
        <f t="shared" si="236"/>
        <v>7.6353112457332884E-3</v>
      </c>
      <c r="BJ146" s="538">
        <f t="shared" si="237"/>
        <v>7.3609362752302107E-2</v>
      </c>
      <c r="BK146" s="538">
        <f t="shared" si="238"/>
        <v>1.7499999999999998E-2</v>
      </c>
      <c r="BL146" s="538">
        <f t="shared" si="239"/>
        <v>8.9117405999999996E-2</v>
      </c>
      <c r="BM146">
        <f t="shared" si="240"/>
        <v>6.6699999999999997E-3</v>
      </c>
      <c r="BN146">
        <f t="shared" si="297"/>
        <v>6.3E-5</v>
      </c>
      <c r="BO146" s="538">
        <f t="shared" si="298"/>
        <v>0.19590181682937977</v>
      </c>
      <c r="BP146" s="469">
        <f t="shared" si="243"/>
        <v>194.53207999803541</v>
      </c>
      <c r="BQ146" s="538">
        <f t="shared" si="299"/>
        <v>0.27556897426380178</v>
      </c>
      <c r="BT146" s="469">
        <f t="shared" si="245"/>
        <v>275.56897426380181</v>
      </c>
      <c r="BU146" s="538">
        <f t="shared" si="246"/>
        <v>6.9411920415757174E-3</v>
      </c>
      <c r="BV146" s="538">
        <f t="shared" si="247"/>
        <v>5.4207712407252008E-2</v>
      </c>
      <c r="BW146" s="538">
        <f t="shared" si="248"/>
        <v>0</v>
      </c>
      <c r="BX146" s="538"/>
      <c r="BY146" s="538">
        <f t="shared" si="249"/>
        <v>2.7360000000000009E-2</v>
      </c>
      <c r="BZ146" s="469">
        <f t="shared" si="250"/>
        <v>88.508904448827735</v>
      </c>
      <c r="CA146" s="177">
        <f t="shared" si="251"/>
        <v>0.55860995871066499</v>
      </c>
      <c r="CB146" s="5">
        <f t="shared" si="252"/>
        <v>1.7999999999999998</v>
      </c>
      <c r="CC146" s="177">
        <f t="shared" si="253"/>
        <v>0.76316136686880198</v>
      </c>
      <c r="CD146" s="5">
        <f t="shared" si="254"/>
        <v>76.316136686880199</v>
      </c>
      <c r="CG146" s="571">
        <f t="shared" si="300"/>
        <v>-50</v>
      </c>
      <c r="CH146">
        <f t="shared" si="301"/>
        <v>-50</v>
      </c>
    </row>
    <row r="147" spans="5:86" x14ac:dyDescent="0.2">
      <c r="E147" s="174">
        <v>37</v>
      </c>
      <c r="F147" s="221">
        <f t="shared" si="302"/>
        <v>0.37</v>
      </c>
      <c r="G147" s="221"/>
      <c r="H147" s="221">
        <f t="shared" si="266"/>
        <v>1.85</v>
      </c>
      <c r="I147" s="551">
        <f t="shared" si="267"/>
        <v>23</v>
      </c>
      <c r="J147" s="451">
        <f t="shared" si="268"/>
        <v>10.64</v>
      </c>
      <c r="K147" s="451">
        <f t="shared" si="269"/>
        <v>33.64</v>
      </c>
      <c r="L147" s="451"/>
      <c r="M147" s="221">
        <f t="shared" si="270"/>
        <v>0.31629013079667062</v>
      </c>
      <c r="N147" s="176">
        <f t="shared" si="271"/>
        <v>13.744455410225921</v>
      </c>
      <c r="O147" s="176">
        <f t="shared" si="262"/>
        <v>1.85</v>
      </c>
      <c r="P147" s="221">
        <f t="shared" si="272"/>
        <v>2.7488910820451844</v>
      </c>
      <c r="Q147" s="221">
        <f t="shared" si="273"/>
        <v>5</v>
      </c>
      <c r="R147" s="221"/>
      <c r="S147" s="176">
        <f t="shared" si="274"/>
        <v>103.22472938541011</v>
      </c>
      <c r="T147" s="176">
        <f t="shared" si="275"/>
        <v>5</v>
      </c>
      <c r="U147" s="221">
        <f t="shared" si="276"/>
        <v>0.56512658457738552</v>
      </c>
      <c r="V147" s="221">
        <f t="shared" si="277"/>
        <v>0.17199504748007383</v>
      </c>
      <c r="W147" s="221">
        <f t="shared" si="278"/>
        <v>0.37179380564301673</v>
      </c>
      <c r="X147" s="201">
        <f t="shared" si="279"/>
        <v>350</v>
      </c>
      <c r="Y147" s="451">
        <f t="shared" si="215"/>
        <v>350</v>
      </c>
      <c r="AA147" s="221">
        <f t="shared" si="280"/>
        <v>2.9692542891116021</v>
      </c>
      <c r="AB147" s="177">
        <f t="shared" si="281"/>
        <v>1.9534567691523697</v>
      </c>
      <c r="AC147" s="177">
        <f t="shared" si="282"/>
        <v>2.0301084616399181</v>
      </c>
      <c r="AD147" s="177"/>
      <c r="AE147" s="177">
        <f t="shared" si="283"/>
        <v>0.53947368421052622</v>
      </c>
      <c r="AF147" s="555">
        <f t="shared" si="284"/>
        <v>836.40690065437252</v>
      </c>
      <c r="AG147" s="538">
        <f t="shared" si="285"/>
        <v>0.15482894736842101</v>
      </c>
      <c r="AI147" s="177">
        <f t="shared" si="286"/>
        <v>1.2676186898500443</v>
      </c>
      <c r="AJ147" s="177">
        <f t="shared" si="287"/>
        <v>1.2676186898500443</v>
      </c>
      <c r="AK147" s="177">
        <f t="shared" si="288"/>
        <v>1.4984124599000297</v>
      </c>
      <c r="AM147" s="555">
        <f t="shared" si="289"/>
        <v>370</v>
      </c>
      <c r="AN147" s="469">
        <f t="shared" si="290"/>
        <v>350</v>
      </c>
      <c r="AP147" s="469">
        <f t="shared" si="291"/>
        <v>370</v>
      </c>
      <c r="AQ147" s="469">
        <f t="shared" si="292"/>
        <v>350</v>
      </c>
      <c r="AS147" s="5">
        <f t="shared" si="263"/>
        <v>2.8571428571428572</v>
      </c>
      <c r="AT147" s="5">
        <f t="shared" si="293"/>
        <v>0.38579699256305694</v>
      </c>
      <c r="AU147" s="5">
        <f t="shared" si="230"/>
        <v>2.4713458645798001</v>
      </c>
      <c r="AV147" s="5"/>
      <c r="AW147" s="177">
        <f t="shared" si="231"/>
        <v>0.13502894739706992</v>
      </c>
      <c r="AX147" s="177">
        <f t="shared" si="259"/>
        <v>1.9684000000000004</v>
      </c>
      <c r="AY147" s="177">
        <f t="shared" si="260"/>
        <v>1.09645347245874</v>
      </c>
      <c r="AZ147" s="177">
        <f t="shared" si="264"/>
        <v>1.7952426158001629</v>
      </c>
      <c r="BA147" s="469">
        <f t="shared" si="294"/>
        <v>101.93868054563885</v>
      </c>
      <c r="BB147" s="469">
        <f t="shared" si="295"/>
        <v>1.9979756345557651</v>
      </c>
      <c r="BC147" s="5">
        <f t="shared" si="258"/>
        <v>0.18405756237812521</v>
      </c>
      <c r="BD147" s="469">
        <f t="shared" si="296"/>
        <v>22.355023427404014</v>
      </c>
      <c r="BF147" s="177">
        <f t="shared" si="265"/>
        <v>0.26893135965487752</v>
      </c>
      <c r="BG147" s="177">
        <f t="shared" si="261"/>
        <v>1.3613154982049187</v>
      </c>
      <c r="BI147" s="538">
        <f t="shared" si="236"/>
        <v>7.9556483826403197E-3</v>
      </c>
      <c r="BJ147" s="538">
        <f t="shared" si="237"/>
        <v>7.4624712271472118E-2</v>
      </c>
      <c r="BK147" s="538">
        <f t="shared" si="238"/>
        <v>1.7499999999999998E-2</v>
      </c>
      <c r="BL147" s="538">
        <f t="shared" si="239"/>
        <v>8.9117405999999996E-2</v>
      </c>
      <c r="BM147">
        <f t="shared" si="240"/>
        <v>6.6699999999999997E-3</v>
      </c>
      <c r="BN147">
        <f t="shared" si="297"/>
        <v>6.3E-5</v>
      </c>
      <c r="BO147" s="538">
        <f t="shared" si="298"/>
        <v>0.19729437124286039</v>
      </c>
      <c r="BP147" s="469">
        <f t="shared" si="243"/>
        <v>195.86776665411242</v>
      </c>
      <c r="BQ147" s="538">
        <f t="shared" si="299"/>
        <v>0.28292294326388201</v>
      </c>
      <c r="BT147" s="469">
        <f t="shared" si="245"/>
        <v>282.92294326388202</v>
      </c>
      <c r="BU147" s="538">
        <f t="shared" si="246"/>
        <v>7.2324076205821089E-3</v>
      </c>
      <c r="BV147" s="538">
        <f t="shared" si="247"/>
        <v>5.5595396569587181E-2</v>
      </c>
      <c r="BW147" s="538">
        <f t="shared" si="248"/>
        <v>0</v>
      </c>
      <c r="BX147" s="538"/>
      <c r="BY147" s="538">
        <f t="shared" si="249"/>
        <v>2.8120000000000006E-2</v>
      </c>
      <c r="BZ147" s="469">
        <f t="shared" si="250"/>
        <v>90.947804190169293</v>
      </c>
      <c r="CA147" s="177">
        <f t="shared" si="251"/>
        <v>0.56973851410816378</v>
      </c>
      <c r="CB147" s="5">
        <f t="shared" si="252"/>
        <v>1.85</v>
      </c>
      <c r="CC147" s="177">
        <f t="shared" si="253"/>
        <v>0.76454542059551811</v>
      </c>
      <c r="CD147" s="5">
        <f t="shared" si="254"/>
        <v>76.454542059551812</v>
      </c>
      <c r="CG147" s="571">
        <f t="shared" si="300"/>
        <v>-50</v>
      </c>
      <c r="CH147">
        <f t="shared" si="301"/>
        <v>-50</v>
      </c>
    </row>
    <row r="148" spans="5:86" x14ac:dyDescent="0.2">
      <c r="E148" s="174">
        <v>38</v>
      </c>
      <c r="F148" s="221">
        <f t="shared" si="302"/>
        <v>0.38</v>
      </c>
      <c r="G148" s="221"/>
      <c r="H148" s="221">
        <f t="shared" si="266"/>
        <v>1.9</v>
      </c>
      <c r="I148" s="551">
        <f t="shared" si="267"/>
        <v>23</v>
      </c>
      <c r="J148" s="451">
        <f t="shared" si="268"/>
        <v>10.64</v>
      </c>
      <c r="K148" s="451">
        <f t="shared" si="269"/>
        <v>33.64</v>
      </c>
      <c r="L148" s="451"/>
      <c r="M148" s="221">
        <f t="shared" si="270"/>
        <v>0.31629013079667062</v>
      </c>
      <c r="N148" s="176">
        <f t="shared" si="271"/>
        <v>13.744455410225921</v>
      </c>
      <c r="O148" s="176">
        <f t="shared" si="262"/>
        <v>1.9</v>
      </c>
      <c r="P148" s="221">
        <f t="shared" si="272"/>
        <v>2.7488910820451844</v>
      </c>
      <c r="Q148" s="221">
        <f t="shared" si="273"/>
        <v>5</v>
      </c>
      <c r="R148" s="221"/>
      <c r="S148" s="176">
        <f t="shared" si="274"/>
        <v>100.20765947211741</v>
      </c>
      <c r="T148" s="176">
        <f t="shared" si="275"/>
        <v>5</v>
      </c>
      <c r="U148" s="221">
        <f t="shared" si="276"/>
        <v>0.58040027605244993</v>
      </c>
      <c r="V148" s="221">
        <f t="shared" si="277"/>
        <v>0.17664356227683259</v>
      </c>
      <c r="W148" s="221">
        <f t="shared" si="278"/>
        <v>0.3818422868766117</v>
      </c>
      <c r="X148" s="201">
        <f t="shared" si="279"/>
        <v>350</v>
      </c>
      <c r="Y148" s="451">
        <f t="shared" si="215"/>
        <v>350</v>
      </c>
      <c r="AA148" s="221">
        <f t="shared" si="280"/>
        <v>2.9692542891116021</v>
      </c>
      <c r="AB148" s="177">
        <f t="shared" si="281"/>
        <v>1.9534567691523697</v>
      </c>
      <c r="AC148" s="177">
        <f t="shared" si="282"/>
        <v>2.0301084616399181</v>
      </c>
      <c r="AD148" s="177"/>
      <c r="AE148" s="177">
        <f t="shared" si="283"/>
        <v>0.53947368421052622</v>
      </c>
      <c r="AF148" s="555">
        <f t="shared" si="284"/>
        <v>859.0124925639501</v>
      </c>
      <c r="AG148" s="538">
        <f t="shared" si="285"/>
        <v>0.15482894736842101</v>
      </c>
      <c r="AI148" s="177">
        <f t="shared" si="286"/>
        <v>1.2846344671873453</v>
      </c>
      <c r="AJ148" s="177">
        <f t="shared" si="287"/>
        <v>1.2846344671873453</v>
      </c>
      <c r="AK148" s="177">
        <f t="shared" si="288"/>
        <v>1.5097563114582302</v>
      </c>
      <c r="AM148" s="555">
        <f t="shared" si="289"/>
        <v>380</v>
      </c>
      <c r="AN148" s="469">
        <f t="shared" si="290"/>
        <v>350</v>
      </c>
      <c r="AP148" s="469">
        <f t="shared" si="291"/>
        <v>380</v>
      </c>
      <c r="AQ148" s="469">
        <f t="shared" si="292"/>
        <v>350</v>
      </c>
      <c r="AS148" s="5">
        <f t="shared" si="263"/>
        <v>2.8571428571428572</v>
      </c>
      <c r="AT148" s="5">
        <f t="shared" si="293"/>
        <v>0.39097570740484416</v>
      </c>
      <c r="AU148" s="5">
        <f t="shared" si="230"/>
        <v>2.4661671497380131</v>
      </c>
      <c r="AV148" s="5"/>
      <c r="AW148" s="177">
        <f t="shared" si="231"/>
        <v>0.13684149759169545</v>
      </c>
      <c r="AX148" s="177">
        <f t="shared" si="259"/>
        <v>2.0216000000000007</v>
      </c>
      <c r="AY148" s="177">
        <f t="shared" si="260"/>
        <v>1.1088431628395192</v>
      </c>
      <c r="AZ148" s="177">
        <f t="shared" si="264"/>
        <v>1.8231613520735421</v>
      </c>
      <c r="BA148" s="469">
        <f t="shared" si="294"/>
        <v>101.93868054563885</v>
      </c>
      <c r="BB148" s="469">
        <f t="shared" si="295"/>
        <v>2.0766229483553875</v>
      </c>
      <c r="BC148" s="5">
        <f t="shared" si="258"/>
        <v>0.18863597361120066</v>
      </c>
      <c r="BD148" s="469">
        <f t="shared" si="296"/>
        <v>22.911679152184661</v>
      </c>
      <c r="BF148" s="177">
        <f t="shared" si="265"/>
        <v>0.27436445870231202</v>
      </c>
      <c r="BG148" s="177">
        <f t="shared" si="261"/>
        <v>1.3781427820022503</v>
      </c>
      <c r="BI148" s="538">
        <f t="shared" si="236"/>
        <v>8.2803441818913946E-3</v>
      </c>
      <c r="BJ148" s="538">
        <f t="shared" si="237"/>
        <v>7.5626431083319026E-2</v>
      </c>
      <c r="BK148" s="538">
        <f t="shared" si="238"/>
        <v>1.7499999999999998E-2</v>
      </c>
      <c r="BL148" s="538">
        <f t="shared" si="239"/>
        <v>8.9117405999999996E-2</v>
      </c>
      <c r="BM148">
        <f t="shared" si="240"/>
        <v>6.6699999999999997E-3</v>
      </c>
      <c r="BN148">
        <f t="shared" si="297"/>
        <v>6.3E-5</v>
      </c>
      <c r="BO148" s="538">
        <f t="shared" si="298"/>
        <v>0.19867855362539505</v>
      </c>
      <c r="BP148" s="469">
        <f t="shared" si="243"/>
        <v>197.19418126521043</v>
      </c>
      <c r="BQ148" s="538">
        <f t="shared" si="299"/>
        <v>0.29026480310748659</v>
      </c>
      <c r="BT148" s="469">
        <f t="shared" si="245"/>
        <v>290.26480310748661</v>
      </c>
      <c r="BU148" s="538">
        <f t="shared" si="246"/>
        <v>7.527585619901269E-3</v>
      </c>
      <c r="BV148" s="538">
        <f t="shared" si="247"/>
        <v>5.6978325827547055E-2</v>
      </c>
      <c r="BW148" s="538">
        <f t="shared" si="248"/>
        <v>0</v>
      </c>
      <c r="BX148" s="538"/>
      <c r="BY148" s="538">
        <f t="shared" si="249"/>
        <v>2.888000000000001E-2</v>
      </c>
      <c r="BZ148" s="469">
        <f t="shared" si="250"/>
        <v>93.38591144744835</v>
      </c>
      <c r="CA148" s="177">
        <f t="shared" si="251"/>
        <v>0.58084489582014531</v>
      </c>
      <c r="CB148" s="5">
        <f t="shared" si="252"/>
        <v>1.9</v>
      </c>
      <c r="CC148" s="177">
        <f t="shared" si="253"/>
        <v>0.76586811340008287</v>
      </c>
      <c r="CD148" s="5">
        <f t="shared" si="254"/>
        <v>76.586811340008282</v>
      </c>
      <c r="CG148" s="571">
        <f t="shared" si="300"/>
        <v>-50</v>
      </c>
      <c r="CH148">
        <f t="shared" si="301"/>
        <v>-50</v>
      </c>
    </row>
    <row r="149" spans="5:86" x14ac:dyDescent="0.2">
      <c r="E149" s="174">
        <v>39</v>
      </c>
      <c r="F149" s="221">
        <f t="shared" si="302"/>
        <v>0.39</v>
      </c>
      <c r="G149" s="221"/>
      <c r="H149" s="221">
        <f t="shared" si="266"/>
        <v>1.9500000000000002</v>
      </c>
      <c r="I149" s="551">
        <f t="shared" si="267"/>
        <v>23</v>
      </c>
      <c r="J149" s="451">
        <f t="shared" si="268"/>
        <v>10.64</v>
      </c>
      <c r="K149" s="451">
        <f t="shared" si="269"/>
        <v>33.64</v>
      </c>
      <c r="L149" s="451"/>
      <c r="M149" s="221">
        <f t="shared" si="270"/>
        <v>0.31629013079667062</v>
      </c>
      <c r="N149" s="176">
        <f t="shared" si="271"/>
        <v>13.744455410225921</v>
      </c>
      <c r="O149" s="176">
        <f t="shared" si="262"/>
        <v>1.9500000000000002</v>
      </c>
      <c r="P149" s="221">
        <f t="shared" si="272"/>
        <v>2.7488910820451844</v>
      </c>
      <c r="Q149" s="221">
        <f t="shared" si="273"/>
        <v>5</v>
      </c>
      <c r="R149" s="221"/>
      <c r="S149" s="176">
        <f t="shared" si="274"/>
        <v>97.345371988065097</v>
      </c>
      <c r="T149" s="176">
        <f t="shared" si="275"/>
        <v>5</v>
      </c>
      <c r="U149" s="221">
        <f t="shared" si="276"/>
        <v>0.59567396752751456</v>
      </c>
      <c r="V149" s="221">
        <f t="shared" si="277"/>
        <v>0.18129207707359138</v>
      </c>
      <c r="W149" s="221">
        <f t="shared" si="278"/>
        <v>0.3918907681102069</v>
      </c>
      <c r="X149" s="201">
        <f t="shared" si="279"/>
        <v>350</v>
      </c>
      <c r="Y149" s="451">
        <f t="shared" si="215"/>
        <v>350</v>
      </c>
      <c r="AA149" s="221">
        <f t="shared" si="280"/>
        <v>2.9692542891116021</v>
      </c>
      <c r="AB149" s="177">
        <f t="shared" si="281"/>
        <v>1.9534567691523697</v>
      </c>
      <c r="AC149" s="177">
        <f t="shared" si="282"/>
        <v>2.0301084616399181</v>
      </c>
      <c r="AD149" s="177"/>
      <c r="AE149" s="177">
        <f t="shared" si="283"/>
        <v>0.53947368421052622</v>
      </c>
      <c r="AF149" s="555">
        <f t="shared" si="284"/>
        <v>881.6180844735278</v>
      </c>
      <c r="AG149" s="538">
        <f t="shared" si="285"/>
        <v>0.15482894736842101</v>
      </c>
      <c r="AI149" s="177">
        <f t="shared" si="286"/>
        <v>1.3014277873605919</v>
      </c>
      <c r="AJ149" s="177">
        <f t="shared" si="287"/>
        <v>1.3014277873605919</v>
      </c>
      <c r="AK149" s="177">
        <f t="shared" si="288"/>
        <v>1.5209518582403947</v>
      </c>
      <c r="AM149" s="555">
        <f t="shared" si="289"/>
        <v>390</v>
      </c>
      <c r="AN149" s="469">
        <f t="shared" si="290"/>
        <v>350</v>
      </c>
      <c r="AP149" s="469">
        <f t="shared" si="291"/>
        <v>390</v>
      </c>
      <c r="AQ149" s="469">
        <f t="shared" si="292"/>
        <v>350</v>
      </c>
      <c r="AS149" s="5">
        <f t="shared" si="263"/>
        <v>2.8571428571428572</v>
      </c>
      <c r="AT149" s="5">
        <f t="shared" si="293"/>
        <v>0.39608671789235406</v>
      </c>
      <c r="AU149" s="5">
        <f t="shared" si="230"/>
        <v>2.4610561392505033</v>
      </c>
      <c r="AV149" s="5"/>
      <c r="AW149" s="177">
        <f t="shared" si="231"/>
        <v>0.13863035126232393</v>
      </c>
      <c r="AX149" s="177">
        <f t="shared" si="259"/>
        <v>2.0748000000000002</v>
      </c>
      <c r="AY149" s="177">
        <f t="shared" si="260"/>
        <v>1.1210103960562441</v>
      </c>
      <c r="AZ149" s="177">
        <f t="shared" si="264"/>
        <v>1.85083029318838</v>
      </c>
      <c r="BA149" s="469">
        <f t="shared" si="294"/>
        <v>101.93868054563885</v>
      </c>
      <c r="BB149" s="469">
        <f t="shared" si="295"/>
        <v>2.1565675238563324</v>
      </c>
      <c r="BC149" s="5">
        <f t="shared" si="258"/>
        <v>0.19319885151121099</v>
      </c>
      <c r="BD149" s="469">
        <f t="shared" si="296"/>
        <v>23.466470876997494</v>
      </c>
      <c r="BF149" s="177">
        <f t="shared" si="265"/>
        <v>0.27976192638657815</v>
      </c>
      <c r="BG149" s="177">
        <f t="shared" si="261"/>
        <v>1.3947109996209244</v>
      </c>
      <c r="BI149" s="538">
        <f t="shared" si="236"/>
        <v>8.6093409001082085E-3</v>
      </c>
      <c r="BJ149" s="538">
        <f t="shared" si="237"/>
        <v>7.6615053841918052E-2</v>
      </c>
      <c r="BK149" s="538">
        <f t="shared" si="238"/>
        <v>1.7499999999999998E-2</v>
      </c>
      <c r="BL149" s="538">
        <f t="shared" si="239"/>
        <v>8.9117405999999996E-2</v>
      </c>
      <c r="BM149">
        <f t="shared" si="240"/>
        <v>6.6699999999999997E-3</v>
      </c>
      <c r="BN149">
        <f t="shared" si="297"/>
        <v>6.3E-5</v>
      </c>
      <c r="BO149" s="538">
        <f t="shared" si="298"/>
        <v>0.20005483354163531</v>
      </c>
      <c r="BP149" s="469">
        <f t="shared" si="243"/>
        <v>198.51180074202625</v>
      </c>
      <c r="BQ149" s="538">
        <f t="shared" si="299"/>
        <v>0.29759471421621897</v>
      </c>
      <c r="BT149" s="469">
        <f t="shared" si="245"/>
        <v>297.59471421621896</v>
      </c>
      <c r="BU149" s="538">
        <f t="shared" si="246"/>
        <v>7.8266735455529181E-3</v>
      </c>
      <c r="BV149" s="538">
        <f t="shared" si="247"/>
        <v>5.8356563173907944E-2</v>
      </c>
      <c r="BW149" s="538">
        <f t="shared" si="248"/>
        <v>0</v>
      </c>
      <c r="BX149" s="538"/>
      <c r="BY149" s="538">
        <f t="shared" si="249"/>
        <v>2.964000000000001E-2</v>
      </c>
      <c r="BZ149" s="469">
        <f t="shared" si="250"/>
        <v>95.823236719460866</v>
      </c>
      <c r="CA149" s="177">
        <f t="shared" si="251"/>
        <v>0.59192975167770601</v>
      </c>
      <c r="CB149" s="5">
        <f t="shared" si="252"/>
        <v>1.9500000000000002</v>
      </c>
      <c r="CC149" s="177">
        <f t="shared" si="253"/>
        <v>0.76713370962080085</v>
      </c>
      <c r="CD149" s="5">
        <f t="shared" si="254"/>
        <v>76.713370962080091</v>
      </c>
      <c r="CG149" s="571">
        <f t="shared" si="300"/>
        <v>-50</v>
      </c>
      <c r="CH149">
        <f t="shared" si="301"/>
        <v>-50</v>
      </c>
    </row>
    <row r="150" spans="5:86" x14ac:dyDescent="0.2">
      <c r="E150" s="174">
        <v>40</v>
      </c>
      <c r="F150" s="221">
        <f t="shared" si="302"/>
        <v>0.4</v>
      </c>
      <c r="G150" s="221"/>
      <c r="H150" s="221">
        <f t="shared" si="266"/>
        <v>2</v>
      </c>
      <c r="I150" s="551">
        <f t="shared" si="267"/>
        <v>23</v>
      </c>
      <c r="J150" s="451">
        <f t="shared" si="268"/>
        <v>10.64</v>
      </c>
      <c r="K150" s="451">
        <f t="shared" si="269"/>
        <v>33.64</v>
      </c>
      <c r="L150" s="451"/>
      <c r="M150" s="221">
        <f t="shared" si="270"/>
        <v>0.31629013079667062</v>
      </c>
      <c r="N150" s="176">
        <f t="shared" si="271"/>
        <v>13.744455410225921</v>
      </c>
      <c r="O150" s="176">
        <f t="shared" si="262"/>
        <v>2</v>
      </c>
      <c r="P150" s="221">
        <f t="shared" si="272"/>
        <v>2.7488910820451844</v>
      </c>
      <c r="Q150" s="221">
        <f t="shared" si="273"/>
        <v>5</v>
      </c>
      <c r="R150" s="221"/>
      <c r="S150" s="176">
        <f t="shared" si="274"/>
        <v>94.626258767830947</v>
      </c>
      <c r="T150" s="176">
        <f t="shared" si="275"/>
        <v>5</v>
      </c>
      <c r="U150" s="221">
        <f t="shared" si="276"/>
        <v>0.61094765900257897</v>
      </c>
      <c r="V150" s="221">
        <f t="shared" si="277"/>
        <v>0.18594059187035011</v>
      </c>
      <c r="W150" s="221">
        <f t="shared" si="278"/>
        <v>0.40193924934380193</v>
      </c>
      <c r="X150" s="201">
        <f t="shared" si="279"/>
        <v>350</v>
      </c>
      <c r="Y150" s="451">
        <f t="shared" si="215"/>
        <v>350</v>
      </c>
      <c r="AA150" s="221">
        <f t="shared" si="280"/>
        <v>2.9692542891116021</v>
      </c>
      <c r="AB150" s="177">
        <f t="shared" si="281"/>
        <v>1.9534567691523697</v>
      </c>
      <c r="AC150" s="177">
        <f t="shared" si="282"/>
        <v>2.0301084616399181</v>
      </c>
      <c r="AD150" s="177"/>
      <c r="AE150" s="177">
        <f t="shared" si="283"/>
        <v>0.53947368421052622</v>
      </c>
      <c r="AF150" s="555">
        <f t="shared" si="284"/>
        <v>904.2236763831055</v>
      </c>
      <c r="AG150" s="538">
        <f t="shared" si="285"/>
        <v>0.15482894736842101</v>
      </c>
      <c r="AI150" s="177">
        <f t="shared" si="286"/>
        <v>1.3180071536766624</v>
      </c>
      <c r="AJ150" s="177">
        <f t="shared" si="287"/>
        <v>1.3180071536766624</v>
      </c>
      <c r="AK150" s="177">
        <f t="shared" si="288"/>
        <v>1.5320047691177749</v>
      </c>
      <c r="AM150" s="555">
        <f t="shared" si="289"/>
        <v>400</v>
      </c>
      <c r="AN150" s="469">
        <f t="shared" si="290"/>
        <v>350</v>
      </c>
      <c r="AP150" s="469">
        <f t="shared" si="291"/>
        <v>400</v>
      </c>
      <c r="AQ150" s="469">
        <f t="shared" si="292"/>
        <v>350</v>
      </c>
      <c r="AS150" s="5">
        <f t="shared" si="263"/>
        <v>2.8571428571428572</v>
      </c>
      <c r="AT150" s="5">
        <f t="shared" si="293"/>
        <v>0.40113261198854944</v>
      </c>
      <c r="AU150" s="5">
        <f t="shared" si="230"/>
        <v>2.4560102451543075</v>
      </c>
      <c r="AV150" s="5"/>
      <c r="AW150" s="177">
        <f t="shared" si="231"/>
        <v>0.1403964141959923</v>
      </c>
      <c r="AX150" s="177">
        <f t="shared" si="259"/>
        <v>2.1280000000000001</v>
      </c>
      <c r="AY150" s="177">
        <f t="shared" si="260"/>
        <v>1.1329636754157928</v>
      </c>
      <c r="AZ150" s="177">
        <f t="shared" si="264"/>
        <v>1.8782596884397316</v>
      </c>
      <c r="BA150" s="469">
        <f t="shared" si="294"/>
        <v>101.93868054563885</v>
      </c>
      <c r="BB150" s="469">
        <f t="shared" si="295"/>
        <v>2.2378093610586012</v>
      </c>
      <c r="BC150" s="5">
        <f t="shared" si="258"/>
        <v>0.1977463965502663</v>
      </c>
      <c r="BD150" s="469">
        <f t="shared" si="296"/>
        <v>24.019422658495728</v>
      </c>
      <c r="BF150" s="177">
        <f t="shared" si="265"/>
        <v>0.28512490133801482</v>
      </c>
      <c r="BG150" s="177">
        <f t="shared" si="261"/>
        <v>1.4110299921470224</v>
      </c>
      <c r="BI150" s="538">
        <f t="shared" si="236"/>
        <v>8.9425830299313946E-3</v>
      </c>
      <c r="BJ150" s="538">
        <f t="shared" si="237"/>
        <v>7.7591081136945128E-2</v>
      </c>
      <c r="BK150" s="538">
        <f t="shared" si="238"/>
        <v>1.7499999999999998E-2</v>
      </c>
      <c r="BL150" s="538">
        <f t="shared" si="239"/>
        <v>8.9117405999999996E-2</v>
      </c>
      <c r="BM150">
        <f t="shared" si="240"/>
        <v>6.6699999999999997E-3</v>
      </c>
      <c r="BN150">
        <f t="shared" si="297"/>
        <v>6.3E-5</v>
      </c>
      <c r="BO150" s="538">
        <f t="shared" si="298"/>
        <v>0.20142364907768701</v>
      </c>
      <c r="BP150" s="469">
        <f t="shared" si="243"/>
        <v>199.82107016687652</v>
      </c>
      <c r="BQ150" s="538">
        <f t="shared" si="299"/>
        <v>0.30491283079961579</v>
      </c>
      <c r="BT150" s="469">
        <f t="shared" si="245"/>
        <v>304.91283079961579</v>
      </c>
      <c r="BU150" s="538">
        <f t="shared" si="246"/>
        <v>8.129620936301268E-3</v>
      </c>
      <c r="BV150" s="538">
        <f t="shared" si="247"/>
        <v>5.9730169162152777E-2</v>
      </c>
      <c r="BW150" s="538">
        <f t="shared" si="248"/>
        <v>0</v>
      </c>
      <c r="BX150" s="538"/>
      <c r="BY150" s="538">
        <f t="shared" si="249"/>
        <v>3.0400000000000007E-2</v>
      </c>
      <c r="BZ150" s="469">
        <f t="shared" si="250"/>
        <v>98.259790098454047</v>
      </c>
      <c r="CA150" s="177">
        <f t="shared" si="251"/>
        <v>0.60299369106494638</v>
      </c>
      <c r="CB150" s="5">
        <f t="shared" si="252"/>
        <v>2</v>
      </c>
      <c r="CC150" s="177">
        <f t="shared" si="253"/>
        <v>0.76834608046312736</v>
      </c>
      <c r="CD150" s="5">
        <f t="shared" si="254"/>
        <v>76.834608046312738</v>
      </c>
      <c r="CG150" s="571">
        <f t="shared" si="300"/>
        <v>-50</v>
      </c>
      <c r="CH150">
        <f t="shared" si="301"/>
        <v>-50</v>
      </c>
    </row>
    <row r="151" spans="5:86" x14ac:dyDescent="0.2">
      <c r="E151" s="174">
        <v>41</v>
      </c>
      <c r="F151" s="221">
        <f t="shared" si="302"/>
        <v>0.41</v>
      </c>
      <c r="G151" s="221"/>
      <c r="H151" s="221">
        <f t="shared" si="266"/>
        <v>2.0499999999999998</v>
      </c>
      <c r="I151" s="551">
        <f t="shared" si="267"/>
        <v>23</v>
      </c>
      <c r="J151" s="451">
        <f t="shared" si="268"/>
        <v>10.64</v>
      </c>
      <c r="K151" s="451">
        <f t="shared" si="269"/>
        <v>33.64</v>
      </c>
      <c r="L151" s="451"/>
      <c r="M151" s="221">
        <f t="shared" si="270"/>
        <v>0.31629013079667062</v>
      </c>
      <c r="N151" s="176">
        <f t="shared" si="271"/>
        <v>13.744455410225921</v>
      </c>
      <c r="O151" s="176">
        <f t="shared" si="262"/>
        <v>2.0499999999999998</v>
      </c>
      <c r="P151" s="221">
        <f t="shared" si="272"/>
        <v>2.7488910820451844</v>
      </c>
      <c r="Q151" s="221">
        <f t="shared" si="273"/>
        <v>5</v>
      </c>
      <c r="R151" s="221"/>
      <c r="S151" s="176">
        <f t="shared" si="274"/>
        <v>92.039844155581321</v>
      </c>
      <c r="T151" s="176">
        <f t="shared" si="275"/>
        <v>5</v>
      </c>
      <c r="U151" s="221">
        <f t="shared" si="276"/>
        <v>0.62622135047764338</v>
      </c>
      <c r="V151" s="221">
        <f t="shared" si="277"/>
        <v>0.19058910666710882</v>
      </c>
      <c r="W151" s="221">
        <f t="shared" si="278"/>
        <v>0.4119877305773969</v>
      </c>
      <c r="X151" s="201">
        <f t="shared" si="279"/>
        <v>350</v>
      </c>
      <c r="Y151" s="451">
        <f t="shared" si="215"/>
        <v>350</v>
      </c>
      <c r="AA151" s="221">
        <f t="shared" si="280"/>
        <v>2.9692542891116021</v>
      </c>
      <c r="AB151" s="177">
        <f t="shared" si="281"/>
        <v>1.9534567691523697</v>
      </c>
      <c r="AC151" s="177">
        <f t="shared" si="282"/>
        <v>2.0301084616399181</v>
      </c>
      <c r="AD151" s="177"/>
      <c r="AE151" s="177">
        <f t="shared" si="283"/>
        <v>0.53947368421052622</v>
      </c>
      <c r="AF151" s="555">
        <f t="shared" si="284"/>
        <v>926.82926829268308</v>
      </c>
      <c r="AG151" s="538">
        <f t="shared" si="285"/>
        <v>0.15482894736842101</v>
      </c>
      <c r="AI151" s="177">
        <f t="shared" si="286"/>
        <v>1.3343805411393814</v>
      </c>
      <c r="AJ151" s="177">
        <f t="shared" si="287"/>
        <v>1.3343805411393814</v>
      </c>
      <c r="AK151" s="177">
        <f t="shared" si="288"/>
        <v>1.5429203607595876</v>
      </c>
      <c r="AM151" s="555">
        <f t="shared" si="289"/>
        <v>410</v>
      </c>
      <c r="AN151" s="469">
        <f t="shared" si="290"/>
        <v>350</v>
      </c>
      <c r="AP151" s="469">
        <f t="shared" si="291"/>
        <v>410</v>
      </c>
      <c r="AQ151" s="469">
        <f t="shared" si="292"/>
        <v>350</v>
      </c>
      <c r="AS151" s="5">
        <f t="shared" si="263"/>
        <v>2.8571428571428572</v>
      </c>
      <c r="AT151" s="5">
        <f t="shared" si="293"/>
        <v>0.40611581686850734</v>
      </c>
      <c r="AU151" s="5">
        <f t="shared" si="230"/>
        <v>2.4510270402743499</v>
      </c>
      <c r="AV151" s="5"/>
      <c r="AW151" s="177">
        <f t="shared" si="231"/>
        <v>0.14214053590397757</v>
      </c>
      <c r="AX151" s="177">
        <f t="shared" si="259"/>
        <v>2.1812</v>
      </c>
      <c r="AY151" s="177">
        <f t="shared" si="260"/>
        <v>1.1447109759219902</v>
      </c>
      <c r="AZ151" s="177">
        <f t="shared" si="264"/>
        <v>1.9054591472255129</v>
      </c>
      <c r="BA151" s="469">
        <f t="shared" si="294"/>
        <v>101.93868054563885</v>
      </c>
      <c r="BB151" s="469">
        <f t="shared" si="295"/>
        <v>2.3203484599621924</v>
      </c>
      <c r="BC151" s="5">
        <f t="shared" si="258"/>
        <v>0.20227880163294751</v>
      </c>
      <c r="BD151" s="469">
        <f t="shared" si="296"/>
        <v>24.570557645229066</v>
      </c>
      <c r="BF151" s="177">
        <f t="shared" si="265"/>
        <v>0.29045445831917366</v>
      </c>
      <c r="BG151" s="177">
        <f t="shared" si="261"/>
        <v>1.4271089897640263</v>
      </c>
      <c r="BI151" s="538">
        <f t="shared" si="236"/>
        <v>9.2800171593233043E-3</v>
      </c>
      <c r="BJ151" s="538">
        <f t="shared" si="237"/>
        <v>7.8554982456875394E-2</v>
      </c>
      <c r="BK151" s="538">
        <f t="shared" si="238"/>
        <v>1.7499999999999998E-2</v>
      </c>
      <c r="BL151" s="538">
        <f t="shared" si="239"/>
        <v>8.9117405999999996E-2</v>
      </c>
      <c r="BM151">
        <f t="shared" si="240"/>
        <v>6.6699999999999997E-3</v>
      </c>
      <c r="BN151">
        <f t="shared" si="297"/>
        <v>6.3E-5</v>
      </c>
      <c r="BO151" s="538">
        <f t="shared" si="298"/>
        <v>0.20278540964167679</v>
      </c>
      <c r="BP151" s="469">
        <f t="shared" si="243"/>
        <v>201.12240561619871</v>
      </c>
      <c r="BQ151" s="538">
        <f t="shared" si="299"/>
        <v>0.31221930124602892</v>
      </c>
      <c r="BT151" s="469">
        <f t="shared" si="245"/>
        <v>312.21930124602892</v>
      </c>
      <c r="BU151" s="538">
        <f t="shared" si="246"/>
        <v>8.4363792357484597E-3</v>
      </c>
      <c r="BV151" s="538">
        <f t="shared" si="247"/>
        <v>6.1099202059958994E-2</v>
      </c>
      <c r="BW151" s="538">
        <f t="shared" si="248"/>
        <v>0</v>
      </c>
      <c r="BX151" s="538"/>
      <c r="BY151" s="538">
        <f t="shared" si="249"/>
        <v>3.116E-2</v>
      </c>
      <c r="BZ151" s="469">
        <f t="shared" si="250"/>
        <v>100.69558129570747</v>
      </c>
      <c r="CA151" s="177">
        <f t="shared" si="251"/>
        <v>0.61403728815793512</v>
      </c>
      <c r="CB151" s="5">
        <f t="shared" si="252"/>
        <v>2.0499999999999998</v>
      </c>
      <c r="CC151" s="177">
        <f t="shared" si="253"/>
        <v>0.76950874866225505</v>
      </c>
      <c r="CD151" s="5">
        <f t="shared" si="254"/>
        <v>76.950874866225504</v>
      </c>
      <c r="CG151" s="571">
        <f t="shared" si="300"/>
        <v>-50</v>
      </c>
      <c r="CH151">
        <f t="shared" si="301"/>
        <v>-50</v>
      </c>
    </row>
    <row r="152" spans="5:86" x14ac:dyDescent="0.2">
      <c r="E152" s="174">
        <v>42</v>
      </c>
      <c r="F152" s="221">
        <f t="shared" si="302"/>
        <v>0.42</v>
      </c>
      <c r="G152" s="221"/>
      <c r="H152" s="221">
        <f t="shared" si="266"/>
        <v>2.1</v>
      </c>
      <c r="I152" s="551">
        <f t="shared" si="267"/>
        <v>23</v>
      </c>
      <c r="J152" s="451">
        <f t="shared" si="268"/>
        <v>10.64</v>
      </c>
      <c r="K152" s="451">
        <f t="shared" si="269"/>
        <v>33.64</v>
      </c>
      <c r="L152" s="451"/>
      <c r="M152" s="221">
        <f t="shared" si="270"/>
        <v>0.31629013079667062</v>
      </c>
      <c r="N152" s="176">
        <f t="shared" si="271"/>
        <v>13.744455410225921</v>
      </c>
      <c r="O152" s="176">
        <f t="shared" si="262"/>
        <v>2.1</v>
      </c>
      <c r="P152" s="221">
        <f t="shared" si="272"/>
        <v>2.7488910820451844</v>
      </c>
      <c r="Q152" s="221">
        <f t="shared" si="273"/>
        <v>5</v>
      </c>
      <c r="R152" s="221"/>
      <c r="S152" s="176">
        <f t="shared" si="274"/>
        <v>89.576650182575023</v>
      </c>
      <c r="T152" s="176">
        <f t="shared" si="275"/>
        <v>5</v>
      </c>
      <c r="U152" s="221">
        <f t="shared" si="276"/>
        <v>0.6414950419527079</v>
      </c>
      <c r="V152" s="221">
        <f t="shared" si="277"/>
        <v>0.19523762146386761</v>
      </c>
      <c r="W152" s="221">
        <f t="shared" si="278"/>
        <v>0.42203621181099205</v>
      </c>
      <c r="X152" s="201">
        <f t="shared" si="279"/>
        <v>350</v>
      </c>
      <c r="Y152" s="451">
        <f t="shared" si="215"/>
        <v>350</v>
      </c>
      <c r="AA152" s="221">
        <f t="shared" si="280"/>
        <v>2.9692542891116021</v>
      </c>
      <c r="AB152" s="177">
        <f t="shared" si="281"/>
        <v>1.9534567691523697</v>
      </c>
      <c r="AC152" s="177">
        <f t="shared" si="282"/>
        <v>2.0301084616399181</v>
      </c>
      <c r="AD152" s="177"/>
      <c r="AE152" s="177">
        <f t="shared" si="283"/>
        <v>0.53947368421052622</v>
      </c>
      <c r="AF152" s="555">
        <f t="shared" si="284"/>
        <v>949.43486020226067</v>
      </c>
      <c r="AG152" s="538">
        <f t="shared" si="285"/>
        <v>0.15482894736842101</v>
      </c>
      <c r="AI152" s="177">
        <f t="shared" si="286"/>
        <v>1.3505554412907306</v>
      </c>
      <c r="AJ152" s="177">
        <f t="shared" si="287"/>
        <v>1.3505554412907306</v>
      </c>
      <c r="AK152" s="177">
        <f t="shared" si="288"/>
        <v>1.5537036275271539</v>
      </c>
      <c r="AM152" s="555">
        <f t="shared" si="289"/>
        <v>420</v>
      </c>
      <c r="AN152" s="469">
        <f t="shared" si="290"/>
        <v>350</v>
      </c>
      <c r="AP152" s="469">
        <f t="shared" si="291"/>
        <v>420</v>
      </c>
      <c r="AQ152" s="469">
        <f t="shared" si="292"/>
        <v>350</v>
      </c>
      <c r="AS152" s="5">
        <f t="shared" si="263"/>
        <v>2.8571428571428572</v>
      </c>
      <c r="AT152" s="5">
        <f t="shared" si="293"/>
        <v>0.41103861256674407</v>
      </c>
      <c r="AU152" s="5">
        <f t="shared" si="230"/>
        <v>2.4461042445761132</v>
      </c>
      <c r="AV152" s="5"/>
      <c r="AW152" s="177">
        <f t="shared" si="231"/>
        <v>0.14386351439836043</v>
      </c>
      <c r="AX152" s="177">
        <f t="shared" si="259"/>
        <v>2.2343999999999999</v>
      </c>
      <c r="AY152" s="177">
        <f t="shared" si="260"/>
        <v>1.1562597891168176</v>
      </c>
      <c r="AZ152" s="177">
        <f t="shared" si="264"/>
        <v>1.9324376935279353</v>
      </c>
      <c r="BA152" s="469">
        <f t="shared" si="294"/>
        <v>101.93868054563885</v>
      </c>
      <c r="BB152" s="469">
        <f t="shared" si="295"/>
        <v>2.404184820567107</v>
      </c>
      <c r="BC152" s="5">
        <f t="shared" si="258"/>
        <v>0.20679625256078252</v>
      </c>
      <c r="BD152" s="469">
        <f t="shared" si="296"/>
        <v>25.119898133380858</v>
      </c>
      <c r="BF152" s="177">
        <f t="shared" si="265"/>
        <v>0.29575161327404986</v>
      </c>
      <c r="BG152" s="177">
        <f t="shared" si="261"/>
        <v>1.4429566635845954</v>
      </c>
      <c r="BI152" s="538">
        <f t="shared" si="236"/>
        <v>9.6215918429623463E-3</v>
      </c>
      <c r="BJ152" s="538">
        <f t="shared" si="237"/>
        <v>7.9507198828785319E-2</v>
      </c>
      <c r="BK152" s="538">
        <f t="shared" si="238"/>
        <v>1.7499999999999998E-2</v>
      </c>
      <c r="BL152" s="538">
        <f t="shared" si="239"/>
        <v>8.9117405999999996E-2</v>
      </c>
      <c r="BM152">
        <f t="shared" si="240"/>
        <v>6.6699999999999997E-3</v>
      </c>
      <c r="BN152">
        <f t="shared" si="297"/>
        <v>6.3E-5</v>
      </c>
      <c r="BO152" s="538">
        <f t="shared" si="298"/>
        <v>0.20414049845489934</v>
      </c>
      <c r="BP152" s="469">
        <f t="shared" si="243"/>
        <v>202.41619667174768</v>
      </c>
      <c r="BQ152" s="538">
        <f t="shared" si="299"/>
        <v>0.31951426847991554</v>
      </c>
      <c r="BT152" s="469">
        <f t="shared" si="245"/>
        <v>319.51426847991553</v>
      </c>
      <c r="BU152" s="538">
        <f t="shared" si="246"/>
        <v>8.7469016754203148E-3</v>
      </c>
      <c r="BV152" s="538">
        <f t="shared" si="247"/>
        <v>6.2463717989495619E-2</v>
      </c>
      <c r="BW152" s="538">
        <f t="shared" si="248"/>
        <v>0</v>
      </c>
      <c r="BX152" s="538"/>
      <c r="BY152" s="538">
        <f t="shared" si="249"/>
        <v>3.1920000000000004E-2</v>
      </c>
      <c r="BZ152" s="469">
        <f t="shared" si="250"/>
        <v>103.13061966491594</v>
      </c>
      <c r="CA152" s="177">
        <f t="shared" si="251"/>
        <v>0.62506108481657918</v>
      </c>
      <c r="CB152" s="5">
        <f t="shared" si="252"/>
        <v>2.1</v>
      </c>
      <c r="CC152" s="177">
        <f t="shared" si="253"/>
        <v>0.77062492716244879</v>
      </c>
      <c r="CD152" s="5">
        <f t="shared" si="254"/>
        <v>77.062492716244876</v>
      </c>
      <c r="CG152" s="571">
        <f t="shared" si="300"/>
        <v>-50</v>
      </c>
      <c r="CH152">
        <f t="shared" si="301"/>
        <v>-50</v>
      </c>
    </row>
    <row r="153" spans="5:86" x14ac:dyDescent="0.2">
      <c r="E153" s="174">
        <v>43</v>
      </c>
      <c r="F153" s="221">
        <f t="shared" si="302"/>
        <v>0.43</v>
      </c>
      <c r="G153" s="221"/>
      <c r="H153" s="221">
        <f t="shared" si="266"/>
        <v>2.15</v>
      </c>
      <c r="I153" s="551">
        <f t="shared" si="267"/>
        <v>23</v>
      </c>
      <c r="J153" s="451">
        <f t="shared" si="268"/>
        <v>10.64</v>
      </c>
      <c r="K153" s="451">
        <f t="shared" si="269"/>
        <v>33.64</v>
      </c>
      <c r="L153" s="451"/>
      <c r="M153" s="221">
        <f t="shared" si="270"/>
        <v>0.31629013079667062</v>
      </c>
      <c r="N153" s="176">
        <f t="shared" si="271"/>
        <v>13.744455410225921</v>
      </c>
      <c r="O153" s="176">
        <f t="shared" si="262"/>
        <v>2.15</v>
      </c>
      <c r="P153" s="221">
        <f t="shared" si="272"/>
        <v>2.7488910820451844</v>
      </c>
      <c r="Q153" s="221">
        <f t="shared" si="273"/>
        <v>5</v>
      </c>
      <c r="R153" s="221"/>
      <c r="S153" s="176">
        <f t="shared" si="274"/>
        <v>87.228080557109919</v>
      </c>
      <c r="T153" s="176">
        <f t="shared" si="275"/>
        <v>5</v>
      </c>
      <c r="U153" s="221">
        <f t="shared" si="276"/>
        <v>0.65676873342777231</v>
      </c>
      <c r="V153" s="221">
        <f t="shared" si="277"/>
        <v>0.19988613626062635</v>
      </c>
      <c r="W153" s="221">
        <f t="shared" si="278"/>
        <v>0.43208469304458696</v>
      </c>
      <c r="X153" s="201">
        <f t="shared" si="279"/>
        <v>350</v>
      </c>
      <c r="Y153" s="451">
        <f t="shared" si="215"/>
        <v>350</v>
      </c>
      <c r="AA153" s="221">
        <f t="shared" si="280"/>
        <v>2.9692542891116021</v>
      </c>
      <c r="AB153" s="177">
        <f t="shared" si="281"/>
        <v>1.9534567691523697</v>
      </c>
      <c r="AC153" s="177">
        <f t="shared" si="282"/>
        <v>2.0301084616399181</v>
      </c>
      <c r="AD153" s="177"/>
      <c r="AE153" s="177">
        <f t="shared" si="283"/>
        <v>0.53947368421052622</v>
      </c>
      <c r="AF153" s="555">
        <f t="shared" si="284"/>
        <v>972.04045211183836</v>
      </c>
      <c r="AG153" s="538">
        <f t="shared" si="285"/>
        <v>0.15482894736842101</v>
      </c>
      <c r="AI153" s="177">
        <f t="shared" si="286"/>
        <v>1.3665389022741254</v>
      </c>
      <c r="AJ153" s="177">
        <f t="shared" si="287"/>
        <v>1.3665389022741254</v>
      </c>
      <c r="AK153" s="177">
        <f t="shared" si="288"/>
        <v>1.5643592681827503</v>
      </c>
      <c r="AM153" s="555">
        <f t="shared" si="289"/>
        <v>430</v>
      </c>
      <c r="AN153" s="469">
        <f t="shared" si="290"/>
        <v>350</v>
      </c>
      <c r="AP153" s="469">
        <f t="shared" si="291"/>
        <v>430</v>
      </c>
      <c r="AQ153" s="469">
        <f t="shared" si="292"/>
        <v>350</v>
      </c>
      <c r="AS153" s="5">
        <f t="shared" si="263"/>
        <v>2.8571428571428572</v>
      </c>
      <c r="AT153" s="5">
        <f t="shared" si="293"/>
        <v>0.41590314417038599</v>
      </c>
      <c r="AU153" s="5">
        <f t="shared" si="230"/>
        <v>2.4412397129724712</v>
      </c>
      <c r="AV153" s="5"/>
      <c r="AW153" s="177">
        <f t="shared" si="231"/>
        <v>0.14556610045963508</v>
      </c>
      <c r="AX153" s="177">
        <f t="shared" si="259"/>
        <v>2.2876000000000003</v>
      </c>
      <c r="AY153" s="177">
        <f t="shared" si="260"/>
        <v>1.1676171631436907</v>
      </c>
      <c r="AZ153" s="177">
        <f t="shared" si="264"/>
        <v>1.9592038145798316</v>
      </c>
      <c r="BA153" s="469">
        <f t="shared" si="294"/>
        <v>101.93868054563885</v>
      </c>
      <c r="BB153" s="469">
        <f t="shared" si="295"/>
        <v>2.4893184428733455</v>
      </c>
      <c r="BC153" s="5">
        <f t="shared" si="258"/>
        <v>0.21129892845776216</v>
      </c>
      <c r="BD153" s="469">
        <f t="shared" si="296"/>
        <v>25.667465617830015</v>
      </c>
      <c r="BF153" s="177">
        <f t="shared" si="265"/>
        <v>0.30101732786766294</v>
      </c>
      <c r="BG153" s="177">
        <f t="shared" si="261"/>
        <v>1.4585811719607551</v>
      </c>
      <c r="BI153" s="538">
        <f t="shared" si="236"/>
        <v>9.9672574844246898E-3</v>
      </c>
      <c r="BJ153" s="538">
        <f t="shared" si="237"/>
        <v>8.0448145176877761E-2</v>
      </c>
      <c r="BK153" s="538">
        <f t="shared" si="238"/>
        <v>1.7499999999999998E-2</v>
      </c>
      <c r="BL153" s="538">
        <f t="shared" si="239"/>
        <v>8.9117405999999996E-2</v>
      </c>
      <c r="BM153">
        <f t="shared" si="240"/>
        <v>6.6699999999999997E-3</v>
      </c>
      <c r="BN153">
        <f t="shared" si="297"/>
        <v>6.3E-5</v>
      </c>
      <c r="BO153" s="538">
        <f t="shared" si="298"/>
        <v>0.20548927477415674</v>
      </c>
      <c r="BP153" s="469">
        <f t="shared" si="243"/>
        <v>203.70280866130247</v>
      </c>
      <c r="BQ153" s="538">
        <f t="shared" si="299"/>
        <v>0.32679787028915858</v>
      </c>
      <c r="BT153" s="469">
        <f t="shared" si="245"/>
        <v>326.7978702891586</v>
      </c>
      <c r="BU153" s="538">
        <f t="shared" si="246"/>
        <v>9.0611431676588094E-3</v>
      </c>
      <c r="BV153" s="538">
        <f t="shared" si="247"/>
        <v>6.38237710559523E-2</v>
      </c>
      <c r="BW153" s="538">
        <f t="shared" si="248"/>
        <v>0</v>
      </c>
      <c r="BX153" s="538"/>
      <c r="BY153" s="538">
        <f t="shared" si="249"/>
        <v>3.2680000000000008E-2</v>
      </c>
      <c r="BZ153" s="469">
        <f t="shared" si="250"/>
        <v>105.56491422361111</v>
      </c>
      <c r="CA153" s="177">
        <f t="shared" si="251"/>
        <v>0.63606559317407219</v>
      </c>
      <c r="CB153" s="5">
        <f t="shared" si="252"/>
        <v>2.15</v>
      </c>
      <c r="CC153" s="177">
        <f t="shared" si="253"/>
        <v>0.77169755273083007</v>
      </c>
      <c r="CD153" s="5">
        <f t="shared" si="254"/>
        <v>77.169755273083013</v>
      </c>
      <c r="CG153" s="571">
        <f t="shared" si="300"/>
        <v>-50</v>
      </c>
      <c r="CH153">
        <f t="shared" si="301"/>
        <v>-50</v>
      </c>
    </row>
    <row r="154" spans="5:86" x14ac:dyDescent="0.2">
      <c r="E154" s="174">
        <v>44</v>
      </c>
      <c r="F154" s="221">
        <f t="shared" si="302"/>
        <v>0.44</v>
      </c>
      <c r="G154" s="221"/>
      <c r="H154" s="221">
        <f t="shared" si="266"/>
        <v>2.2000000000000002</v>
      </c>
      <c r="I154" s="551">
        <f t="shared" si="267"/>
        <v>23</v>
      </c>
      <c r="J154" s="451">
        <f t="shared" si="268"/>
        <v>10.64</v>
      </c>
      <c r="K154" s="451">
        <f t="shared" si="269"/>
        <v>33.64</v>
      </c>
      <c r="L154" s="451"/>
      <c r="M154" s="221">
        <f t="shared" si="270"/>
        <v>0.31629013079667062</v>
      </c>
      <c r="N154" s="176">
        <f t="shared" si="271"/>
        <v>13.744455410225921</v>
      </c>
      <c r="O154" s="176">
        <f t="shared" si="262"/>
        <v>2.2000000000000002</v>
      </c>
      <c r="P154" s="221">
        <f t="shared" si="272"/>
        <v>2.7488910820451844</v>
      </c>
      <c r="Q154" s="221">
        <f t="shared" si="273"/>
        <v>5</v>
      </c>
      <c r="R154" s="221"/>
      <c r="S154" s="176">
        <f t="shared" si="274"/>
        <v>84.986320474022932</v>
      </c>
      <c r="T154" s="176">
        <f t="shared" si="275"/>
        <v>5</v>
      </c>
      <c r="U154" s="221">
        <f t="shared" si="276"/>
        <v>0.67204242490283694</v>
      </c>
      <c r="V154" s="221">
        <f t="shared" si="277"/>
        <v>0.20453465105738516</v>
      </c>
      <c r="W154" s="221">
        <f t="shared" si="278"/>
        <v>0.44213317427818216</v>
      </c>
      <c r="X154" s="201">
        <f t="shared" si="279"/>
        <v>350</v>
      </c>
      <c r="Y154" s="451">
        <f t="shared" si="215"/>
        <v>350</v>
      </c>
      <c r="AA154" s="221">
        <f t="shared" si="280"/>
        <v>2.9692542891116021</v>
      </c>
      <c r="AB154" s="177">
        <f t="shared" si="281"/>
        <v>1.9534567691523697</v>
      </c>
      <c r="AC154" s="177">
        <f t="shared" si="282"/>
        <v>2.0301084616399181</v>
      </c>
      <c r="AD154" s="177"/>
      <c r="AE154" s="177">
        <f t="shared" si="283"/>
        <v>0.53947368421052622</v>
      </c>
      <c r="AF154" s="555">
        <f t="shared" si="284"/>
        <v>994.64604402141595</v>
      </c>
      <c r="AG154" s="538">
        <f t="shared" si="285"/>
        <v>0.15482894736842101</v>
      </c>
      <c r="AI154" s="177">
        <f t="shared" si="286"/>
        <v>1.3823375647276404</v>
      </c>
      <c r="AJ154" s="177">
        <f t="shared" si="287"/>
        <v>1.3823375647276404</v>
      </c>
      <c r="AK154" s="177">
        <f t="shared" si="288"/>
        <v>1.574891709818427</v>
      </c>
      <c r="AM154" s="555">
        <f t="shared" si="289"/>
        <v>440</v>
      </c>
      <c r="AN154" s="469">
        <f t="shared" si="290"/>
        <v>350</v>
      </c>
      <c r="AP154" s="469">
        <f t="shared" si="291"/>
        <v>440</v>
      </c>
      <c r="AQ154" s="469">
        <f t="shared" si="292"/>
        <v>350</v>
      </c>
      <c r="AS154" s="5">
        <f t="shared" si="263"/>
        <v>2.8571428571428572</v>
      </c>
      <c r="AT154" s="5">
        <f t="shared" si="293"/>
        <v>0.42071143274319489</v>
      </c>
      <c r="AU154" s="5">
        <f t="shared" si="230"/>
        <v>2.4364314243996623</v>
      </c>
      <c r="AV154" s="5"/>
      <c r="AW154" s="177">
        <f t="shared" si="231"/>
        <v>0.14724900146011821</v>
      </c>
      <c r="AX154" s="177">
        <f t="shared" si="259"/>
        <v>2.3408000000000007</v>
      </c>
      <c r="AY154" s="177">
        <f t="shared" si="260"/>
        <v>1.1787897386406838</v>
      </c>
      <c r="AZ154" s="177">
        <f t="shared" si="264"/>
        <v>1.9857655044565317</v>
      </c>
      <c r="BA154" s="469">
        <f t="shared" si="294"/>
        <v>101.93868054563885</v>
      </c>
      <c r="BB154" s="469">
        <f t="shared" si="295"/>
        <v>2.5757493268809073</v>
      </c>
      <c r="BC154" s="5">
        <f t="shared" si="258"/>
        <v>0.21578700216100066</v>
      </c>
      <c r="BD154" s="469">
        <f t="shared" si="296"/>
        <v>26.213280839030229</v>
      </c>
      <c r="BF154" s="177">
        <f t="shared" si="265"/>
        <v>0.3062525135780651</v>
      </c>
      <c r="BG154" s="177">
        <f t="shared" si="261"/>
        <v>1.4739902019748952</v>
      </c>
      <c r="BI154" s="538">
        <f t="shared" si="236"/>
        <v>1.0316966228017125E-2</v>
      </c>
      <c r="BJ154" s="538">
        <f t="shared" si="237"/>
        <v>8.1378212435516198E-2</v>
      </c>
      <c r="BK154" s="538">
        <f t="shared" si="238"/>
        <v>1.7499999999999998E-2</v>
      </c>
      <c r="BL154" s="538">
        <f t="shared" si="239"/>
        <v>8.9117405999999996E-2</v>
      </c>
      <c r="BM154">
        <f t="shared" si="240"/>
        <v>6.6699999999999997E-3</v>
      </c>
      <c r="BN154">
        <f t="shared" si="297"/>
        <v>6.3E-5</v>
      </c>
      <c r="BO154" s="538">
        <f t="shared" si="298"/>
        <v>0.20683207587976343</v>
      </c>
      <c r="BP154" s="469">
        <f t="shared" si="243"/>
        <v>204.98258466353334</v>
      </c>
      <c r="BQ154" s="538">
        <f t="shared" si="299"/>
        <v>0.33407023962557464</v>
      </c>
      <c r="BT154" s="469">
        <f t="shared" si="245"/>
        <v>334.07023962557463</v>
      </c>
      <c r="BU154" s="538">
        <f t="shared" si="246"/>
        <v>9.3790602072882957E-3</v>
      </c>
      <c r="BV154" s="538">
        <f t="shared" si="247"/>
        <v>6.5179413465539765E-2</v>
      </c>
      <c r="BW154" s="538">
        <f t="shared" si="248"/>
        <v>0</v>
      </c>
      <c r="BX154" s="538"/>
      <c r="BY154" s="538">
        <f t="shared" si="249"/>
        <v>3.3440000000000011E-2</v>
      </c>
      <c r="BZ154" s="469">
        <f t="shared" si="250"/>
        <v>107.99847367282807</v>
      </c>
      <c r="CA154" s="177">
        <f t="shared" si="251"/>
        <v>0.64705129796193606</v>
      </c>
      <c r="CB154" s="5">
        <f t="shared" si="252"/>
        <v>2.2000000000000002</v>
      </c>
      <c r="CC154" s="177">
        <f t="shared" si="253"/>
        <v>0.77272931526554212</v>
      </c>
      <c r="CD154" s="5">
        <f t="shared" si="254"/>
        <v>77.272931526554217</v>
      </c>
      <c r="CG154" s="571">
        <f t="shared" si="300"/>
        <v>-50</v>
      </c>
      <c r="CH154">
        <f t="shared" si="301"/>
        <v>-50</v>
      </c>
    </row>
    <row r="155" spans="5:86" x14ac:dyDescent="0.2">
      <c r="E155" s="174">
        <v>45</v>
      </c>
      <c r="F155" s="221">
        <f t="shared" si="302"/>
        <v>0.45</v>
      </c>
      <c r="G155" s="221"/>
      <c r="H155" s="221">
        <f t="shared" si="266"/>
        <v>2.25</v>
      </c>
      <c r="I155" s="551">
        <f t="shared" si="267"/>
        <v>23</v>
      </c>
      <c r="J155" s="451">
        <f t="shared" si="268"/>
        <v>10.64</v>
      </c>
      <c r="K155" s="451">
        <f t="shared" si="269"/>
        <v>33.64</v>
      </c>
      <c r="L155" s="451"/>
      <c r="M155" s="221">
        <f t="shared" si="270"/>
        <v>0.31629013079667062</v>
      </c>
      <c r="N155" s="176">
        <f t="shared" si="271"/>
        <v>13.744455410225921</v>
      </c>
      <c r="O155" s="176">
        <f t="shared" si="262"/>
        <v>2.25</v>
      </c>
      <c r="P155" s="221">
        <f t="shared" si="272"/>
        <v>2.7488910820451844</v>
      </c>
      <c r="Q155" s="221">
        <f t="shared" si="273"/>
        <v>5</v>
      </c>
      <c r="R155" s="221"/>
      <c r="S155" s="176">
        <f t="shared" si="274"/>
        <v>82.84424978292482</v>
      </c>
      <c r="T155" s="176">
        <f t="shared" si="275"/>
        <v>5</v>
      </c>
      <c r="U155" s="221">
        <f t="shared" si="276"/>
        <v>0.68731611637790135</v>
      </c>
      <c r="V155" s="221">
        <f t="shared" si="277"/>
        <v>0.2091831658541439</v>
      </c>
      <c r="W155" s="221">
        <f t="shared" si="278"/>
        <v>0.45218165551177719</v>
      </c>
      <c r="X155" s="201">
        <f t="shared" si="279"/>
        <v>350</v>
      </c>
      <c r="Y155" s="451">
        <f t="shared" si="215"/>
        <v>350</v>
      </c>
      <c r="AA155" s="221">
        <f t="shared" si="280"/>
        <v>2.9692542891116021</v>
      </c>
      <c r="AB155" s="177">
        <f t="shared" si="281"/>
        <v>1.9534567691523697</v>
      </c>
      <c r="AC155" s="177">
        <f t="shared" si="282"/>
        <v>2.0301084616399181</v>
      </c>
      <c r="AD155" s="177"/>
      <c r="AE155" s="177">
        <f t="shared" si="283"/>
        <v>0.53947368421052622</v>
      </c>
      <c r="AF155" s="555">
        <f t="shared" si="284"/>
        <v>1017.2516359309938</v>
      </c>
      <c r="AG155" s="538">
        <f t="shared" si="285"/>
        <v>0.15482894736842101</v>
      </c>
      <c r="AI155" s="177">
        <f t="shared" si="286"/>
        <v>1.3979576940257221</v>
      </c>
      <c r="AJ155" s="177">
        <f t="shared" si="287"/>
        <v>1.3979576940257221</v>
      </c>
      <c r="AK155" s="177">
        <f t="shared" si="288"/>
        <v>1.5853051293504814</v>
      </c>
      <c r="AM155" s="555">
        <f t="shared" si="289"/>
        <v>450</v>
      </c>
      <c r="AN155" s="469">
        <f t="shared" si="290"/>
        <v>350</v>
      </c>
      <c r="AP155" s="469">
        <f t="shared" si="291"/>
        <v>450</v>
      </c>
      <c r="AQ155" s="469">
        <f t="shared" si="292"/>
        <v>350</v>
      </c>
      <c r="AS155" s="5">
        <f t="shared" si="263"/>
        <v>2.8571428571428572</v>
      </c>
      <c r="AT155" s="5">
        <f t="shared" si="293"/>
        <v>0.42546538513826326</v>
      </c>
      <c r="AU155" s="5">
        <f t="shared" si="230"/>
        <v>2.4316774720045942</v>
      </c>
      <c r="AV155" s="5"/>
      <c r="AW155" s="177">
        <f t="shared" si="231"/>
        <v>0.14891288479839213</v>
      </c>
      <c r="AX155" s="177">
        <f t="shared" si="259"/>
        <v>2.3940000000000001</v>
      </c>
      <c r="AY155" s="177">
        <f t="shared" si="260"/>
        <v>1.1897837809822438</v>
      </c>
      <c r="AZ155" s="177">
        <f t="shared" si="264"/>
        <v>2.0121303032250091</v>
      </c>
      <c r="BA155" s="469">
        <f t="shared" si="294"/>
        <v>101.93868054563885</v>
      </c>
      <c r="BB155" s="469">
        <f t="shared" si="295"/>
        <v>2.6634774725897916</v>
      </c>
      <c r="BC155" s="5">
        <f t="shared" si="258"/>
        <v>0.22026064058012626</v>
      </c>
      <c r="BD155" s="469">
        <f t="shared" si="296"/>
        <v>26.757363826136896</v>
      </c>
      <c r="BF155" s="177">
        <f t="shared" si="265"/>
        <v>0.31145803539405437</v>
      </c>
      <c r="BG155" s="177">
        <f t="shared" si="261"/>
        <v>1.4891910067107541</v>
      </c>
      <c r="BI155" s="538">
        <f t="shared" si="236"/>
        <v>1.0670671859267643E-2</v>
      </c>
      <c r="BJ155" s="538">
        <f t="shared" si="237"/>
        <v>8.2297769447294264E-2</v>
      </c>
      <c r="BK155" s="538">
        <f t="shared" si="238"/>
        <v>1.7499999999999998E-2</v>
      </c>
      <c r="BL155" s="538">
        <f t="shared" si="239"/>
        <v>8.9117405999999996E-2</v>
      </c>
      <c r="BM155">
        <f t="shared" si="240"/>
        <v>6.6699999999999997E-3</v>
      </c>
      <c r="BN155">
        <f t="shared" si="297"/>
        <v>6.3E-5</v>
      </c>
      <c r="BO155" s="538">
        <f t="shared" si="298"/>
        <v>0.20816921885859366</v>
      </c>
      <c r="BP155" s="469">
        <f t="shared" si="243"/>
        <v>206.25584730656192</v>
      </c>
      <c r="BQ155" s="538">
        <f t="shared" si="299"/>
        <v>0.34133150488136965</v>
      </c>
      <c r="BT155" s="469">
        <f t="shared" si="245"/>
        <v>341.33150488136965</v>
      </c>
      <c r="BU155" s="538">
        <f t="shared" si="246"/>
        <v>9.7006107811524033E-3</v>
      </c>
      <c r="BV155" s="538">
        <f t="shared" si="247"/>
        <v>6.6530695634045678E-2</v>
      </c>
      <c r="BW155" s="538">
        <f t="shared" si="248"/>
        <v>0</v>
      </c>
      <c r="BX155" s="538"/>
      <c r="BY155" s="538">
        <f t="shared" si="249"/>
        <v>3.4200000000000001E-2</v>
      </c>
      <c r="BZ155" s="469">
        <f t="shared" si="250"/>
        <v>110.43130641519808</v>
      </c>
      <c r="CA155" s="177">
        <f t="shared" si="251"/>
        <v>0.65801865860312958</v>
      </c>
      <c r="CB155" s="5">
        <f t="shared" si="252"/>
        <v>2.25</v>
      </c>
      <c r="CC155" s="177">
        <f t="shared" si="253"/>
        <v>0.77372268343037054</v>
      </c>
      <c r="CD155" s="5">
        <f t="shared" si="254"/>
        <v>77.372268343037049</v>
      </c>
      <c r="CG155" s="571">
        <f t="shared" si="300"/>
        <v>-50</v>
      </c>
      <c r="CH155">
        <f t="shared" si="301"/>
        <v>-50</v>
      </c>
    </row>
    <row r="156" spans="5:86" s="77" customFormat="1" x14ac:dyDescent="0.2">
      <c r="E156" s="193">
        <v>46</v>
      </c>
      <c r="F156" s="333">
        <f t="shared" si="302"/>
        <v>0.46</v>
      </c>
      <c r="G156" s="333"/>
      <c r="H156" s="333">
        <f t="shared" si="266"/>
        <v>2.3000000000000003</v>
      </c>
      <c r="I156" s="551">
        <f t="shared" si="267"/>
        <v>23</v>
      </c>
      <c r="J156" s="451">
        <f t="shared" si="268"/>
        <v>10.64</v>
      </c>
      <c r="K156" s="545">
        <f t="shared" si="269"/>
        <v>33.64</v>
      </c>
      <c r="L156" s="545"/>
      <c r="M156" s="333">
        <f t="shared" si="270"/>
        <v>0.31629013079667062</v>
      </c>
      <c r="N156" s="176">
        <f t="shared" si="271"/>
        <v>13.744455410225921</v>
      </c>
      <c r="O156" s="176">
        <f t="shared" si="262"/>
        <v>2.3000000000000003</v>
      </c>
      <c r="P156" s="333">
        <f t="shared" si="272"/>
        <v>2.7488910820451844</v>
      </c>
      <c r="Q156" s="333">
        <f t="shared" si="273"/>
        <v>5</v>
      </c>
      <c r="R156" s="333"/>
      <c r="S156" s="176">
        <f t="shared" si="274"/>
        <v>80.795367482318355</v>
      </c>
      <c r="T156" s="176">
        <f t="shared" si="275"/>
        <v>5</v>
      </c>
      <c r="U156" s="221">
        <f t="shared" si="276"/>
        <v>0.70258980785296588</v>
      </c>
      <c r="V156" s="333">
        <f t="shared" si="277"/>
        <v>0.21383168065090266</v>
      </c>
      <c r="W156" s="333">
        <f t="shared" si="278"/>
        <v>0.46223013674537228</v>
      </c>
      <c r="X156" s="547">
        <f t="shared" si="279"/>
        <v>350</v>
      </c>
      <c r="Y156" s="545">
        <f t="shared" si="215"/>
        <v>350</v>
      </c>
      <c r="AA156" s="333">
        <f t="shared" si="280"/>
        <v>2.9692542891116021</v>
      </c>
      <c r="AB156" s="548">
        <f t="shared" si="281"/>
        <v>1.9534567691523697</v>
      </c>
      <c r="AC156" s="548">
        <f t="shared" si="282"/>
        <v>2.0301084616399181</v>
      </c>
      <c r="AD156" s="548"/>
      <c r="AE156" s="548">
        <f t="shared" si="283"/>
        <v>0.53947368421052622</v>
      </c>
      <c r="AF156" s="555">
        <f t="shared" si="284"/>
        <v>1039.8572278405713</v>
      </c>
      <c r="AG156" s="590">
        <f t="shared" si="285"/>
        <v>0.15482894736842101</v>
      </c>
      <c r="AI156" s="548">
        <f t="shared" si="286"/>
        <v>1.4134052093134106</v>
      </c>
      <c r="AJ156" s="548">
        <f t="shared" si="287"/>
        <v>1.4134052093134106</v>
      </c>
      <c r="AK156" s="177">
        <f t="shared" si="288"/>
        <v>1.5956034728756072</v>
      </c>
      <c r="AM156" s="573">
        <f t="shared" si="289"/>
        <v>460</v>
      </c>
      <c r="AN156" s="574">
        <f t="shared" si="290"/>
        <v>350</v>
      </c>
      <c r="AP156" s="77">
        <f t="shared" si="291"/>
        <v>460</v>
      </c>
      <c r="AQ156" s="77">
        <f t="shared" si="292"/>
        <v>350</v>
      </c>
      <c r="AS156" s="544">
        <f t="shared" si="263"/>
        <v>2.8571428571428572</v>
      </c>
      <c r="AT156" s="5">
        <f t="shared" si="293"/>
        <v>0.43016680283451625</v>
      </c>
      <c r="AU156" s="5">
        <f t="shared" si="230"/>
        <v>2.4269760543083407</v>
      </c>
      <c r="AV156" s="5"/>
      <c r="AW156" s="177">
        <f t="shared" si="231"/>
        <v>0.15055838099208069</v>
      </c>
      <c r="AX156" s="177">
        <f t="shared" si="259"/>
        <v>2.4472000000000005</v>
      </c>
      <c r="AY156" s="177">
        <f t="shared" si="260"/>
        <v>1.2006052093134105</v>
      </c>
      <c r="AZ156" s="177">
        <f t="shared" si="264"/>
        <v>2.0383053321911535</v>
      </c>
      <c r="BA156" s="469">
        <f t="shared" si="294"/>
        <v>101.93868054563885</v>
      </c>
      <c r="BB156" s="469">
        <f t="shared" si="295"/>
        <v>2.7525028799999998</v>
      </c>
      <c r="BC156" s="5">
        <f t="shared" si="258"/>
        <v>0.22472000502855005</v>
      </c>
      <c r="BD156" s="469">
        <f t="shared" si="296"/>
        <v>27.299733936759345</v>
      </c>
      <c r="BF156" s="177">
        <f t="shared" si="265"/>
        <v>0.31663471516449032</v>
      </c>
      <c r="BG156" s="177">
        <f t="shared" si="261"/>
        <v>1.5041904388174578</v>
      </c>
      <c r="BI156" s="538">
        <f t="shared" si="236"/>
        <v>1.1028329713202771E-2</v>
      </c>
      <c r="BJ156" s="538">
        <f t="shared" si="237"/>
        <v>8.3207164672280481E-2</v>
      </c>
      <c r="BK156" s="538">
        <f t="shared" si="238"/>
        <v>1.7499999999999998E-2</v>
      </c>
      <c r="BL156" s="538">
        <f t="shared" si="239"/>
        <v>8.9117405999999996E-2</v>
      </c>
      <c r="BM156">
        <f t="shared" si="240"/>
        <v>6.6699999999999997E-3</v>
      </c>
      <c r="BN156">
        <f t="shared" si="297"/>
        <v>6.3E-5</v>
      </c>
      <c r="BO156" s="538">
        <f t="shared" si="298"/>
        <v>0.20950100220730575</v>
      </c>
      <c r="BP156" s="469">
        <f t="shared" si="243"/>
        <v>207.52290038548327</v>
      </c>
      <c r="BQ156" s="538">
        <f t="shared" si="299"/>
        <v>0.34858179014396112</v>
      </c>
      <c r="BT156" s="469">
        <f t="shared" si="245"/>
        <v>348.58179014396114</v>
      </c>
      <c r="BU156" s="538">
        <f t="shared" si="246"/>
        <v>1.0025754284729793E-2</v>
      </c>
      <c r="BV156" s="538">
        <f t="shared" si="247"/>
        <v>6.7877666286895691E-2</v>
      </c>
      <c r="BW156" s="538">
        <f t="shared" si="248"/>
        <v>0</v>
      </c>
      <c r="BX156" s="538"/>
      <c r="BY156" s="538">
        <f t="shared" si="249"/>
        <v>3.4960000000000005E-2</v>
      </c>
      <c r="BZ156" s="469">
        <f t="shared" si="250"/>
        <v>112.86342057162548</v>
      </c>
      <c r="CA156" s="177">
        <f t="shared" si="251"/>
        <v>0.66896811110106991</v>
      </c>
      <c r="CB156" s="5">
        <f t="shared" si="252"/>
        <v>2.3000000000000003</v>
      </c>
      <c r="CC156" s="177">
        <f t="shared" si="253"/>
        <v>0.77467992714378586</v>
      </c>
      <c r="CD156" s="5">
        <f t="shared" si="254"/>
        <v>77.467992714378582</v>
      </c>
      <c r="CG156" s="571">
        <f t="shared" si="300"/>
        <v>-50</v>
      </c>
      <c r="CH156">
        <f t="shared" si="301"/>
        <v>-50</v>
      </c>
    </row>
    <row r="157" spans="5:86" x14ac:dyDescent="0.2">
      <c r="E157" s="174">
        <v>47</v>
      </c>
      <c r="F157" s="221">
        <f t="shared" si="302"/>
        <v>0.47</v>
      </c>
      <c r="G157" s="221"/>
      <c r="H157" s="221">
        <f t="shared" si="266"/>
        <v>2.3499999999999996</v>
      </c>
      <c r="I157" s="551">
        <f t="shared" si="267"/>
        <v>23</v>
      </c>
      <c r="J157" s="451">
        <f t="shared" si="268"/>
        <v>10.64</v>
      </c>
      <c r="K157" s="451">
        <f t="shared" si="269"/>
        <v>33.64</v>
      </c>
      <c r="L157" s="451"/>
      <c r="M157" s="221">
        <f t="shared" si="270"/>
        <v>0.31629013079667062</v>
      </c>
      <c r="N157" s="176">
        <f t="shared" si="271"/>
        <v>13.744455410225921</v>
      </c>
      <c r="O157" s="176">
        <f t="shared" si="262"/>
        <v>2.3499999999999996</v>
      </c>
      <c r="P157" s="221">
        <f t="shared" si="272"/>
        <v>2.7488910820451844</v>
      </c>
      <c r="Q157" s="221">
        <f t="shared" si="273"/>
        <v>5</v>
      </c>
      <c r="R157" s="221"/>
      <c r="S157" s="176">
        <f t="shared" si="274"/>
        <v>78.833725852766221</v>
      </c>
      <c r="T157" s="176">
        <f t="shared" si="275"/>
        <v>5</v>
      </c>
      <c r="U157" s="221">
        <f t="shared" si="276"/>
        <v>0.71786349932803017</v>
      </c>
      <c r="V157" s="221">
        <f t="shared" si="277"/>
        <v>0.21848019544766137</v>
      </c>
      <c r="W157" s="221">
        <f t="shared" si="278"/>
        <v>0.4722786179789672</v>
      </c>
      <c r="X157" s="201">
        <f t="shared" si="279"/>
        <v>350</v>
      </c>
      <c r="Y157" s="451">
        <f t="shared" si="215"/>
        <v>350</v>
      </c>
      <c r="AA157" s="221">
        <f t="shared" si="280"/>
        <v>2.9692542891116021</v>
      </c>
      <c r="AB157" s="177">
        <f t="shared" si="281"/>
        <v>1.9534567691523697</v>
      </c>
      <c r="AC157" s="177">
        <f t="shared" si="282"/>
        <v>2.0301084616399181</v>
      </c>
      <c r="AD157" s="177"/>
      <c r="AE157" s="177">
        <f t="shared" si="283"/>
        <v>0.53947368421052622</v>
      </c>
      <c r="AF157" s="555">
        <f t="shared" si="284"/>
        <v>1062.4628197501488</v>
      </c>
      <c r="AG157" s="538">
        <f t="shared" si="285"/>
        <v>0.15482894736842101</v>
      </c>
      <c r="AI157" s="177">
        <f t="shared" si="286"/>
        <v>1.4286857097146515</v>
      </c>
      <c r="AJ157" s="177">
        <f t="shared" si="287"/>
        <v>1.4286857097146515</v>
      </c>
      <c r="AK157" s="177">
        <f t="shared" si="288"/>
        <v>1.605790473143101</v>
      </c>
      <c r="AM157" s="555">
        <f t="shared" si="289"/>
        <v>470</v>
      </c>
      <c r="AN157" s="469">
        <f t="shared" si="290"/>
        <v>350</v>
      </c>
      <c r="AP157">
        <f t="shared" si="291"/>
        <v>470</v>
      </c>
      <c r="AQ157">
        <f t="shared" si="292"/>
        <v>350</v>
      </c>
      <c r="AS157" s="5">
        <f t="shared" si="263"/>
        <v>2.8571428571428572</v>
      </c>
      <c r="AT157" s="5">
        <f t="shared" si="293"/>
        <v>0.43481738991315483</v>
      </c>
      <c r="AU157" s="5">
        <f t="shared" si="230"/>
        <v>2.4223254672297023</v>
      </c>
      <c r="AV157" s="5"/>
      <c r="AW157" s="177">
        <f t="shared" si="231"/>
        <v>0.15218608646960419</v>
      </c>
      <c r="AX157" s="177">
        <f t="shared" si="259"/>
        <v>2.5004000000000004</v>
      </c>
      <c r="AY157" s="177">
        <f t="shared" si="260"/>
        <v>1.2112596227581296</v>
      </c>
      <c r="AZ157" s="177">
        <f t="shared" si="264"/>
        <v>2.0642973257099091</v>
      </c>
      <c r="BA157" s="469">
        <f t="shared" si="294"/>
        <v>101.93868054563885</v>
      </c>
      <c r="BB157" s="469">
        <f t="shared" si="295"/>
        <v>2.8428255491115308</v>
      </c>
      <c r="BC157" s="5">
        <f t="shared" si="258"/>
        <v>0.22916525152938</v>
      </c>
      <c r="BD157" s="469">
        <f t="shared" si="296"/>
        <v>27.840409893670529</v>
      </c>
      <c r="BF157" s="177">
        <f t="shared" si="265"/>
        <v>0.32178333463888287</v>
      </c>
      <c r="BG157" s="177">
        <f t="shared" si="261"/>
        <v>1.5189949808075514</v>
      </c>
      <c r="BI157" s="538">
        <f t="shared" si="236"/>
        <v>1.1389896589645121E-2</v>
      </c>
      <c r="BJ157" s="538">
        <f t="shared" si="237"/>
        <v>8.410672773090154E-2</v>
      </c>
      <c r="BK157" s="538">
        <f t="shared" si="238"/>
        <v>1.7499999999999998E-2</v>
      </c>
      <c r="BL157" s="538">
        <f t="shared" si="239"/>
        <v>8.9117405999999996E-2</v>
      </c>
      <c r="BM157">
        <f t="shared" si="240"/>
        <v>6.6699999999999997E-3</v>
      </c>
      <c r="BN157">
        <f t="shared" si="297"/>
        <v>6.3E-5</v>
      </c>
      <c r="BO157" s="538">
        <f t="shared" si="298"/>
        <v>0.210827707277319</v>
      </c>
      <c r="BP157" s="469">
        <f t="shared" si="243"/>
        <v>208.78403032054666</v>
      </c>
      <c r="BQ157" s="538">
        <f t="shared" si="299"/>
        <v>0.35582121543129597</v>
      </c>
      <c r="BT157" s="469">
        <f t="shared" si="245"/>
        <v>355.82121543129597</v>
      </c>
      <c r="BU157" s="538">
        <f t="shared" si="246"/>
        <v>1.0354451445131928E-2</v>
      </c>
      <c r="BV157" s="538">
        <f t="shared" si="247"/>
        <v>6.9220372551555998E-2</v>
      </c>
      <c r="BW157" s="538">
        <f t="shared" si="248"/>
        <v>0</v>
      </c>
      <c r="BX157" s="538"/>
      <c r="BY157" s="538">
        <f t="shared" si="249"/>
        <v>3.5720000000000009E-2</v>
      </c>
      <c r="BZ157" s="469">
        <f t="shared" si="250"/>
        <v>115.29482399668794</v>
      </c>
      <c r="CA157" s="177">
        <f t="shared" si="251"/>
        <v>0.67990006974853057</v>
      </c>
      <c r="CB157" s="5">
        <f t="shared" si="252"/>
        <v>2.3499999999999996</v>
      </c>
      <c r="CC157" s="177">
        <f t="shared" si="253"/>
        <v>0.77560313736520048</v>
      </c>
      <c r="CD157" s="5">
        <f t="shared" si="254"/>
        <v>77.560313736520044</v>
      </c>
      <c r="CG157" s="571">
        <f t="shared" si="300"/>
        <v>-50</v>
      </c>
      <c r="CH157">
        <f t="shared" si="301"/>
        <v>-50</v>
      </c>
    </row>
    <row r="158" spans="5:86" x14ac:dyDescent="0.2">
      <c r="E158" s="174">
        <v>48</v>
      </c>
      <c r="F158" s="221">
        <f t="shared" si="302"/>
        <v>0.48</v>
      </c>
      <c r="G158" s="221"/>
      <c r="H158" s="221">
        <f t="shared" si="266"/>
        <v>2.4</v>
      </c>
      <c r="I158" s="551">
        <f t="shared" si="267"/>
        <v>23</v>
      </c>
      <c r="J158" s="451">
        <f t="shared" si="268"/>
        <v>10.64</v>
      </c>
      <c r="K158" s="451">
        <f t="shared" si="269"/>
        <v>33.64</v>
      </c>
      <c r="L158" s="451"/>
      <c r="M158" s="221">
        <f t="shared" si="270"/>
        <v>0.31629013079667062</v>
      </c>
      <c r="N158" s="176">
        <f t="shared" si="271"/>
        <v>13.744455410225921</v>
      </c>
      <c r="O158" s="176">
        <f t="shared" si="262"/>
        <v>2.4</v>
      </c>
      <c r="P158" s="221">
        <f t="shared" si="272"/>
        <v>2.7488910820451844</v>
      </c>
      <c r="Q158" s="221">
        <f t="shared" si="273"/>
        <v>5</v>
      </c>
      <c r="R158" s="221"/>
      <c r="S158" s="176">
        <f t="shared" si="274"/>
        <v>76.953872823414187</v>
      </c>
      <c r="T158" s="176">
        <f t="shared" si="275"/>
        <v>5</v>
      </c>
      <c r="U158" s="221">
        <f t="shared" si="276"/>
        <v>0.7331371908030947</v>
      </c>
      <c r="V158" s="221">
        <f t="shared" si="277"/>
        <v>0.2231287102444201</v>
      </c>
      <c r="W158" s="221">
        <f t="shared" si="278"/>
        <v>0.48232709921256223</v>
      </c>
      <c r="X158" s="201">
        <f t="shared" si="279"/>
        <v>350</v>
      </c>
      <c r="Y158" s="451">
        <f t="shared" si="215"/>
        <v>350</v>
      </c>
      <c r="AA158" s="221">
        <f t="shared" si="280"/>
        <v>2.9692542891116021</v>
      </c>
      <c r="AB158" s="177">
        <f t="shared" si="281"/>
        <v>1.9534567691523697</v>
      </c>
      <c r="AC158" s="177">
        <f t="shared" si="282"/>
        <v>2.0301084616399181</v>
      </c>
      <c r="AD158" s="177"/>
      <c r="AE158" s="177">
        <f t="shared" si="283"/>
        <v>0.53947368421052622</v>
      </c>
      <c r="AF158" s="555">
        <f t="shared" si="284"/>
        <v>1085.0684116597265</v>
      </c>
      <c r="AG158" s="538">
        <f t="shared" si="285"/>
        <v>0.15482894736842101</v>
      </c>
      <c r="AI158" s="177">
        <f t="shared" si="286"/>
        <v>1.4438044980437721</v>
      </c>
      <c r="AJ158" s="177">
        <f t="shared" si="287"/>
        <v>1.4438044980437721</v>
      </c>
      <c r="AK158" s="177">
        <f t="shared" si="288"/>
        <v>1.6158696653625149</v>
      </c>
      <c r="AM158" s="555">
        <f t="shared" si="289"/>
        <v>480</v>
      </c>
      <c r="AN158" s="469">
        <f t="shared" si="290"/>
        <v>350</v>
      </c>
      <c r="AP158">
        <f t="shared" si="291"/>
        <v>480</v>
      </c>
      <c r="AQ158">
        <f t="shared" si="292"/>
        <v>350</v>
      </c>
      <c r="AS158" s="5">
        <f t="shared" si="263"/>
        <v>2.8571428571428572</v>
      </c>
      <c r="AT158" s="5">
        <f t="shared" si="293"/>
        <v>0.43941876027419152</v>
      </c>
      <c r="AU158" s="5">
        <f t="shared" si="230"/>
        <v>2.4177240968686657</v>
      </c>
      <c r="AV158" s="5"/>
      <c r="AW158" s="177">
        <f t="shared" si="231"/>
        <v>0.15379656609596704</v>
      </c>
      <c r="AX158" s="177">
        <f t="shared" si="259"/>
        <v>2.5535999999999999</v>
      </c>
      <c r="AY158" s="177">
        <f t="shared" si="260"/>
        <v>1.2217523241307287</v>
      </c>
      <c r="AZ158" s="177">
        <f t="shared" si="264"/>
        <v>2.0901126599590265</v>
      </c>
      <c r="BA158" s="469">
        <f t="shared" si="294"/>
        <v>101.93868054563885</v>
      </c>
      <c r="BB158" s="469">
        <f t="shared" si="295"/>
        <v>2.9344454799243849</v>
      </c>
      <c r="BC158" s="5">
        <f t="shared" si="258"/>
        <v>0.23359653109842177</v>
      </c>
      <c r="BD158" s="469">
        <f t="shared" si="296"/>
        <v>28.37940981876714</v>
      </c>
      <c r="BF158" s="177">
        <f t="shared" si="265"/>
        <v>0.32690463823366495</v>
      </c>
      <c r="BG158" s="177">
        <f t="shared" si="261"/>
        <v>1.5336107724692853</v>
      </c>
      <c r="BI158" s="538">
        <f t="shared" si="236"/>
        <v>1.175533067485517E-2</v>
      </c>
      <c r="BJ158" s="538">
        <f t="shared" si="237"/>
        <v>8.4996770799836877E-2</v>
      </c>
      <c r="BK158" s="538">
        <f t="shared" si="238"/>
        <v>1.7499999999999998E-2</v>
      </c>
      <c r="BL158" s="538">
        <f t="shared" si="239"/>
        <v>8.9117405999999996E-2</v>
      </c>
      <c r="BM158">
        <f t="shared" si="240"/>
        <v>6.6699999999999997E-3</v>
      </c>
      <c r="BN158">
        <f t="shared" si="297"/>
        <v>6.3E-5</v>
      </c>
      <c r="BO158" s="538">
        <f t="shared" si="298"/>
        <v>0.21214959958013621</v>
      </c>
      <c r="BP158" s="469">
        <f t="shared" si="243"/>
        <v>210.03950747469204</v>
      </c>
      <c r="BQ158" s="538">
        <f t="shared" si="299"/>
        <v>0.36304989690954531</v>
      </c>
      <c r="BT158" s="469">
        <f t="shared" si="245"/>
        <v>363.04989690954534</v>
      </c>
      <c r="BU158" s="538">
        <f t="shared" si="246"/>
        <v>1.0686664249868336E-2</v>
      </c>
      <c r="BV158" s="538">
        <f t="shared" si="247"/>
        <v>7.0558860043015148E-2</v>
      </c>
      <c r="BW158" s="538">
        <f t="shared" si="248"/>
        <v>0</v>
      </c>
      <c r="BX158" s="538"/>
      <c r="BY158" s="538">
        <f t="shared" si="249"/>
        <v>3.6480000000000005E-2</v>
      </c>
      <c r="BZ158" s="469">
        <f t="shared" si="250"/>
        <v>117.72552429288349</v>
      </c>
      <c r="CA158" s="177">
        <f t="shared" si="251"/>
        <v>0.6908149286771208</v>
      </c>
      <c r="CB158" s="5">
        <f t="shared" si="252"/>
        <v>2.4</v>
      </c>
      <c r="CC158" s="177">
        <f t="shared" si="253"/>
        <v>0.7764942435512332</v>
      </c>
      <c r="CD158" s="5">
        <f t="shared" si="254"/>
        <v>77.649424355123315</v>
      </c>
      <c r="CG158" s="571">
        <f t="shared" si="300"/>
        <v>-50</v>
      </c>
      <c r="CH158">
        <f t="shared" si="301"/>
        <v>-50</v>
      </c>
    </row>
    <row r="159" spans="5:86" x14ac:dyDescent="0.2">
      <c r="E159" s="174">
        <v>49</v>
      </c>
      <c r="F159" s="221">
        <f t="shared" si="302"/>
        <v>0.49</v>
      </c>
      <c r="G159" s="221"/>
      <c r="H159" s="221">
        <f t="shared" si="266"/>
        <v>2.4500000000000002</v>
      </c>
      <c r="I159" s="551">
        <f t="shared" si="267"/>
        <v>23</v>
      </c>
      <c r="J159" s="451">
        <f t="shared" si="268"/>
        <v>10.64</v>
      </c>
      <c r="K159" s="451">
        <f t="shared" si="269"/>
        <v>33.64</v>
      </c>
      <c r="L159" s="451"/>
      <c r="M159" s="221">
        <f t="shared" si="270"/>
        <v>0.31629013079667062</v>
      </c>
      <c r="N159" s="176">
        <f t="shared" si="271"/>
        <v>13.744455410225921</v>
      </c>
      <c r="O159" s="176">
        <f t="shared" si="262"/>
        <v>2.4500000000000002</v>
      </c>
      <c r="P159" s="221">
        <f t="shared" si="272"/>
        <v>2.7488910820451844</v>
      </c>
      <c r="Q159" s="221">
        <f t="shared" si="273"/>
        <v>5</v>
      </c>
      <c r="R159" s="221"/>
      <c r="S159" s="176">
        <f t="shared" si="274"/>
        <v>75.150801395675714</v>
      </c>
      <c r="T159" s="176">
        <f t="shared" si="275"/>
        <v>5</v>
      </c>
      <c r="U159" s="221">
        <f t="shared" si="276"/>
        <v>0.74841088227815922</v>
      </c>
      <c r="V159" s="221">
        <f t="shared" si="277"/>
        <v>0.22777722504117889</v>
      </c>
      <c r="W159" s="221">
        <f t="shared" si="278"/>
        <v>0.49237558044615731</v>
      </c>
      <c r="X159" s="201">
        <f t="shared" si="279"/>
        <v>350</v>
      </c>
      <c r="Y159" s="451">
        <f t="shared" si="215"/>
        <v>350</v>
      </c>
      <c r="AA159" s="221">
        <f t="shared" si="280"/>
        <v>2.9692542891116021</v>
      </c>
      <c r="AB159" s="177">
        <f t="shared" si="281"/>
        <v>1.9534567691523697</v>
      </c>
      <c r="AC159" s="177">
        <f t="shared" si="282"/>
        <v>2.0301084616399181</v>
      </c>
      <c r="AD159" s="177"/>
      <c r="AE159" s="177">
        <f t="shared" si="283"/>
        <v>0.53947368421052622</v>
      </c>
      <c r="AF159" s="555">
        <f t="shared" si="284"/>
        <v>1107.6740035693042</v>
      </c>
      <c r="AG159" s="538">
        <f t="shared" si="285"/>
        <v>0.15482894736842101</v>
      </c>
      <c r="AI159" s="177">
        <f t="shared" si="286"/>
        <v>1.4587666023048376</v>
      </c>
      <c r="AJ159" s="177">
        <f t="shared" si="287"/>
        <v>1.4587666023048376</v>
      </c>
      <c r="AK159" s="177">
        <f t="shared" si="288"/>
        <v>1.6258444015365585</v>
      </c>
      <c r="AM159" s="555">
        <f t="shared" si="289"/>
        <v>490</v>
      </c>
      <c r="AN159" s="469">
        <f t="shared" si="290"/>
        <v>350</v>
      </c>
      <c r="AP159">
        <f t="shared" si="291"/>
        <v>490</v>
      </c>
      <c r="AQ159">
        <f t="shared" si="292"/>
        <v>350</v>
      </c>
      <c r="AS159" s="5">
        <f t="shared" si="263"/>
        <v>2.8571428571428572</v>
      </c>
      <c r="AT159" s="5">
        <f t="shared" si="293"/>
        <v>0.44397244417973314</v>
      </c>
      <c r="AU159" s="5">
        <f t="shared" si="230"/>
        <v>2.4131704129631242</v>
      </c>
      <c r="AV159" s="5"/>
      <c r="AW159" s="177">
        <f t="shared" si="231"/>
        <v>0.15539035546290658</v>
      </c>
      <c r="AX159" s="177">
        <f t="shared" si="259"/>
        <v>2.6068000000000002</v>
      </c>
      <c r="AY159" s="177">
        <f t="shared" si="260"/>
        <v>1.2320883414352723</v>
      </c>
      <c r="AZ159" s="177">
        <f t="shared" si="264"/>
        <v>2.1157573790230919</v>
      </c>
      <c r="BA159" s="469">
        <f t="shared" si="294"/>
        <v>101.93868054563885</v>
      </c>
      <c r="BB159" s="469">
        <f t="shared" si="295"/>
        <v>3.0273626724385627</v>
      </c>
      <c r="BC159" s="5">
        <f t="shared" si="258"/>
        <v>0.23801399000642728</v>
      </c>
      <c r="BD159" s="469">
        <f t="shared" si="296"/>
        <v>28.916751264539396</v>
      </c>
      <c r="BF159" s="177">
        <f t="shared" si="265"/>
        <v>0.33199933555408673</v>
      </c>
      <c r="BG159" s="177">
        <f t="shared" si="261"/>
        <v>1.5480436357221696</v>
      </c>
      <c r="BI159" s="538">
        <f t="shared" si="236"/>
        <v>1.2124591468919059E-2</v>
      </c>
      <c r="BJ159" s="538">
        <f t="shared" si="237"/>
        <v>8.5877589877685789E-2</v>
      </c>
      <c r="BK159" s="538">
        <f t="shared" si="238"/>
        <v>1.7499999999999998E-2</v>
      </c>
      <c r="BL159" s="538">
        <f t="shared" si="239"/>
        <v>8.9117405999999996E-2</v>
      </c>
      <c r="BM159">
        <f t="shared" si="240"/>
        <v>6.6699999999999997E-3</v>
      </c>
      <c r="BN159">
        <f t="shared" si="297"/>
        <v>6.3E-5</v>
      </c>
      <c r="BO159" s="538">
        <f t="shared" si="298"/>
        <v>0.21346692996907984</v>
      </c>
      <c r="BP159" s="469">
        <f t="shared" si="243"/>
        <v>211.28958734660486</v>
      </c>
      <c r="BQ159" s="538">
        <f t="shared" si="299"/>
        <v>0.37026794709483341</v>
      </c>
      <c r="BT159" s="469">
        <f t="shared" si="245"/>
        <v>370.2679470948334</v>
      </c>
      <c r="BU159" s="538">
        <f t="shared" si="246"/>
        <v>1.1022355880835508E-2</v>
      </c>
      <c r="BV159" s="538">
        <f t="shared" si="247"/>
        <v>7.1893172942997408E-2</v>
      </c>
      <c r="BW159" s="538">
        <f t="shared" si="248"/>
        <v>0</v>
      </c>
      <c r="BX159" s="538"/>
      <c r="BY159" s="538">
        <f t="shared" si="249"/>
        <v>3.7240000000000002E-2</v>
      </c>
      <c r="BZ159" s="469">
        <f t="shared" si="250"/>
        <v>120.15552882383292</v>
      </c>
      <c r="CA159" s="177">
        <f t="shared" si="251"/>
        <v>0.70171306326527139</v>
      </c>
      <c r="CB159" s="5">
        <f t="shared" si="252"/>
        <v>2.4500000000000002</v>
      </c>
      <c r="CC159" s="177">
        <f t="shared" si="253"/>
        <v>0.77735502909700949</v>
      </c>
      <c r="CD159" s="5">
        <f t="shared" si="254"/>
        <v>77.735502909700955</v>
      </c>
      <c r="CG159" s="571">
        <f t="shared" si="300"/>
        <v>-50</v>
      </c>
      <c r="CH159">
        <f t="shared" si="301"/>
        <v>-50</v>
      </c>
    </row>
    <row r="160" spans="5:86" x14ac:dyDescent="0.2">
      <c r="E160" s="174">
        <v>50</v>
      </c>
      <c r="F160" s="221">
        <f t="shared" si="302"/>
        <v>0.5</v>
      </c>
      <c r="G160" s="221"/>
      <c r="H160" s="221">
        <f t="shared" si="266"/>
        <v>2.5</v>
      </c>
      <c r="I160" s="551">
        <f t="shared" si="267"/>
        <v>23</v>
      </c>
      <c r="J160" s="451">
        <f t="shared" si="268"/>
        <v>10.64</v>
      </c>
      <c r="K160" s="451">
        <f t="shared" si="269"/>
        <v>33.64</v>
      </c>
      <c r="L160" s="451"/>
      <c r="M160" s="221">
        <f t="shared" si="270"/>
        <v>0.31629013079667062</v>
      </c>
      <c r="N160" s="176">
        <f t="shared" si="271"/>
        <v>13.744455410225921</v>
      </c>
      <c r="O160" s="176">
        <f t="shared" si="262"/>
        <v>2.5</v>
      </c>
      <c r="P160" s="221">
        <f t="shared" si="272"/>
        <v>2.7488910820451844</v>
      </c>
      <c r="Q160" s="221">
        <f t="shared" si="273"/>
        <v>5</v>
      </c>
      <c r="R160" s="221"/>
      <c r="S160" s="176">
        <f t="shared" si="274"/>
        <v>73.419905136075357</v>
      </c>
      <c r="T160" s="176">
        <f t="shared" si="275"/>
        <v>5</v>
      </c>
      <c r="U160" s="221">
        <f t="shared" si="276"/>
        <v>0.76368457375322374</v>
      </c>
      <c r="V160" s="221">
        <f t="shared" si="277"/>
        <v>0.23242573983793766</v>
      </c>
      <c r="W160" s="221">
        <f t="shared" si="278"/>
        <v>0.5024240616797524</v>
      </c>
      <c r="X160" s="201">
        <f t="shared" si="279"/>
        <v>350</v>
      </c>
      <c r="Y160" s="451">
        <f t="shared" si="215"/>
        <v>350</v>
      </c>
      <c r="AA160" s="221">
        <f t="shared" si="280"/>
        <v>2.9692542891116021</v>
      </c>
      <c r="AB160" s="177">
        <f t="shared" si="281"/>
        <v>1.9534567691523697</v>
      </c>
      <c r="AC160" s="177">
        <f t="shared" si="282"/>
        <v>2.0301084616399181</v>
      </c>
      <c r="AD160" s="177"/>
      <c r="AE160" s="177">
        <f t="shared" si="283"/>
        <v>0.53947368421052622</v>
      </c>
      <c r="AF160" s="555">
        <f t="shared" si="284"/>
        <v>1130.2795954788819</v>
      </c>
      <c r="AG160" s="538">
        <f t="shared" si="285"/>
        <v>0.15482894736842101</v>
      </c>
      <c r="AI160" s="177">
        <f t="shared" si="286"/>
        <v>1.4735767952260146</v>
      </c>
      <c r="AJ160" s="177">
        <f t="shared" si="287"/>
        <v>1.4735767952260146</v>
      </c>
      <c r="AK160" s="177">
        <f t="shared" si="288"/>
        <v>1.6357178634840097</v>
      </c>
      <c r="AM160" s="555">
        <f t="shared" si="289"/>
        <v>500</v>
      </c>
      <c r="AN160" s="469">
        <f t="shared" si="290"/>
        <v>350</v>
      </c>
      <c r="AP160">
        <f t="shared" si="291"/>
        <v>500</v>
      </c>
      <c r="AQ160">
        <f t="shared" si="292"/>
        <v>350</v>
      </c>
      <c r="AS160" s="5">
        <f t="shared" si="263"/>
        <v>2.8571428571428572</v>
      </c>
      <c r="AT160" s="5">
        <f t="shared" si="293"/>
        <v>0.4484798941992218</v>
      </c>
      <c r="AU160" s="5">
        <f t="shared" si="230"/>
        <v>2.4086629629436356</v>
      </c>
      <c r="AV160" s="5"/>
      <c r="AW160" s="177">
        <f t="shared" si="231"/>
        <v>0.15696796296972762</v>
      </c>
      <c r="AX160" s="177">
        <f t="shared" si="259"/>
        <v>2.6600000000000006</v>
      </c>
      <c r="AY160" s="177">
        <f t="shared" si="260"/>
        <v>1.2422724473999276</v>
      </c>
      <c r="AZ160" s="177">
        <f t="shared" si="264"/>
        <v>2.1412372185887021</v>
      </c>
      <c r="BA160" s="469">
        <f t="shared" si="294"/>
        <v>101.93868054563885</v>
      </c>
      <c r="BB160" s="469">
        <f t="shared" si="295"/>
        <v>3.1215771266540635</v>
      </c>
      <c r="BC160" s="5">
        <f t="shared" si="258"/>
        <v>0.24241777002250758</v>
      </c>
      <c r="BD160" s="469">
        <f t="shared" si="296"/>
        <v>29.452451243280624</v>
      </c>
      <c r="BF160" s="177">
        <f t="shared" si="265"/>
        <v>0.33706810369785739</v>
      </c>
      <c r="BG160" s="177">
        <f t="shared" si="261"/>
        <v>1.5622990972013706</v>
      </c>
      <c r="BI160" s="538">
        <f t="shared" si="236"/>
        <v>1.249763971835165E-2</v>
      </c>
      <c r="BJ160" s="538">
        <f t="shared" si="237"/>
        <v>8.6749465934955486E-2</v>
      </c>
      <c r="BK160" s="538">
        <f t="shared" si="238"/>
        <v>1.7499999999999998E-2</v>
      </c>
      <c r="BL160" s="538">
        <f t="shared" si="239"/>
        <v>8.9117405999999996E-2</v>
      </c>
      <c r="BM160">
        <f t="shared" si="240"/>
        <v>6.6699999999999997E-3</v>
      </c>
      <c r="BN160">
        <f t="shared" si="297"/>
        <v>6.3E-5</v>
      </c>
      <c r="BO160" s="538">
        <f t="shared" si="298"/>
        <v>0.21477993571137854</v>
      </c>
      <c r="BP160" s="469">
        <f t="shared" si="243"/>
        <v>212.53451165330713</v>
      </c>
      <c r="BQ160" s="538">
        <f t="shared" si="299"/>
        <v>0.37747547504047901</v>
      </c>
      <c r="BT160" s="469">
        <f t="shared" si="245"/>
        <v>377.47547504047901</v>
      </c>
      <c r="BU160" s="538">
        <f t="shared" si="246"/>
        <v>1.1361490653046955E-2</v>
      </c>
      <c r="BV160" s="538">
        <f t="shared" si="247"/>
        <v>7.3223354073486527E-2</v>
      </c>
      <c r="BW160" s="538">
        <f t="shared" si="248"/>
        <v>0</v>
      </c>
      <c r="BX160" s="538"/>
      <c r="BY160" s="538">
        <f t="shared" si="249"/>
        <v>3.8000000000000006E-2</v>
      </c>
      <c r="BZ160" s="469">
        <f t="shared" si="250"/>
        <v>122.58484472653349</v>
      </c>
      <c r="CA160" s="177">
        <f t="shared" si="251"/>
        <v>0.71259483142031965</v>
      </c>
      <c r="CB160" s="5">
        <f t="shared" si="252"/>
        <v>2.5</v>
      </c>
      <c r="CC160" s="177">
        <f t="shared" si="253"/>
        <v>0.77818714502965369</v>
      </c>
      <c r="CD160" s="5">
        <f t="shared" si="254"/>
        <v>77.818714502965364</v>
      </c>
      <c r="CG160" s="571">
        <f t="shared" si="300"/>
        <v>-50</v>
      </c>
      <c r="CH160">
        <f t="shared" si="301"/>
        <v>-50</v>
      </c>
    </row>
    <row r="161" spans="5:86" x14ac:dyDescent="0.2">
      <c r="E161" s="174">
        <v>51</v>
      </c>
      <c r="F161" s="221">
        <f t="shared" si="302"/>
        <v>0.51</v>
      </c>
      <c r="G161" s="221"/>
      <c r="H161" s="221">
        <f t="shared" si="266"/>
        <v>2.5499999999999998</v>
      </c>
      <c r="I161" s="551">
        <f t="shared" si="267"/>
        <v>23</v>
      </c>
      <c r="J161" s="451">
        <f t="shared" si="268"/>
        <v>10.64</v>
      </c>
      <c r="K161" s="451">
        <f t="shared" si="269"/>
        <v>33.64</v>
      </c>
      <c r="L161" s="451"/>
      <c r="M161" s="221">
        <f t="shared" si="270"/>
        <v>0.31629013079667062</v>
      </c>
      <c r="N161" s="176">
        <f t="shared" si="271"/>
        <v>13.744455410225921</v>
      </c>
      <c r="O161" s="176">
        <f t="shared" si="262"/>
        <v>2.5499999999999998</v>
      </c>
      <c r="P161" s="221">
        <f t="shared" si="272"/>
        <v>2.7488910820451844</v>
      </c>
      <c r="Q161" s="221">
        <f t="shared" si="273"/>
        <v>5</v>
      </c>
      <c r="R161" s="221"/>
      <c r="S161" s="176">
        <f t="shared" si="274"/>
        <v>71.756938905229532</v>
      </c>
      <c r="T161" s="176">
        <f t="shared" si="275"/>
        <v>5</v>
      </c>
      <c r="U161" s="221">
        <f t="shared" si="276"/>
        <v>0.77895826522828815</v>
      </c>
      <c r="V161" s="221">
        <f t="shared" si="277"/>
        <v>0.23707425463469639</v>
      </c>
      <c r="W161" s="221">
        <f t="shared" si="278"/>
        <v>0.51247254291334743</v>
      </c>
      <c r="X161" s="201">
        <f t="shared" si="279"/>
        <v>350</v>
      </c>
      <c r="Y161" s="451">
        <f t="shared" si="215"/>
        <v>350</v>
      </c>
      <c r="AA161" s="221">
        <f t="shared" si="280"/>
        <v>2.9692542891116021</v>
      </c>
      <c r="AB161" s="177">
        <f t="shared" si="281"/>
        <v>1.9534567691523697</v>
      </c>
      <c r="AC161" s="177">
        <f t="shared" si="282"/>
        <v>2.0301084616399181</v>
      </c>
      <c r="AD161" s="177"/>
      <c r="AE161" s="177">
        <f t="shared" si="283"/>
        <v>0.53947368421052622</v>
      </c>
      <c r="AF161" s="555">
        <f t="shared" si="284"/>
        <v>1152.8851873884594</v>
      </c>
      <c r="AG161" s="538">
        <f t="shared" si="285"/>
        <v>0.15482894736842101</v>
      </c>
      <c r="AI161" s="177">
        <f t="shared" si="286"/>
        <v>1.4882396120440899</v>
      </c>
      <c r="AJ161" s="177">
        <f t="shared" si="287"/>
        <v>1.4882396120440899</v>
      </c>
      <c r="AK161" s="177">
        <f t="shared" si="288"/>
        <v>1.6454930746960601</v>
      </c>
      <c r="AM161" s="555">
        <f t="shared" si="289"/>
        <v>510</v>
      </c>
      <c r="AN161" s="469">
        <f t="shared" si="290"/>
        <v>350</v>
      </c>
      <c r="AP161">
        <f t="shared" si="291"/>
        <v>510</v>
      </c>
      <c r="AQ161">
        <f t="shared" si="292"/>
        <v>350</v>
      </c>
      <c r="AS161" s="5">
        <f t="shared" si="263"/>
        <v>2.8571428571428572</v>
      </c>
      <c r="AT161" s="5">
        <f t="shared" si="293"/>
        <v>0.45294249062211434</v>
      </c>
      <c r="AU161" s="5">
        <f t="shared" si="230"/>
        <v>2.404200366520743</v>
      </c>
      <c r="AV161" s="5"/>
      <c r="AW161" s="177">
        <f t="shared" si="231"/>
        <v>0.15852987171774002</v>
      </c>
      <c r="AX161" s="177">
        <f t="shared" si="259"/>
        <v>2.7132000000000005</v>
      </c>
      <c r="AY161" s="177">
        <f t="shared" si="260"/>
        <v>1.2523091772614812</v>
      </c>
      <c r="AZ161" s="177">
        <f t="shared" si="264"/>
        <v>2.1665576275126877</v>
      </c>
      <c r="BA161" s="469">
        <f t="shared" si="294"/>
        <v>101.93868054563885</v>
      </c>
      <c r="BB161" s="469">
        <f t="shared" si="295"/>
        <v>3.2170888425708881</v>
      </c>
      <c r="BC161" s="5">
        <f t="shared" si="258"/>
        <v>0.24680800864041438</v>
      </c>
      <c r="BD161" s="469">
        <f t="shared" si="296"/>
        <v>29.986526254241038</v>
      </c>
      <c r="BF161" s="177">
        <f t="shared" si="265"/>
        <v>0.34211158936340402</v>
      </c>
      <c r="BG161" s="177">
        <f t="shared" si="261"/>
        <v>1.5763824088195861</v>
      </c>
      <c r="BI161" s="538">
        <f t="shared" si="236"/>
        <v>1.287443735344298E-2</v>
      </c>
      <c r="BJ161" s="538">
        <f t="shared" si="237"/>
        <v>8.7612665961035591E-2</v>
      </c>
      <c r="BK161" s="538">
        <f t="shared" si="238"/>
        <v>1.7499999999999998E-2</v>
      </c>
      <c r="BL161" s="538">
        <f t="shared" si="239"/>
        <v>8.9117405999999996E-2</v>
      </c>
      <c r="BM161">
        <f t="shared" si="240"/>
        <v>6.6699999999999997E-3</v>
      </c>
      <c r="BN161">
        <f t="shared" si="297"/>
        <v>6.3E-5</v>
      </c>
      <c r="BO161" s="538">
        <f t="shared" si="298"/>
        <v>0.21608884146272242</v>
      </c>
      <c r="BP161" s="469">
        <f t="shared" si="243"/>
        <v>213.77450931447859</v>
      </c>
      <c r="BQ161" s="538">
        <f t="shared" si="299"/>
        <v>0.38467258651105829</v>
      </c>
      <c r="BT161" s="469">
        <f t="shared" si="245"/>
        <v>384.67258651105828</v>
      </c>
      <c r="BU161" s="538">
        <f t="shared" si="246"/>
        <v>1.1704033957675438E-2</v>
      </c>
      <c r="BV161" s="538">
        <f t="shared" si="247"/>
        <v>7.4549444965075221E-2</v>
      </c>
      <c r="BW161" s="538">
        <f t="shared" si="248"/>
        <v>0</v>
      </c>
      <c r="BX161" s="538"/>
      <c r="BY161" s="538">
        <f t="shared" si="249"/>
        <v>3.876000000000001E-2</v>
      </c>
      <c r="BZ161" s="469">
        <f t="shared" si="250"/>
        <v>125.01347892275066</v>
      </c>
      <c r="CA161" s="177">
        <f t="shared" si="251"/>
        <v>0.72346057474828751</v>
      </c>
      <c r="CB161" s="5">
        <f t="shared" si="252"/>
        <v>2.5499999999999998</v>
      </c>
      <c r="CC161" s="177">
        <f t="shared" si="253"/>
        <v>0.77899212218130409</v>
      </c>
      <c r="CD161" s="5">
        <f t="shared" si="254"/>
        <v>77.899212218130415</v>
      </c>
      <c r="CG161" s="571">
        <f t="shared" si="300"/>
        <v>-50</v>
      </c>
      <c r="CH161">
        <f t="shared" si="301"/>
        <v>-50</v>
      </c>
    </row>
    <row r="162" spans="5:86" x14ac:dyDescent="0.2">
      <c r="E162" s="174">
        <v>52</v>
      </c>
      <c r="F162" s="221">
        <f t="shared" si="302"/>
        <v>0.52</v>
      </c>
      <c r="G162" s="221"/>
      <c r="H162" s="221">
        <f t="shared" si="266"/>
        <v>2.6</v>
      </c>
      <c r="I162" s="551">
        <f t="shared" si="267"/>
        <v>23</v>
      </c>
      <c r="J162" s="451">
        <f t="shared" si="268"/>
        <v>10.64</v>
      </c>
      <c r="K162" s="451">
        <f t="shared" si="269"/>
        <v>33.64</v>
      </c>
      <c r="L162" s="451"/>
      <c r="M162" s="221">
        <f t="shared" si="270"/>
        <v>0.31629013079667062</v>
      </c>
      <c r="N162" s="176">
        <f t="shared" si="271"/>
        <v>13.744455410225921</v>
      </c>
      <c r="O162" s="176">
        <f t="shared" si="262"/>
        <v>2.6</v>
      </c>
      <c r="P162" s="221">
        <f t="shared" si="272"/>
        <v>2.7488910820451844</v>
      </c>
      <c r="Q162" s="221">
        <f t="shared" si="273"/>
        <v>5</v>
      </c>
      <c r="R162" s="221"/>
      <c r="S162" s="176">
        <f t="shared" si="274"/>
        <v>70.15798411809962</v>
      </c>
      <c r="T162" s="176">
        <f t="shared" si="275"/>
        <v>5</v>
      </c>
      <c r="U162" s="221">
        <f t="shared" si="276"/>
        <v>0.79423195670335267</v>
      </c>
      <c r="V162" s="221">
        <f t="shared" si="277"/>
        <v>0.24172276943145518</v>
      </c>
      <c r="W162" s="221">
        <f t="shared" si="278"/>
        <v>0.52252102414694257</v>
      </c>
      <c r="X162" s="201">
        <f t="shared" si="279"/>
        <v>350</v>
      </c>
      <c r="Y162" s="451">
        <f t="shared" si="215"/>
        <v>350</v>
      </c>
      <c r="AA162" s="221">
        <f t="shared" si="280"/>
        <v>2.9692542891116021</v>
      </c>
      <c r="AB162" s="177">
        <f t="shared" si="281"/>
        <v>1.9534567691523697</v>
      </c>
      <c r="AC162" s="177">
        <f t="shared" si="282"/>
        <v>2.0301084616399181</v>
      </c>
      <c r="AD162" s="177"/>
      <c r="AE162" s="177">
        <f t="shared" si="283"/>
        <v>0.53947368421052622</v>
      </c>
      <c r="AF162" s="555">
        <f t="shared" si="284"/>
        <v>1175.4907792980371</v>
      </c>
      <c r="AG162" s="538">
        <f t="shared" si="285"/>
        <v>0.15482894736842101</v>
      </c>
      <c r="AI162" s="177">
        <f t="shared" si="286"/>
        <v>1.5027593667269936</v>
      </c>
      <c r="AJ162" s="177">
        <f t="shared" si="287"/>
        <v>1.5027593667269936</v>
      </c>
      <c r="AK162" s="177">
        <f t="shared" si="288"/>
        <v>1.6551729111513291</v>
      </c>
      <c r="AM162" s="555">
        <f t="shared" si="289"/>
        <v>520</v>
      </c>
      <c r="AN162" s="469">
        <f t="shared" si="290"/>
        <v>350</v>
      </c>
      <c r="AP162">
        <f t="shared" si="291"/>
        <v>520</v>
      </c>
      <c r="AQ162">
        <f t="shared" si="292"/>
        <v>350</v>
      </c>
      <c r="AS162" s="5">
        <f t="shared" si="263"/>
        <v>2.8571428571428572</v>
      </c>
      <c r="AT162" s="5">
        <f t="shared" si="293"/>
        <v>0.45736154639517196</v>
      </c>
      <c r="AU162" s="5">
        <f t="shared" si="230"/>
        <v>2.3997813107476853</v>
      </c>
      <c r="AV162" s="5"/>
      <c r="AW162" s="177">
        <f t="shared" si="231"/>
        <v>0.16007654123831019</v>
      </c>
      <c r="AX162" s="177">
        <f t="shared" si="259"/>
        <v>2.7664000000000009</v>
      </c>
      <c r="AY162" s="177">
        <f t="shared" si="260"/>
        <v>1.2622028449878631</v>
      </c>
      <c r="AZ162" s="177">
        <f t="shared" si="264"/>
        <v>2.1917237874920188</v>
      </c>
      <c r="BA162" s="469">
        <f t="shared" si="294"/>
        <v>101.93868054563885</v>
      </c>
      <c r="BB162" s="469">
        <f t="shared" si="295"/>
        <v>3.3138978201890352</v>
      </c>
      <c r="BC162" s="5">
        <f t="shared" si="258"/>
        <v>0.25118483928921015</v>
      </c>
      <c r="BD162" s="469">
        <f t="shared" si="296"/>
        <v>30.518992308908125</v>
      </c>
      <c r="BF162" s="177">
        <f t="shared" si="265"/>
        <v>0.34713041078281809</v>
      </c>
      <c r="BG162" s="177">
        <f t="shared" si="261"/>
        <v>1.5902985665234777</v>
      </c>
      <c r="BI162" s="538">
        <f t="shared" si="236"/>
        <v>1.3254947429927283E-2</v>
      </c>
      <c r="BJ162" s="538">
        <f t="shared" si="237"/>
        <v>8.8467443919218111E-2</v>
      </c>
      <c r="BK162" s="538">
        <f t="shared" si="238"/>
        <v>1.7499999999999998E-2</v>
      </c>
      <c r="BL162" s="538">
        <f t="shared" si="239"/>
        <v>8.9117405999999996E-2</v>
      </c>
      <c r="BM162">
        <f t="shared" si="240"/>
        <v>6.6699999999999997E-3</v>
      </c>
      <c r="BN162">
        <f t="shared" si="297"/>
        <v>6.3E-5</v>
      </c>
      <c r="BO162" s="538">
        <f t="shared" si="298"/>
        <v>0.21739386015486081</v>
      </c>
      <c r="BP162" s="469">
        <f t="shared" si="243"/>
        <v>215.00979734914537</v>
      </c>
      <c r="BQ162" s="538">
        <f t="shared" si="299"/>
        <v>0.39185938414445842</v>
      </c>
      <c r="BT162" s="469">
        <f t="shared" si="245"/>
        <v>391.85938414445843</v>
      </c>
      <c r="BU162" s="538">
        <f t="shared" si="246"/>
        <v>1.2049952209024804E-2</v>
      </c>
      <c r="BV162" s="538">
        <f t="shared" si="247"/>
        <v>7.5871485920598836E-2</v>
      </c>
      <c r="BW162" s="538">
        <f t="shared" si="248"/>
        <v>0</v>
      </c>
      <c r="BX162" s="538"/>
      <c r="BY162" s="538">
        <f t="shared" si="249"/>
        <v>3.9520000000000013E-2</v>
      </c>
      <c r="BZ162" s="469">
        <f t="shared" si="250"/>
        <v>127.44143812962366</v>
      </c>
      <c r="CA162" s="177">
        <f t="shared" si="251"/>
        <v>0.73431061962322741</v>
      </c>
      <c r="CB162" s="5">
        <f t="shared" si="252"/>
        <v>2.6</v>
      </c>
      <c r="CC162" s="177">
        <f t="shared" si="253"/>
        <v>0.77977138203572538</v>
      </c>
      <c r="CD162" s="5">
        <f t="shared" si="254"/>
        <v>77.977138203572537</v>
      </c>
      <c r="CG162" s="571">
        <f t="shared" si="300"/>
        <v>-50</v>
      </c>
      <c r="CH162">
        <f t="shared" si="301"/>
        <v>-50</v>
      </c>
    </row>
    <row r="163" spans="5:86" x14ac:dyDescent="0.2">
      <c r="E163" s="174">
        <v>53</v>
      </c>
      <c r="F163" s="221">
        <f t="shared" si="302"/>
        <v>0.53</v>
      </c>
      <c r="G163" s="221"/>
      <c r="H163" s="221">
        <f t="shared" si="266"/>
        <v>2.6500000000000004</v>
      </c>
      <c r="I163" s="551">
        <f t="shared" si="267"/>
        <v>23</v>
      </c>
      <c r="J163" s="451">
        <f t="shared" si="268"/>
        <v>10.64</v>
      </c>
      <c r="K163" s="451">
        <f t="shared" si="269"/>
        <v>33.64</v>
      </c>
      <c r="L163" s="451"/>
      <c r="M163" s="221">
        <f t="shared" si="270"/>
        <v>0.31629013079667062</v>
      </c>
      <c r="N163" s="176">
        <f t="shared" si="271"/>
        <v>13.744455410225921</v>
      </c>
      <c r="O163" s="176">
        <f t="shared" si="262"/>
        <v>2.6500000000000004</v>
      </c>
      <c r="P163" s="221">
        <f t="shared" si="272"/>
        <v>2.7488910820451844</v>
      </c>
      <c r="Q163" s="221">
        <f t="shared" si="273"/>
        <v>5</v>
      </c>
      <c r="R163" s="221"/>
      <c r="S163" s="176">
        <f t="shared" si="274"/>
        <v>68.619417937047757</v>
      </c>
      <c r="T163" s="176">
        <f t="shared" si="275"/>
        <v>5</v>
      </c>
      <c r="U163" s="221">
        <f t="shared" si="276"/>
        <v>0.80950564817841719</v>
      </c>
      <c r="V163" s="221">
        <f t="shared" si="277"/>
        <v>0.24637128422821392</v>
      </c>
      <c r="W163" s="221">
        <f t="shared" si="278"/>
        <v>0.5325695053805376</v>
      </c>
      <c r="X163" s="201">
        <f t="shared" si="279"/>
        <v>350</v>
      </c>
      <c r="Y163" s="451">
        <f t="shared" si="215"/>
        <v>350</v>
      </c>
      <c r="AA163" s="221">
        <f t="shared" si="280"/>
        <v>2.9692542891116021</v>
      </c>
      <c r="AB163" s="177">
        <f t="shared" si="281"/>
        <v>1.9534567691523697</v>
      </c>
      <c r="AC163" s="177">
        <f t="shared" si="282"/>
        <v>2.0301084616399181</v>
      </c>
      <c r="AD163" s="177"/>
      <c r="AE163" s="177">
        <f t="shared" si="283"/>
        <v>0.53947368421052622</v>
      </c>
      <c r="AF163" s="555">
        <f t="shared" si="284"/>
        <v>1198.096371207615</v>
      </c>
      <c r="AG163" s="538">
        <f t="shared" si="285"/>
        <v>0.15482894736842101</v>
      </c>
      <c r="AI163" s="177">
        <f t="shared" si="286"/>
        <v>1.5171401667987985</v>
      </c>
      <c r="AJ163" s="177">
        <f t="shared" si="287"/>
        <v>1.5171401667987985</v>
      </c>
      <c r="AK163" s="177">
        <f t="shared" si="288"/>
        <v>1.664760111199199</v>
      </c>
      <c r="AM163" s="555">
        <f t="shared" si="289"/>
        <v>530</v>
      </c>
      <c r="AN163" s="469">
        <f t="shared" si="290"/>
        <v>350</v>
      </c>
      <c r="AP163">
        <f t="shared" si="291"/>
        <v>530</v>
      </c>
      <c r="AQ163">
        <f t="shared" si="292"/>
        <v>350</v>
      </c>
      <c r="AS163" s="5">
        <f t="shared" si="263"/>
        <v>2.8571428571428572</v>
      </c>
      <c r="AT163" s="5">
        <f t="shared" si="293"/>
        <v>0.46173831163441692</v>
      </c>
      <c r="AU163" s="5">
        <f t="shared" si="230"/>
        <v>2.3954045455084403</v>
      </c>
      <c r="AV163" s="5"/>
      <c r="AW163" s="177">
        <f t="shared" si="231"/>
        <v>0.16160840907204591</v>
      </c>
      <c r="AX163" s="177">
        <f t="shared" si="259"/>
        <v>2.8196000000000003</v>
      </c>
      <c r="AY163" s="177">
        <f t="shared" si="260"/>
        <v>1.2719575581031464</v>
      </c>
      <c r="AZ163" s="177">
        <f t="shared" si="264"/>
        <v>2.2167406310355457</v>
      </c>
      <c r="BA163" s="469">
        <f t="shared" si="294"/>
        <v>101.93868054563885</v>
      </c>
      <c r="BB163" s="469">
        <f t="shared" si="295"/>
        <v>3.4120040595085062</v>
      </c>
      <c r="BC163" s="5">
        <f t="shared" si="258"/>
        <v>0.25554839152968462</v>
      </c>
      <c r="BD163" s="469">
        <f t="shared" si="296"/>
        <v>31.049864954576652</v>
      </c>
      <c r="BF163" s="177">
        <f t="shared" si="265"/>
        <v>0.35212515949715301</v>
      </c>
      <c r="BG163" s="177">
        <f t="shared" si="261"/>
        <v>1.6040523274347378</v>
      </c>
      <c r="BI163" s="538">
        <f t="shared" si="236"/>
        <v>1.3639134074598498E-2</v>
      </c>
      <c r="BJ163" s="538">
        <f t="shared" si="237"/>
        <v>8.931404161944527E-2</v>
      </c>
      <c r="BK163" s="538">
        <f t="shared" si="238"/>
        <v>1.7499999999999998E-2</v>
      </c>
      <c r="BL163" s="538">
        <f t="shared" si="239"/>
        <v>8.9117405999999996E-2</v>
      </c>
      <c r="BM163">
        <f t="shared" si="240"/>
        <v>6.6699999999999997E-3</v>
      </c>
      <c r="BN163">
        <f t="shared" si="297"/>
        <v>6.3E-5</v>
      </c>
      <c r="BO163" s="538">
        <f t="shared" si="298"/>
        <v>0.2186951938054896</v>
      </c>
      <c r="BP163" s="469">
        <f t="shared" si="243"/>
        <v>216.24058169404378</v>
      </c>
      <c r="BQ163" s="538">
        <f t="shared" si="299"/>
        <v>0.39903596760296833</v>
      </c>
      <c r="BT163" s="469">
        <f t="shared" si="245"/>
        <v>399.03596760296836</v>
      </c>
      <c r="BU163" s="538">
        <f t="shared" si="246"/>
        <v>1.2399212795089544E-2</v>
      </c>
      <c r="BV163" s="538">
        <f t="shared" si="247"/>
        <v>7.7189516074463976E-2</v>
      </c>
      <c r="BW163" s="538">
        <f t="shared" si="248"/>
        <v>0</v>
      </c>
      <c r="BX163" s="538"/>
      <c r="BY163" s="538">
        <f t="shared" si="249"/>
        <v>4.028000000000001E-2</v>
      </c>
      <c r="BZ163" s="469">
        <f t="shared" si="250"/>
        <v>129.86872886955354</v>
      </c>
      <c r="CA163" s="177">
        <f t="shared" si="251"/>
        <v>0.74514527816656573</v>
      </c>
      <c r="CB163" s="5">
        <f t="shared" si="252"/>
        <v>2.6500000000000004</v>
      </c>
      <c r="CC163" s="177">
        <f t="shared" si="253"/>
        <v>0.78052624641471713</v>
      </c>
      <c r="CD163" s="5">
        <f t="shared" si="254"/>
        <v>78.052624641471709</v>
      </c>
      <c r="CG163" s="571">
        <f t="shared" si="300"/>
        <v>-50</v>
      </c>
      <c r="CH163">
        <f t="shared" si="301"/>
        <v>-50</v>
      </c>
    </row>
    <row r="164" spans="5:86" x14ac:dyDescent="0.2">
      <c r="E164" s="174">
        <v>54</v>
      </c>
      <c r="F164" s="221">
        <f t="shared" si="302"/>
        <v>0.54</v>
      </c>
      <c r="G164" s="221"/>
      <c r="H164" s="221">
        <f t="shared" si="266"/>
        <v>2.7</v>
      </c>
      <c r="I164" s="551">
        <f t="shared" si="267"/>
        <v>23</v>
      </c>
      <c r="J164" s="451">
        <f t="shared" si="268"/>
        <v>10.64</v>
      </c>
      <c r="K164" s="451">
        <f t="shared" si="269"/>
        <v>33.64</v>
      </c>
      <c r="L164" s="451"/>
      <c r="M164" s="221">
        <f t="shared" si="270"/>
        <v>0.31629013079667062</v>
      </c>
      <c r="N164" s="176">
        <f t="shared" si="271"/>
        <v>13.744455410225921</v>
      </c>
      <c r="O164" s="176">
        <f t="shared" si="262"/>
        <v>2.7</v>
      </c>
      <c r="P164" s="221">
        <f t="shared" si="272"/>
        <v>2.7488910820451844</v>
      </c>
      <c r="Q164" s="221">
        <f t="shared" si="273"/>
        <v>5</v>
      </c>
      <c r="R164" s="221"/>
      <c r="S164" s="176">
        <f t="shared" si="274"/>
        <v>67.137885887887379</v>
      </c>
      <c r="T164" s="176">
        <f t="shared" si="275"/>
        <v>5</v>
      </c>
      <c r="U164" s="221">
        <f t="shared" si="276"/>
        <v>0.8247793396534816</v>
      </c>
      <c r="V164" s="221">
        <f t="shared" si="277"/>
        <v>0.25101979902497268</v>
      </c>
      <c r="W164" s="221">
        <f t="shared" si="278"/>
        <v>0.54261798661413263</v>
      </c>
      <c r="X164" s="201">
        <f t="shared" si="279"/>
        <v>350</v>
      </c>
      <c r="Y164" s="451">
        <f t="shared" si="215"/>
        <v>350</v>
      </c>
      <c r="AA164" s="221">
        <f t="shared" si="280"/>
        <v>2.9692542891116021</v>
      </c>
      <c r="AB164" s="177">
        <f t="shared" si="281"/>
        <v>1.9534567691523697</v>
      </c>
      <c r="AC164" s="177">
        <f t="shared" si="282"/>
        <v>2.0301084616399181</v>
      </c>
      <c r="AD164" s="177"/>
      <c r="AE164" s="177">
        <f t="shared" si="283"/>
        <v>0.53947368421052622</v>
      </c>
      <c r="AF164" s="555">
        <f t="shared" si="284"/>
        <v>1220.7019631171925</v>
      </c>
      <c r="AG164" s="538">
        <f t="shared" si="285"/>
        <v>0.15482894736842101</v>
      </c>
      <c r="AI164" s="177">
        <f t="shared" si="286"/>
        <v>1.5313859269115861</v>
      </c>
      <c r="AJ164" s="177">
        <f t="shared" si="287"/>
        <v>1.5313859269115861</v>
      </c>
      <c r="AK164" s="177">
        <f t="shared" si="288"/>
        <v>1.6742572846077242</v>
      </c>
      <c r="AM164" s="555">
        <f t="shared" si="289"/>
        <v>540</v>
      </c>
      <c r="AN164" s="469">
        <f t="shared" si="290"/>
        <v>350</v>
      </c>
      <c r="AP164">
        <f t="shared" si="291"/>
        <v>540</v>
      </c>
      <c r="AQ164">
        <f t="shared" si="292"/>
        <v>350</v>
      </c>
      <c r="AS164" s="5">
        <f t="shared" si="263"/>
        <v>2.8571428571428572</v>
      </c>
      <c r="AT164" s="5">
        <f t="shared" si="293"/>
        <v>0.46607397775570009</v>
      </c>
      <c r="AU164" s="5">
        <f t="shared" si="230"/>
        <v>2.3910688793871571</v>
      </c>
      <c r="AV164" s="5"/>
      <c r="AW164" s="177">
        <f t="shared" si="231"/>
        <v>0.16312589221449503</v>
      </c>
      <c r="AX164" s="177">
        <f t="shared" si="259"/>
        <v>2.8728000000000011</v>
      </c>
      <c r="AY164" s="177">
        <f t="shared" si="260"/>
        <v>1.2815772312594123</v>
      </c>
      <c r="AZ164" s="177">
        <f t="shared" si="264"/>
        <v>2.2416128579132812</v>
      </c>
      <c r="BA164" s="469">
        <f t="shared" si="294"/>
        <v>101.93868054563885</v>
      </c>
      <c r="BB164" s="469">
        <f t="shared" si="295"/>
        <v>3.5114075605293</v>
      </c>
      <c r="BC164" s="5">
        <f t="shared" si="258"/>
        <v>0.25989879123773441</v>
      </c>
      <c r="BD164" s="469">
        <f t="shared" si="296"/>
        <v>31.57915929635422</v>
      </c>
      <c r="BF164" s="177">
        <f t="shared" si="265"/>
        <v>0.35709640198965825</v>
      </c>
      <c r="BG164" s="177">
        <f t="shared" si="261"/>
        <v>1.6176482255426567</v>
      </c>
      <c r="BI164" s="538">
        <f t="shared" si="236"/>
        <v>1.4026962434535556E-2</v>
      </c>
      <c r="BJ164" s="538">
        <f t="shared" si="237"/>
        <v>9.0152689517285084E-2</v>
      </c>
      <c r="BK164" s="538">
        <f t="shared" si="238"/>
        <v>1.7499999999999998E-2</v>
      </c>
      <c r="BL164" s="538">
        <f t="shared" si="239"/>
        <v>8.9117405999999996E-2</v>
      </c>
      <c r="BM164">
        <f t="shared" si="240"/>
        <v>6.6699999999999997E-3</v>
      </c>
      <c r="BN164">
        <f t="shared" si="297"/>
        <v>6.3E-5</v>
      </c>
      <c r="BO164" s="538">
        <f t="shared" si="298"/>
        <v>0.219993034258539</v>
      </c>
      <c r="BP164" s="469">
        <f t="shared" si="243"/>
        <v>217.46705795182064</v>
      </c>
      <c r="BQ164" s="538">
        <f t="shared" si="299"/>
        <v>0.40620243371433984</v>
      </c>
      <c r="BT164" s="469">
        <f t="shared" si="245"/>
        <v>406.20243371433986</v>
      </c>
      <c r="BU164" s="538">
        <f t="shared" si="246"/>
        <v>1.2751784031395961E-2</v>
      </c>
      <c r="BV164" s="538">
        <f t="shared" si="247"/>
        <v>7.8503573448039182E-2</v>
      </c>
      <c r="BW164" s="538">
        <f t="shared" si="248"/>
        <v>0</v>
      </c>
      <c r="BX164" s="538"/>
      <c r="BY164" s="538">
        <f t="shared" si="249"/>
        <v>4.1040000000000021E-2</v>
      </c>
      <c r="BZ164" s="469">
        <f t="shared" si="250"/>
        <v>132.29535747943515</v>
      </c>
      <c r="CA164" s="177">
        <f t="shared" si="251"/>
        <v>0.7559648491455957</v>
      </c>
      <c r="CB164" s="5">
        <f t="shared" si="252"/>
        <v>2.7</v>
      </c>
      <c r="CC164" s="177">
        <f t="shared" si="253"/>
        <v>0.78125794614708255</v>
      </c>
      <c r="CD164" s="5">
        <f t="shared" si="254"/>
        <v>78.125794614708255</v>
      </c>
      <c r="CG164" s="571">
        <f t="shared" si="300"/>
        <v>-50</v>
      </c>
      <c r="CH164">
        <f t="shared" si="301"/>
        <v>-50</v>
      </c>
    </row>
    <row r="165" spans="5:86" x14ac:dyDescent="0.2">
      <c r="E165" s="174">
        <v>55</v>
      </c>
      <c r="F165" s="221">
        <f t="shared" si="302"/>
        <v>0.55000000000000004</v>
      </c>
      <c r="G165" s="221"/>
      <c r="H165" s="221">
        <f t="shared" si="266"/>
        <v>2.75</v>
      </c>
      <c r="I165" s="551">
        <f t="shared" si="267"/>
        <v>23</v>
      </c>
      <c r="J165" s="451">
        <f t="shared" si="268"/>
        <v>10.64</v>
      </c>
      <c r="K165" s="451">
        <f t="shared" si="269"/>
        <v>33.64</v>
      </c>
      <c r="L165" s="451"/>
      <c r="M165" s="221">
        <f t="shared" si="270"/>
        <v>0.31629013079667062</v>
      </c>
      <c r="N165" s="176">
        <f t="shared" si="271"/>
        <v>13.744455410225921</v>
      </c>
      <c r="O165" s="176">
        <f t="shared" si="262"/>
        <v>2.75</v>
      </c>
      <c r="P165" s="221">
        <f t="shared" si="272"/>
        <v>2.7488910820451844</v>
      </c>
      <c r="Q165" s="221">
        <f t="shared" si="273"/>
        <v>5</v>
      </c>
      <c r="R165" s="221"/>
      <c r="S165" s="176">
        <f t="shared" si="274"/>
        <v>65.71027746327502</v>
      </c>
      <c r="T165" s="176">
        <f t="shared" si="275"/>
        <v>5</v>
      </c>
      <c r="U165" s="221">
        <f t="shared" si="276"/>
        <v>0.84005303112854601</v>
      </c>
      <c r="V165" s="221">
        <f t="shared" si="277"/>
        <v>0.25566831382173144</v>
      </c>
      <c r="W165" s="221">
        <f t="shared" si="278"/>
        <v>0.55266646784772766</v>
      </c>
      <c r="X165" s="201">
        <f t="shared" si="279"/>
        <v>350</v>
      </c>
      <c r="Y165" s="451">
        <f t="shared" si="215"/>
        <v>350</v>
      </c>
      <c r="AA165" s="221">
        <f t="shared" si="280"/>
        <v>2.9692542891116021</v>
      </c>
      <c r="AB165" s="177">
        <f t="shared" si="281"/>
        <v>1.9534567691523697</v>
      </c>
      <c r="AC165" s="177">
        <f t="shared" si="282"/>
        <v>2.0301084616399181</v>
      </c>
      <c r="AD165" s="177"/>
      <c r="AE165" s="177">
        <f t="shared" si="283"/>
        <v>0.53947368421052622</v>
      </c>
      <c r="AF165" s="555">
        <f t="shared" si="284"/>
        <v>1243.3075550267702</v>
      </c>
      <c r="AG165" s="538">
        <f t="shared" si="285"/>
        <v>0.15482894736842101</v>
      </c>
      <c r="AI165" s="177">
        <f t="shared" si="286"/>
        <v>1.5455003812912598</v>
      </c>
      <c r="AJ165" s="177">
        <f t="shared" si="287"/>
        <v>1.5455003812912598</v>
      </c>
      <c r="AK165" s="177">
        <f t="shared" si="288"/>
        <v>1.6836669208608399</v>
      </c>
      <c r="AM165" s="555">
        <f t="shared" si="289"/>
        <v>550</v>
      </c>
      <c r="AN165" s="469">
        <f t="shared" si="290"/>
        <v>350</v>
      </c>
      <c r="AP165">
        <f t="shared" si="291"/>
        <v>550</v>
      </c>
      <c r="AQ165">
        <f t="shared" si="292"/>
        <v>350</v>
      </c>
      <c r="AS165" s="5">
        <f t="shared" si="263"/>
        <v>2.8571428571428572</v>
      </c>
      <c r="AT165" s="5">
        <f t="shared" si="293"/>
        <v>0.47036968126255729</v>
      </c>
      <c r="AU165" s="5">
        <f t="shared" si="230"/>
        <v>2.3867731758802999</v>
      </c>
      <c r="AV165" s="5"/>
      <c r="AW165" s="177">
        <f t="shared" si="231"/>
        <v>0.16462938844189504</v>
      </c>
      <c r="AX165" s="177">
        <f t="shared" si="259"/>
        <v>2.926000000000001</v>
      </c>
      <c r="AY165" s="177">
        <f t="shared" si="260"/>
        <v>1.2910655986825641</v>
      </c>
      <c r="AZ165" s="177">
        <f t="shared" si="264"/>
        <v>2.2663449502378232</v>
      </c>
      <c r="BA165" s="469">
        <f t="shared" si="294"/>
        <v>101.93868054563885</v>
      </c>
      <c r="BB165" s="469">
        <f t="shared" si="295"/>
        <v>3.6121083232514177</v>
      </c>
      <c r="BC165" s="5">
        <f t="shared" si="258"/>
        <v>0.26423616077579803</v>
      </c>
      <c r="BD165" s="469">
        <f t="shared" si="296"/>
        <v>32.106890017733456</v>
      </c>
      <c r="BF165" s="177">
        <f t="shared" si="265"/>
        <v>0.3620446811907328</v>
      </c>
      <c r="BG165" s="177">
        <f t="shared" si="261"/>
        <v>1.6310905860950546</v>
      </c>
      <c r="BI165" s="538">
        <f t="shared" si="236"/>
        <v>1.441839862963493E-2</v>
      </c>
      <c r="BJ165" s="538">
        <f t="shared" si="237"/>
        <v>9.098360744661646E-2</v>
      </c>
      <c r="BK165" s="538">
        <f t="shared" si="238"/>
        <v>1.7499999999999998E-2</v>
      </c>
      <c r="BL165" s="538">
        <f t="shared" si="239"/>
        <v>8.9117405999999996E-2</v>
      </c>
      <c r="BM165">
        <f t="shared" si="240"/>
        <v>6.6699999999999997E-3</v>
      </c>
      <c r="BN165">
        <f t="shared" si="297"/>
        <v>6.3E-5</v>
      </c>
      <c r="BO165" s="538">
        <f t="shared" si="298"/>
        <v>0.2212875638619938</v>
      </c>
      <c r="BP165" s="469">
        <f t="shared" si="243"/>
        <v>218.68941207625139</v>
      </c>
      <c r="BQ165" s="538">
        <f t="shared" si="299"/>
        <v>0.41335887660366027</v>
      </c>
      <c r="BT165" s="469">
        <f t="shared" si="245"/>
        <v>413.35887660366029</v>
      </c>
      <c r="BU165" s="538">
        <f t="shared" si="246"/>
        <v>1.3107635117849938E-2</v>
      </c>
      <c r="BV165" s="538">
        <f t="shared" si="247"/>
        <v>7.9813695001437257E-2</v>
      </c>
      <c r="BW165" s="538">
        <f t="shared" si="248"/>
        <v>0</v>
      </c>
      <c r="BX165" s="538"/>
      <c r="BY165" s="538">
        <f t="shared" si="249"/>
        <v>4.1800000000000011E-2</v>
      </c>
      <c r="BZ165" s="469">
        <f t="shared" si="250"/>
        <v>134.72133011928719</v>
      </c>
      <c r="CA165" s="177">
        <f t="shared" si="251"/>
        <v>0.76676961879919903</v>
      </c>
      <c r="CB165" s="5">
        <f t="shared" si="252"/>
        <v>2.75</v>
      </c>
      <c r="CC165" s="177">
        <f t="shared" si="253"/>
        <v>0.7819676288431392</v>
      </c>
      <c r="CD165" s="5">
        <f t="shared" si="254"/>
        <v>78.196762884313927</v>
      </c>
      <c r="CG165" s="571">
        <f t="shared" si="300"/>
        <v>-50</v>
      </c>
      <c r="CH165">
        <f t="shared" si="301"/>
        <v>-50</v>
      </c>
    </row>
    <row r="166" spans="5:86" x14ac:dyDescent="0.2">
      <c r="E166" s="174">
        <v>56</v>
      </c>
      <c r="F166" s="221">
        <f t="shared" si="302"/>
        <v>0.56000000000000005</v>
      </c>
      <c r="G166" s="221"/>
      <c r="H166" s="221">
        <f t="shared" si="266"/>
        <v>2.8000000000000003</v>
      </c>
      <c r="I166" s="551">
        <f t="shared" si="267"/>
        <v>23</v>
      </c>
      <c r="J166" s="451">
        <f t="shared" si="268"/>
        <v>10.64</v>
      </c>
      <c r="K166" s="451">
        <f t="shared" si="269"/>
        <v>33.64</v>
      </c>
      <c r="L166" s="451"/>
      <c r="M166" s="221">
        <f t="shared" si="270"/>
        <v>0.31629013079667062</v>
      </c>
      <c r="N166" s="176">
        <f t="shared" si="271"/>
        <v>13.744455410225921</v>
      </c>
      <c r="O166" s="176">
        <f t="shared" si="262"/>
        <v>2.8000000000000003</v>
      </c>
      <c r="P166" s="221">
        <f t="shared" si="272"/>
        <v>2.7488910820451844</v>
      </c>
      <c r="Q166" s="221">
        <f t="shared" si="273"/>
        <v>5</v>
      </c>
      <c r="R166" s="221"/>
      <c r="S166" s="176">
        <f t="shared" si="274"/>
        <v>64.333704340025179</v>
      </c>
      <c r="T166" s="176">
        <f t="shared" si="275"/>
        <v>5</v>
      </c>
      <c r="U166" s="221">
        <f t="shared" si="276"/>
        <v>0.85532672260361065</v>
      </c>
      <c r="V166" s="221">
        <f t="shared" si="277"/>
        <v>0.2603168286184902</v>
      </c>
      <c r="W166" s="221">
        <f t="shared" si="278"/>
        <v>0.56271494908132269</v>
      </c>
      <c r="X166" s="201">
        <f t="shared" si="279"/>
        <v>350</v>
      </c>
      <c r="Y166" s="451">
        <f t="shared" si="215"/>
        <v>350</v>
      </c>
      <c r="AA166" s="221">
        <f t="shared" si="280"/>
        <v>2.9692542891116021</v>
      </c>
      <c r="AB166" s="177">
        <f t="shared" si="281"/>
        <v>1.9534567691523697</v>
      </c>
      <c r="AC166" s="177">
        <f t="shared" si="282"/>
        <v>2.0301084616399181</v>
      </c>
      <c r="AD166" s="177"/>
      <c r="AE166" s="177">
        <f t="shared" si="283"/>
        <v>0.53947368421052622</v>
      </c>
      <c r="AF166" s="555">
        <f t="shared" si="284"/>
        <v>1265.9131469363476</v>
      </c>
      <c r="AG166" s="538">
        <f t="shared" si="285"/>
        <v>0.15482894736842101</v>
      </c>
      <c r="AI166" s="177">
        <f t="shared" si="286"/>
        <v>1.5594870951694344</v>
      </c>
      <c r="AJ166" s="177">
        <f t="shared" si="287"/>
        <v>1.5594870951694344</v>
      </c>
      <c r="AK166" s="177">
        <f t="shared" si="288"/>
        <v>1.6929913967796231</v>
      </c>
      <c r="AM166" s="555">
        <f t="shared" si="289"/>
        <v>560</v>
      </c>
      <c r="AN166" s="469">
        <f t="shared" si="290"/>
        <v>350</v>
      </c>
      <c r="AP166">
        <f t="shared" si="291"/>
        <v>560</v>
      </c>
      <c r="AQ166">
        <f t="shared" si="292"/>
        <v>350</v>
      </c>
      <c r="AS166" s="5">
        <f t="shared" si="263"/>
        <v>2.8571428571428572</v>
      </c>
      <c r="AT166" s="5">
        <f t="shared" si="293"/>
        <v>0.47462650722548</v>
      </c>
      <c r="AU166" s="5">
        <f t="shared" si="230"/>
        <v>2.3825163499173772</v>
      </c>
      <c r="AV166" s="5"/>
      <c r="AW166" s="177">
        <f t="shared" si="231"/>
        <v>0.166119277528918</v>
      </c>
      <c r="AX166" s="177">
        <f t="shared" si="259"/>
        <v>2.9792000000000005</v>
      </c>
      <c r="AY166" s="177">
        <f t="shared" si="260"/>
        <v>1.3004262256042169</v>
      </c>
      <c r="AZ166" s="177">
        <f t="shared" si="264"/>
        <v>2.290941186314337</v>
      </c>
      <c r="BA166" s="469">
        <f t="shared" si="294"/>
        <v>101.93868054563885</v>
      </c>
      <c r="BB166" s="469">
        <f t="shared" si="295"/>
        <v>3.7141063476748575</v>
      </c>
      <c r="BC166" s="5">
        <f t="shared" si="258"/>
        <v>0.26856061915332746</v>
      </c>
      <c r="BD166" s="469">
        <f t="shared" si="296"/>
        <v>32.633071399848568</v>
      </c>
      <c r="BF166" s="177">
        <f t="shared" si="265"/>
        <v>0.36697051786682111</v>
      </c>
      <c r="BG166" s="177">
        <f t="shared" si="261"/>
        <v>1.6443835388171752</v>
      </c>
      <c r="BI166" s="538">
        <f t="shared" si="236"/>
        <v>1.4813409708178715E-2</v>
      </c>
      <c r="BJ166" s="538">
        <f t="shared" si="237"/>
        <v>9.1807005292624616E-2</v>
      </c>
      <c r="BK166" s="538">
        <f t="shared" si="238"/>
        <v>1.7499999999999998E-2</v>
      </c>
      <c r="BL166" s="538">
        <f t="shared" si="239"/>
        <v>8.9117405999999996E-2</v>
      </c>
      <c r="BM166">
        <f t="shared" si="240"/>
        <v>6.6699999999999997E-3</v>
      </c>
      <c r="BN166">
        <f t="shared" si="297"/>
        <v>6.3E-5</v>
      </c>
      <c r="BO166" s="538">
        <f t="shared" si="298"/>
        <v>0.22257895608953299</v>
      </c>
      <c r="BP166" s="469">
        <f t="shared" si="243"/>
        <v>219.90782100080332</v>
      </c>
      <c r="BQ166" s="538">
        <f t="shared" si="299"/>
        <v>0.42050538781679331</v>
      </c>
      <c r="BT166" s="469">
        <f t="shared" si="245"/>
        <v>420.5053878167933</v>
      </c>
      <c r="BU166" s="538">
        <f t="shared" si="246"/>
        <v>1.3466736098344288E-2</v>
      </c>
      <c r="BV166" s="538">
        <f t="shared" si="247"/>
        <v>8.1119916681986884E-2</v>
      </c>
      <c r="BW166" s="538">
        <f t="shared" si="248"/>
        <v>0</v>
      </c>
      <c r="BX166" s="538"/>
      <c r="BY166" s="538">
        <f t="shared" si="249"/>
        <v>4.2560000000000014E-2</v>
      </c>
      <c r="BZ166" s="469">
        <f t="shared" si="250"/>
        <v>137.14665278033118</v>
      </c>
      <c r="CA166" s="177">
        <f t="shared" si="251"/>
        <v>0.77755986159792789</v>
      </c>
      <c r="CB166" s="5">
        <f t="shared" si="252"/>
        <v>2.8000000000000003</v>
      </c>
      <c r="CC166" s="177">
        <f t="shared" si="253"/>
        <v>0.78265636588100906</v>
      </c>
      <c r="CD166" s="5">
        <f t="shared" si="254"/>
        <v>78.265636588100904</v>
      </c>
      <c r="CG166" s="571">
        <f t="shared" si="300"/>
        <v>-50</v>
      </c>
      <c r="CH166">
        <f t="shared" si="301"/>
        <v>-50</v>
      </c>
    </row>
    <row r="167" spans="5:86" x14ac:dyDescent="0.2">
      <c r="E167" s="174">
        <v>57</v>
      </c>
      <c r="F167" s="221">
        <f t="shared" si="302"/>
        <v>0.56999999999999995</v>
      </c>
      <c r="G167" s="221"/>
      <c r="H167" s="221">
        <f t="shared" si="266"/>
        <v>2.8499999999999996</v>
      </c>
      <c r="I167" s="551">
        <f t="shared" si="267"/>
        <v>23</v>
      </c>
      <c r="J167" s="451">
        <f t="shared" si="268"/>
        <v>10.64</v>
      </c>
      <c r="K167" s="451">
        <f t="shared" si="269"/>
        <v>33.64</v>
      </c>
      <c r="L167" s="451"/>
      <c r="M167" s="221">
        <f t="shared" si="270"/>
        <v>0.31629013079667062</v>
      </c>
      <c r="N167" s="176">
        <f t="shared" si="271"/>
        <v>13.744455410225921</v>
      </c>
      <c r="O167" s="176">
        <f t="shared" si="262"/>
        <v>2.8499999999999996</v>
      </c>
      <c r="P167" s="221">
        <f t="shared" si="272"/>
        <v>2.7488910820451844</v>
      </c>
      <c r="Q167" s="221">
        <f t="shared" si="273"/>
        <v>5</v>
      </c>
      <c r="R167" s="221"/>
      <c r="S167" s="176">
        <f t="shared" si="274"/>
        <v>63.005480889340575</v>
      </c>
      <c r="T167" s="176">
        <f t="shared" si="275"/>
        <v>5</v>
      </c>
      <c r="U167" s="221">
        <f t="shared" si="276"/>
        <v>0.87060041407867494</v>
      </c>
      <c r="V167" s="221">
        <f t="shared" si="277"/>
        <v>0.26496534341524891</v>
      </c>
      <c r="W167" s="221">
        <f t="shared" si="278"/>
        <v>0.57276343031491772</v>
      </c>
      <c r="X167" s="201">
        <f t="shared" si="279"/>
        <v>350</v>
      </c>
      <c r="Y167" s="451">
        <f t="shared" si="215"/>
        <v>350</v>
      </c>
      <c r="AA167" s="221">
        <f t="shared" si="280"/>
        <v>2.9692542891116021</v>
      </c>
      <c r="AB167" s="177">
        <f t="shared" si="281"/>
        <v>1.9534567691523697</v>
      </c>
      <c r="AC167" s="177">
        <f t="shared" si="282"/>
        <v>2.0301084616399181</v>
      </c>
      <c r="AD167" s="177"/>
      <c r="AE167" s="177">
        <f t="shared" si="283"/>
        <v>0.53947368421052622</v>
      </c>
      <c r="AF167" s="555">
        <f t="shared" si="284"/>
        <v>1288.5187388459251</v>
      </c>
      <c r="AG167" s="538">
        <f t="shared" si="285"/>
        <v>0.15482894736842101</v>
      </c>
      <c r="AI167" s="177">
        <f t="shared" si="286"/>
        <v>1.5733494753005677</v>
      </c>
      <c r="AJ167" s="177">
        <f t="shared" si="287"/>
        <v>1.5733494753005677</v>
      </c>
      <c r="AK167" s="177">
        <f t="shared" si="288"/>
        <v>1.7022329835337118</v>
      </c>
      <c r="AM167" s="555">
        <f t="shared" si="289"/>
        <v>570</v>
      </c>
      <c r="AN167" s="469">
        <f t="shared" si="290"/>
        <v>350</v>
      </c>
      <c r="AP167">
        <f t="shared" si="291"/>
        <v>570</v>
      </c>
      <c r="AQ167">
        <f t="shared" si="292"/>
        <v>350</v>
      </c>
      <c r="AS167" s="5">
        <f t="shared" si="263"/>
        <v>2.8571428571428572</v>
      </c>
      <c r="AT167" s="5">
        <f t="shared" si="293"/>
        <v>0.47884549248278141</v>
      </c>
      <c r="AU167" s="5">
        <f t="shared" si="230"/>
        <v>2.3782973646600758</v>
      </c>
      <c r="AV167" s="5"/>
      <c r="AW167" s="177">
        <f t="shared" si="231"/>
        <v>0.1675959223689735</v>
      </c>
      <c r="AX167" s="177">
        <f t="shared" si="259"/>
        <v>3.0324</v>
      </c>
      <c r="AY167" s="177">
        <f t="shared" si="260"/>
        <v>1.3096625187788287</v>
      </c>
      <c r="AZ167" s="177">
        <f t="shared" si="264"/>
        <v>2.3154056533797021</v>
      </c>
      <c r="BA167" s="469">
        <f t="shared" si="294"/>
        <v>101.93868054563885</v>
      </c>
      <c r="BB167" s="469">
        <f t="shared" si="295"/>
        <v>3.8174016337996206</v>
      </c>
      <c r="BC167" s="5">
        <f t="shared" si="258"/>
        <v>0.27287228217718251</v>
      </c>
      <c r="BD167" s="469">
        <f t="shared" si="296"/>
        <v>33.157717339522783</v>
      </c>
      <c r="BF167" s="177">
        <f t="shared" si="265"/>
        <v>0.37187441190410947</v>
      </c>
      <c r="BG167" s="177">
        <f t="shared" si="261"/>
        <v>1.6575310300731387</v>
      </c>
      <c r="BI167" s="538">
        <f t="shared" si="236"/>
        <v>1.5211963605193E-2</v>
      </c>
      <c r="BJ167" s="538">
        <f t="shared" si="237"/>
        <v>9.2623083610944415E-2</v>
      </c>
      <c r="BK167" s="538">
        <f t="shared" si="238"/>
        <v>1.7499999999999998E-2</v>
      </c>
      <c r="BL167" s="538">
        <f t="shared" si="239"/>
        <v>8.9117405999999996E-2</v>
      </c>
      <c r="BM167">
        <f t="shared" si="240"/>
        <v>6.6699999999999997E-3</v>
      </c>
      <c r="BN167">
        <f t="shared" si="297"/>
        <v>6.3E-5</v>
      </c>
      <c r="BO167" s="538">
        <f t="shared" si="298"/>
        <v>0.22386737611154239</v>
      </c>
      <c r="BP167" s="469">
        <f t="shared" si="243"/>
        <v>221.12245321613744</v>
      </c>
      <c r="BQ167" s="538">
        <f t="shared" si="299"/>
        <v>0.42764205643606645</v>
      </c>
      <c r="BT167" s="469">
        <f t="shared" si="245"/>
        <v>427.64205643606647</v>
      </c>
      <c r="BU167" s="538">
        <f t="shared" si="246"/>
        <v>1.3829057822902727E-2</v>
      </c>
      <c r="BV167" s="538">
        <f t="shared" si="247"/>
        <v>8.2422273469659607E-2</v>
      </c>
      <c r="BW167" s="538">
        <f t="shared" si="248"/>
        <v>0</v>
      </c>
      <c r="BX167" s="538"/>
      <c r="BY167" s="538">
        <f t="shared" si="249"/>
        <v>4.3320000000000004E-2</v>
      </c>
      <c r="BZ167" s="469">
        <f t="shared" si="250"/>
        <v>139.57133129256232</v>
      </c>
      <c r="CA167" s="177">
        <f t="shared" si="251"/>
        <v>0.78833584094476628</v>
      </c>
      <c r="CB167" s="5">
        <f t="shared" si="252"/>
        <v>2.8499999999999996</v>
      </c>
      <c r="CC167" s="177">
        <f t="shared" si="253"/>
        <v>0.7833251586967136</v>
      </c>
      <c r="CD167" s="5">
        <f t="shared" si="254"/>
        <v>78.332515869671354</v>
      </c>
      <c r="CG167" s="571">
        <f t="shared" si="300"/>
        <v>-50</v>
      </c>
      <c r="CH167">
        <f t="shared" si="301"/>
        <v>-50</v>
      </c>
    </row>
    <row r="168" spans="5:86" x14ac:dyDescent="0.2">
      <c r="E168" s="174">
        <v>58</v>
      </c>
      <c r="F168" s="221">
        <f t="shared" si="302"/>
        <v>0.57999999999999996</v>
      </c>
      <c r="G168" s="221"/>
      <c r="H168" s="221">
        <f t="shared" si="266"/>
        <v>2.9</v>
      </c>
      <c r="I168" s="551">
        <f t="shared" si="267"/>
        <v>23</v>
      </c>
      <c r="J168" s="451">
        <f t="shared" si="268"/>
        <v>10.64</v>
      </c>
      <c r="K168" s="451">
        <f t="shared" si="269"/>
        <v>33.64</v>
      </c>
      <c r="L168" s="451"/>
      <c r="M168" s="221">
        <f t="shared" si="270"/>
        <v>0.31629013079667062</v>
      </c>
      <c r="N168" s="176">
        <f t="shared" si="271"/>
        <v>13.744455410225921</v>
      </c>
      <c r="O168" s="176">
        <f t="shared" si="262"/>
        <v>2.9</v>
      </c>
      <c r="P168" s="221">
        <f t="shared" si="272"/>
        <v>2.7488910820451844</v>
      </c>
      <c r="Q168" s="221">
        <f t="shared" si="273"/>
        <v>5</v>
      </c>
      <c r="R168" s="221"/>
      <c r="S168" s="176">
        <f t="shared" si="274"/>
        <v>61.72310670322662</v>
      </c>
      <c r="T168" s="176">
        <f t="shared" si="275"/>
        <v>5</v>
      </c>
      <c r="U168" s="221">
        <f t="shared" si="276"/>
        <v>0.88587410555373947</v>
      </c>
      <c r="V168" s="221">
        <f t="shared" si="277"/>
        <v>0.26961385821200762</v>
      </c>
      <c r="W168" s="221">
        <f t="shared" si="278"/>
        <v>0.58281191154851275</v>
      </c>
      <c r="X168" s="201">
        <f t="shared" si="279"/>
        <v>350</v>
      </c>
      <c r="Y168" s="451">
        <f t="shared" si="215"/>
        <v>350</v>
      </c>
      <c r="AA168" s="221">
        <f t="shared" si="280"/>
        <v>2.9692542891116021</v>
      </c>
      <c r="AB168" s="177">
        <f t="shared" si="281"/>
        <v>1.9534567691523697</v>
      </c>
      <c r="AC168" s="177">
        <f t="shared" si="282"/>
        <v>2.0301084616399181</v>
      </c>
      <c r="AD168" s="177"/>
      <c r="AE168" s="177">
        <f t="shared" si="283"/>
        <v>0.53947368421052622</v>
      </c>
      <c r="AF168" s="555">
        <f t="shared" si="284"/>
        <v>1311.124330755503</v>
      </c>
      <c r="AG168" s="538">
        <f t="shared" si="285"/>
        <v>0.15482894736842101</v>
      </c>
      <c r="AI168" s="177">
        <f t="shared" si="286"/>
        <v>1.5870907796522362</v>
      </c>
      <c r="AJ168" s="177">
        <f t="shared" si="287"/>
        <v>1.5870907796522362</v>
      </c>
      <c r="AK168" s="177">
        <f t="shared" si="288"/>
        <v>1.7113938531014909</v>
      </c>
      <c r="AM168" s="555">
        <f t="shared" si="289"/>
        <v>580</v>
      </c>
      <c r="AN168" s="469">
        <f t="shared" si="290"/>
        <v>350</v>
      </c>
      <c r="AP168">
        <f t="shared" si="291"/>
        <v>580</v>
      </c>
      <c r="AQ168">
        <f t="shared" si="292"/>
        <v>350</v>
      </c>
      <c r="AS168" s="5">
        <f t="shared" si="263"/>
        <v>2.8571428571428572</v>
      </c>
      <c r="AT168" s="5">
        <f t="shared" si="293"/>
        <v>0.48302762858981096</v>
      </c>
      <c r="AU168" s="5">
        <f t="shared" si="230"/>
        <v>2.3741152285530465</v>
      </c>
      <c r="AV168" s="5"/>
      <c r="AW168" s="177">
        <f t="shared" si="231"/>
        <v>0.16905967000643382</v>
      </c>
      <c r="AX168" s="177">
        <f t="shared" si="259"/>
        <v>3.0856000000000003</v>
      </c>
      <c r="AY168" s="177">
        <f t="shared" si="260"/>
        <v>1.3187777361739754</v>
      </c>
      <c r="AZ168" s="177">
        <f t="shared" si="264"/>
        <v>2.3397422593377346</v>
      </c>
      <c r="BA168" s="469">
        <f t="shared" si="294"/>
        <v>101.93868054563885</v>
      </c>
      <c r="BB168" s="469">
        <f t="shared" si="295"/>
        <v>3.9219941816257076</v>
      </c>
      <c r="BC168" s="5">
        <f t="shared" si="258"/>
        <v>0.27717126259274688</v>
      </c>
      <c r="BD168" s="469">
        <f t="shared" si="296"/>
        <v>33.680841366202095</v>
      </c>
      <c r="BF168" s="177">
        <f t="shared" si="265"/>
        <v>0.37675684349669408</v>
      </c>
      <c r="BG168" s="177">
        <f t="shared" si="261"/>
        <v>1.6705368340715572</v>
      </c>
      <c r="BI168" s="538">
        <f t="shared" si="236"/>
        <v>1.5614029103375168E-2</v>
      </c>
      <c r="BJ168" s="538">
        <f t="shared" si="237"/>
        <v>9.3432034198127151E-2</v>
      </c>
      <c r="BK168" s="538">
        <f t="shared" si="238"/>
        <v>1.7499999999999998E-2</v>
      </c>
      <c r="BL168" s="538">
        <f t="shared" si="239"/>
        <v>8.9117405999999996E-2</v>
      </c>
      <c r="BM168">
        <f t="shared" si="240"/>
        <v>6.6699999999999997E-3</v>
      </c>
      <c r="BN168">
        <f t="shared" si="297"/>
        <v>6.3E-5</v>
      </c>
      <c r="BO168" s="538">
        <f t="shared" si="298"/>
        <v>0.22515298132042047</v>
      </c>
      <c r="BP168" s="469">
        <f t="shared" si="243"/>
        <v>222.33346930150233</v>
      </c>
      <c r="BQ168" s="538">
        <f t="shared" si="299"/>
        <v>0.43476896918882235</v>
      </c>
      <c r="BT168" s="469">
        <f t="shared" si="245"/>
        <v>434.76896918882233</v>
      </c>
      <c r="BU168" s="538">
        <f t="shared" si="246"/>
        <v>1.4194571912159244E-2</v>
      </c>
      <c r="BV168" s="538">
        <f t="shared" si="247"/>
        <v>8.3720799419694639E-2</v>
      </c>
      <c r="BW168" s="538">
        <f t="shared" si="248"/>
        <v>0</v>
      </c>
      <c r="BX168" s="538"/>
      <c r="BY168" s="538">
        <f t="shared" si="249"/>
        <v>4.4080000000000015E-2</v>
      </c>
      <c r="BZ168" s="469">
        <f t="shared" si="250"/>
        <v>141.99537133185387</v>
      </c>
      <c r="CA168" s="177">
        <f t="shared" si="251"/>
        <v>0.7990978098221786</v>
      </c>
      <c r="CB168" s="5">
        <f t="shared" si="252"/>
        <v>2.9</v>
      </c>
      <c r="CC168" s="177">
        <f t="shared" si="253"/>
        <v>0.78397494445798599</v>
      </c>
      <c r="CD168" s="5">
        <f t="shared" si="254"/>
        <v>78.3974944457986</v>
      </c>
      <c r="CG168" s="571">
        <f t="shared" si="300"/>
        <v>-50</v>
      </c>
      <c r="CH168">
        <f t="shared" si="301"/>
        <v>-50</v>
      </c>
    </row>
    <row r="169" spans="5:86" x14ac:dyDescent="0.2">
      <c r="E169" s="174">
        <v>59</v>
      </c>
      <c r="F169" s="221">
        <f t="shared" si="302"/>
        <v>0.59</v>
      </c>
      <c r="G169" s="221"/>
      <c r="H169" s="221">
        <f t="shared" si="266"/>
        <v>2.9499999999999997</v>
      </c>
      <c r="I169" s="551">
        <f t="shared" si="267"/>
        <v>23</v>
      </c>
      <c r="J169" s="451">
        <f t="shared" si="268"/>
        <v>10.64</v>
      </c>
      <c r="K169" s="451">
        <f t="shared" si="269"/>
        <v>33.64</v>
      </c>
      <c r="L169" s="451"/>
      <c r="M169" s="221">
        <f t="shared" si="270"/>
        <v>0.31629013079667062</v>
      </c>
      <c r="N169" s="176">
        <f t="shared" si="271"/>
        <v>13.744455410225921</v>
      </c>
      <c r="O169" s="176">
        <f t="shared" si="262"/>
        <v>2.9499999999999997</v>
      </c>
      <c r="P169" s="221">
        <f t="shared" si="272"/>
        <v>2.7488910820451844</v>
      </c>
      <c r="Q169" s="221">
        <f t="shared" si="273"/>
        <v>5</v>
      </c>
      <c r="R169" s="221"/>
      <c r="S169" s="176">
        <f t="shared" si="274"/>
        <v>60.484250897881687</v>
      </c>
      <c r="T169" s="176">
        <f t="shared" si="275"/>
        <v>5</v>
      </c>
      <c r="U169" s="221">
        <f t="shared" si="276"/>
        <v>0.90114779702880388</v>
      </c>
      <c r="V169" s="221">
        <f t="shared" si="277"/>
        <v>0.27426237300876638</v>
      </c>
      <c r="W169" s="221">
        <f t="shared" si="278"/>
        <v>0.59286039278210778</v>
      </c>
      <c r="X169" s="201">
        <f t="shared" si="279"/>
        <v>350</v>
      </c>
      <c r="Y169" s="451">
        <f t="shared" si="215"/>
        <v>350</v>
      </c>
      <c r="AA169" s="221">
        <f t="shared" si="280"/>
        <v>2.9692542891116021</v>
      </c>
      <c r="AB169" s="177">
        <f t="shared" si="281"/>
        <v>1.9534567691523697</v>
      </c>
      <c r="AC169" s="177">
        <f t="shared" si="282"/>
        <v>2.0301084616399181</v>
      </c>
      <c r="AD169" s="177"/>
      <c r="AE169" s="177">
        <f t="shared" si="283"/>
        <v>0.53947368421052622</v>
      </c>
      <c r="AF169" s="555">
        <f t="shared" si="284"/>
        <v>1333.7299226650805</v>
      </c>
      <c r="AG169" s="538">
        <f t="shared" si="285"/>
        <v>0.15482894736842101</v>
      </c>
      <c r="AI169" s="177">
        <f t="shared" si="286"/>
        <v>1.6007141263466487</v>
      </c>
      <c r="AJ169" s="177">
        <f t="shared" si="287"/>
        <v>1.6007141263466487</v>
      </c>
      <c r="AK169" s="177">
        <f t="shared" si="288"/>
        <v>1.7204760842310991</v>
      </c>
      <c r="AM169" s="555">
        <f t="shared" si="289"/>
        <v>590</v>
      </c>
      <c r="AN169" s="469">
        <f t="shared" si="290"/>
        <v>350</v>
      </c>
      <c r="AP169">
        <f t="shared" si="291"/>
        <v>590</v>
      </c>
      <c r="AQ169">
        <f t="shared" si="292"/>
        <v>350</v>
      </c>
      <c r="AS169" s="5">
        <f t="shared" si="263"/>
        <v>2.8571428571428572</v>
      </c>
      <c r="AT169" s="5">
        <f t="shared" si="293"/>
        <v>0.48717386454028444</v>
      </c>
      <c r="AU169" s="5">
        <f t="shared" si="230"/>
        <v>2.3699689926025727</v>
      </c>
      <c r="AV169" s="5"/>
      <c r="AW169" s="177">
        <f t="shared" si="231"/>
        <v>0.17051085258909954</v>
      </c>
      <c r="AX169" s="177">
        <f t="shared" si="259"/>
        <v>3.1388000000000007</v>
      </c>
      <c r="AY169" s="177">
        <f t="shared" si="260"/>
        <v>1.3277749959118661</v>
      </c>
      <c r="AZ169" s="177">
        <f t="shared" si="264"/>
        <v>2.3639547435854449</v>
      </c>
      <c r="BA169" s="469">
        <f t="shared" si="294"/>
        <v>101.93868054563885</v>
      </c>
      <c r="BB169" s="469">
        <f t="shared" si="295"/>
        <v>4.0278839911531179</v>
      </c>
      <c r="BC169" s="5">
        <f t="shared" si="258"/>
        <v>0.28145767021648899</v>
      </c>
      <c r="BD169" s="469">
        <f t="shared" si="296"/>
        <v>34.20245665786274</v>
      </c>
      <c r="BF169" s="177">
        <f t="shared" si="265"/>
        <v>0.38161827424785233</v>
      </c>
      <c r="BG169" s="177">
        <f t="shared" si="261"/>
        <v>1.6834045632055643</v>
      </c>
      <c r="BI169" s="538">
        <f t="shared" si="236"/>
        <v>1.6019575796389993E-2</v>
      </c>
      <c r="BJ169" s="538">
        <f t="shared" si="237"/>
        <v>9.4234040618027204E-2</v>
      </c>
      <c r="BK169" s="538">
        <f t="shared" si="238"/>
        <v>1.7499999999999998E-2</v>
      </c>
      <c r="BL169" s="538">
        <f t="shared" si="239"/>
        <v>8.9117405999999996E-2</v>
      </c>
      <c r="BM169">
        <f t="shared" si="240"/>
        <v>6.6699999999999997E-3</v>
      </c>
      <c r="BN169">
        <f t="shared" si="297"/>
        <v>6.3E-5</v>
      </c>
      <c r="BO169" s="538">
        <f t="shared" si="298"/>
        <v>0.22643592181454228</v>
      </c>
      <c r="BP169" s="469">
        <f t="shared" si="243"/>
        <v>223.5410224144172</v>
      </c>
      <c r="BQ169" s="538">
        <f t="shared" si="299"/>
        <v>0.44188621054938865</v>
      </c>
      <c r="BT169" s="469">
        <f t="shared" si="245"/>
        <v>441.88621054938864</v>
      </c>
      <c r="BU169" s="538">
        <f t="shared" si="246"/>
        <v>1.4563250723990903E-2</v>
      </c>
      <c r="BV169" s="538">
        <f t="shared" si="247"/>
        <v>8.5015527702639496E-2</v>
      </c>
      <c r="BW169" s="538">
        <f t="shared" si="248"/>
        <v>0</v>
      </c>
      <c r="BX169" s="538"/>
      <c r="BY169" s="538">
        <f t="shared" si="249"/>
        <v>4.4840000000000012E-2</v>
      </c>
      <c r="BZ169" s="469">
        <f t="shared" si="250"/>
        <v>144.41877842663041</v>
      </c>
      <c r="CA169" s="177">
        <f t="shared" si="251"/>
        <v>0.80984601139043622</v>
      </c>
      <c r="CB169" s="5">
        <f t="shared" si="252"/>
        <v>2.9499999999999997</v>
      </c>
      <c r="CC169" s="177">
        <f t="shared" si="253"/>
        <v>0.7846066011913756</v>
      </c>
      <c r="CD169" s="5">
        <f t="shared" si="254"/>
        <v>78.460660119137557</v>
      </c>
      <c r="CG169" s="571">
        <f t="shared" si="300"/>
        <v>-50</v>
      </c>
      <c r="CH169">
        <f t="shared" si="301"/>
        <v>-50</v>
      </c>
    </row>
    <row r="170" spans="5:86" x14ac:dyDescent="0.2">
      <c r="E170" s="174">
        <v>60</v>
      </c>
      <c r="F170" s="221">
        <f t="shared" si="302"/>
        <v>0.6</v>
      </c>
      <c r="G170" s="221"/>
      <c r="H170" s="221">
        <f t="shared" si="266"/>
        <v>3</v>
      </c>
      <c r="I170" s="551">
        <f t="shared" si="267"/>
        <v>23</v>
      </c>
      <c r="J170" s="451">
        <f t="shared" si="268"/>
        <v>10.64</v>
      </c>
      <c r="K170" s="451">
        <f t="shared" si="269"/>
        <v>33.64</v>
      </c>
      <c r="L170" s="451"/>
      <c r="M170" s="221">
        <f t="shared" si="270"/>
        <v>0.31629013079667062</v>
      </c>
      <c r="N170" s="176">
        <f t="shared" si="271"/>
        <v>13.744455410225921</v>
      </c>
      <c r="O170" s="176">
        <f t="shared" si="262"/>
        <v>3</v>
      </c>
      <c r="P170" s="221">
        <f t="shared" si="272"/>
        <v>2.7488910820451844</v>
      </c>
      <c r="Q170" s="221">
        <f t="shared" si="273"/>
        <v>5</v>
      </c>
      <c r="R170" s="221"/>
      <c r="S170" s="176">
        <f t="shared" si="274"/>
        <v>59.286737986749387</v>
      </c>
      <c r="T170" s="176">
        <f t="shared" si="275"/>
        <v>5</v>
      </c>
      <c r="U170" s="221">
        <f t="shared" si="276"/>
        <v>0.9164214885038684</v>
      </c>
      <c r="V170" s="221">
        <f t="shared" si="277"/>
        <v>0.27891088780552514</v>
      </c>
      <c r="W170" s="221">
        <f t="shared" si="278"/>
        <v>0.60290887401570281</v>
      </c>
      <c r="X170" s="201">
        <f t="shared" si="279"/>
        <v>350</v>
      </c>
      <c r="Y170" s="451">
        <f t="shared" ref="Y170:Y210" si="303">MIN(1/(V170+W170)*1000, 350)</f>
        <v>350</v>
      </c>
      <c r="AA170" s="221">
        <f t="shared" si="280"/>
        <v>2.9692542891116021</v>
      </c>
      <c r="AB170" s="177">
        <f t="shared" si="281"/>
        <v>1.9534567691523697</v>
      </c>
      <c r="AC170" s="177">
        <f t="shared" si="282"/>
        <v>2.0301084616399181</v>
      </c>
      <c r="AD170" s="177"/>
      <c r="AE170" s="177">
        <f t="shared" si="283"/>
        <v>0.53947368421052622</v>
      </c>
      <c r="AF170" s="555">
        <f t="shared" si="284"/>
        <v>1356.3355145746582</v>
      </c>
      <c r="AG170" s="538">
        <f t="shared" si="285"/>
        <v>0.15482894736842101</v>
      </c>
      <c r="AI170" s="177">
        <f t="shared" si="286"/>
        <v>1.6142225019229182</v>
      </c>
      <c r="AJ170" s="177">
        <f t="shared" si="287"/>
        <v>1.6142225019229182</v>
      </c>
      <c r="AK170" s="177">
        <f t="shared" si="288"/>
        <v>1.7294816679486122</v>
      </c>
      <c r="AM170" s="555">
        <f t="shared" si="289"/>
        <v>600</v>
      </c>
      <c r="AN170" s="469">
        <f t="shared" si="290"/>
        <v>350</v>
      </c>
      <c r="AP170">
        <f t="shared" si="291"/>
        <v>600</v>
      </c>
      <c r="AQ170">
        <f t="shared" si="292"/>
        <v>350</v>
      </c>
      <c r="AS170" s="5">
        <f t="shared" si="263"/>
        <v>2.8571428571428572</v>
      </c>
      <c r="AT170" s="5">
        <f t="shared" si="293"/>
        <v>0.49128510928088814</v>
      </c>
      <c r="AU170" s="5">
        <f t="shared" ref="AU170:AU233" si="304">AS170-AT170</f>
        <v>2.3658577478619689</v>
      </c>
      <c r="AV170" s="5"/>
      <c r="AW170" s="177">
        <f t="shared" ref="AW170:AW233" si="305">AT170/AS170</f>
        <v>0.17194978824831084</v>
      </c>
      <c r="AX170" s="177">
        <f t="shared" si="259"/>
        <v>3.1919999999999997</v>
      </c>
      <c r="AY170" s="177">
        <f t="shared" si="260"/>
        <v>1.3366572845316138</v>
      </c>
      <c r="AZ170" s="177">
        <f t="shared" si="264"/>
        <v>2.3880466870148602</v>
      </c>
      <c r="BA170" s="469">
        <f t="shared" si="294"/>
        <v>101.93868054563885</v>
      </c>
      <c r="BB170" s="469">
        <f t="shared" si="295"/>
        <v>4.1350710623818516</v>
      </c>
      <c r="BC170" s="5">
        <f t="shared" si="258"/>
        <v>0.2857316120606242</v>
      </c>
      <c r="BD170" s="469">
        <f t="shared" si="296"/>
        <v>34.722576055970556</v>
      </c>
      <c r="BF170" s="177">
        <f t="shared" si="265"/>
        <v>0.38645914819213423</v>
      </c>
      <c r="BG170" s="177">
        <f t="shared" si="261"/>
        <v>1.6961376776076151</v>
      </c>
      <c r="BI170" s="538">
        <f t="shared" ref="BI170:BI210" si="306">Rdson*BF170^2</f>
        <v>1.6428574054352895E-2</v>
      </c>
      <c r="BJ170" s="538">
        <f t="shared" ref="BJ170:BJ210" si="307">0.5*K170*AJ170*AN170*1000*Trise</f>
        <v>9.5029278688202198E-2</v>
      </c>
      <c r="BK170" s="538">
        <f t="shared" ref="BK170:BK210" si="308">Qg*Vdd*AN170*1000</f>
        <v>1.7499999999999998E-2</v>
      </c>
      <c r="BL170" s="538">
        <f t="shared" ref="BL170:BL210" si="309">0.5*(Coss+Csw)*K170^2*AN170*1000</f>
        <v>8.9117405999999996E-2</v>
      </c>
      <c r="BM170">
        <f t="shared" ref="BM170:BM210" si="310">I170*IQ</f>
        <v>6.6699999999999997E-3</v>
      </c>
      <c r="BN170">
        <f t="shared" si="297"/>
        <v>6.3E-5</v>
      </c>
      <c r="BO170" s="538">
        <f t="shared" si="298"/>
        <v>0.22771634084476483</v>
      </c>
      <c r="BP170" s="469">
        <f t="shared" ref="BP170:BP210" si="311">SUM(BI170:BM170)*1000</f>
        <v>224.74525874255508</v>
      </c>
      <c r="BQ170" s="538">
        <f t="shared" si="299"/>
        <v>0.44899386283497178</v>
      </c>
      <c r="BT170" s="469">
        <f t="shared" ref="BT170:BT210" si="312">SUM(BQ170:BS170)*1000</f>
        <v>448.99386283497176</v>
      </c>
      <c r="BU170" s="538">
        <f t="shared" ref="BU170:BU210" si="313">Rdcr_pri*BF170^2</f>
        <v>1.4935067322138996E-2</v>
      </c>
      <c r="BV170" s="538">
        <f t="shared" ref="BV170:BV210" si="314">Rdcr_sec*BG170^2</f>
        <v>8.630649064200463E-2</v>
      </c>
      <c r="BW170" s="538">
        <f t="shared" ref="BW170:BW210" si="315">AJ170^2.5*AN170^2.5*k_core</f>
        <v>0</v>
      </c>
      <c r="BX170" s="538"/>
      <c r="BY170" s="538">
        <f t="shared" ref="BY170:BY210" si="316">0.5*Lleak*0.000000001*AJ170^2*AN170*1000</f>
        <v>4.5599999999999995E-2</v>
      </c>
      <c r="BZ170" s="469">
        <f t="shared" ref="BZ170:BZ210" si="317">SUM(BU170:BY170)*1000</f>
        <v>146.84155796414362</v>
      </c>
      <c r="CA170" s="177">
        <f t="shared" ref="CA170:CA210" si="318">SUM(BI170:BM170,BQ170:BS170,BU170:BY170)</f>
        <v>0.82058067954167047</v>
      </c>
      <c r="CB170" s="5">
        <f t="shared" ref="CB170:CB212" si="319">MIN(H170,O170)</f>
        <v>3</v>
      </c>
      <c r="CC170" s="177">
        <f t="shared" ref="CC170:CC210" si="320">CB170/(CB170+CA170)</f>
        <v>0.78522095242336043</v>
      </c>
      <c r="CD170" s="5">
        <f t="shared" ref="CD170:CD210" si="321">CC170*100</f>
        <v>78.522095242336036</v>
      </c>
      <c r="CG170" s="571">
        <f t="shared" si="300"/>
        <v>-50</v>
      </c>
      <c r="CH170">
        <f t="shared" si="301"/>
        <v>-50</v>
      </c>
    </row>
    <row r="171" spans="5:86" x14ac:dyDescent="0.2">
      <c r="E171" s="174">
        <v>61</v>
      </c>
      <c r="F171" s="221">
        <f t="shared" si="302"/>
        <v>0.61</v>
      </c>
      <c r="G171" s="221"/>
      <c r="H171" s="221">
        <f t="shared" si="266"/>
        <v>3.05</v>
      </c>
      <c r="I171" s="551">
        <f t="shared" si="267"/>
        <v>23</v>
      </c>
      <c r="J171" s="451">
        <f t="shared" si="268"/>
        <v>10.64</v>
      </c>
      <c r="K171" s="451">
        <f t="shared" si="269"/>
        <v>33.64</v>
      </c>
      <c r="L171" s="451"/>
      <c r="M171" s="221">
        <f t="shared" si="270"/>
        <v>0.31629013079667062</v>
      </c>
      <c r="N171" s="176">
        <f t="shared" si="271"/>
        <v>13.744455410225921</v>
      </c>
      <c r="O171" s="176">
        <f t="shared" si="262"/>
        <v>3.05</v>
      </c>
      <c r="P171" s="221">
        <f t="shared" si="272"/>
        <v>2.7488910820451844</v>
      </c>
      <c r="Q171" s="221">
        <f t="shared" si="273"/>
        <v>5</v>
      </c>
      <c r="R171" s="221"/>
      <c r="S171" s="176">
        <f t="shared" si="274"/>
        <v>58.128535143107726</v>
      </c>
      <c r="T171" s="176">
        <f t="shared" si="275"/>
        <v>5</v>
      </c>
      <c r="U171" s="221">
        <f t="shared" si="276"/>
        <v>0.93169517997893281</v>
      </c>
      <c r="V171" s="221">
        <f t="shared" si="277"/>
        <v>0.28355940260228385</v>
      </c>
      <c r="W171" s="221">
        <f t="shared" si="278"/>
        <v>0.61295735524929773</v>
      </c>
      <c r="X171" s="201">
        <f t="shared" si="279"/>
        <v>350</v>
      </c>
      <c r="Y171" s="451">
        <f t="shared" si="303"/>
        <v>350</v>
      </c>
      <c r="AA171" s="221">
        <f t="shared" si="280"/>
        <v>2.9692542891116021</v>
      </c>
      <c r="AB171" s="177">
        <f t="shared" si="281"/>
        <v>1.9534567691523697</v>
      </c>
      <c r="AC171" s="177">
        <f t="shared" si="282"/>
        <v>2.0301084616399181</v>
      </c>
      <c r="AD171" s="177"/>
      <c r="AE171" s="177">
        <f t="shared" si="283"/>
        <v>0.53947368421052622</v>
      </c>
      <c r="AF171" s="555">
        <f t="shared" si="284"/>
        <v>1378.9411064842357</v>
      </c>
      <c r="AG171" s="538">
        <f t="shared" si="285"/>
        <v>0.15482894736842101</v>
      </c>
      <c r="AI171" s="177">
        <f t="shared" si="286"/>
        <v>1.6276187689821155</v>
      </c>
      <c r="AJ171" s="177">
        <f t="shared" si="287"/>
        <v>1.6276187689821155</v>
      </c>
      <c r="AK171" s="177">
        <f t="shared" si="288"/>
        <v>1.7384125126547438</v>
      </c>
      <c r="AM171" s="555">
        <f t="shared" si="289"/>
        <v>610</v>
      </c>
      <c r="AN171" s="469">
        <f t="shared" si="290"/>
        <v>350</v>
      </c>
      <c r="AP171">
        <f t="shared" si="291"/>
        <v>610</v>
      </c>
      <c r="AQ171">
        <f t="shared" si="292"/>
        <v>350</v>
      </c>
      <c r="AS171" s="5">
        <f t="shared" si="263"/>
        <v>2.8571428571428572</v>
      </c>
      <c r="AT171" s="5">
        <f t="shared" si="293"/>
        <v>0.49536223403803525</v>
      </c>
      <c r="AU171" s="5">
        <f t="shared" si="304"/>
        <v>2.361780623104822</v>
      </c>
      <c r="AV171" s="5"/>
      <c r="AW171" s="177">
        <f t="shared" si="305"/>
        <v>0.17337678191331232</v>
      </c>
      <c r="AX171" s="177">
        <f t="shared" si="259"/>
        <v>3.2451999999999996</v>
      </c>
      <c r="AY171" s="177">
        <f t="shared" si="260"/>
        <v>1.3454274646342894</v>
      </c>
      <c r="AZ171" s="177">
        <f t="shared" si="264"/>
        <v>2.4120215212658094</v>
      </c>
      <c r="BA171" s="469">
        <f t="shared" si="294"/>
        <v>101.93868054563885</v>
      </c>
      <c r="BB171" s="469">
        <f t="shared" si="295"/>
        <v>4.2435553953119083</v>
      </c>
      <c r="BC171" s="5">
        <f t="shared" si="258"/>
        <v>0.28999319245047123</v>
      </c>
      <c r="BD171" s="469">
        <f t="shared" si="296"/>
        <v>35.241212079563802</v>
      </c>
      <c r="BF171" s="177">
        <f t="shared" si="265"/>
        <v>0.39127989274519176</v>
      </c>
      <c r="BG171" s="177">
        <f t="shared" si="261"/>
        <v>1.7087394939907374</v>
      </c>
      <c r="BI171" s="538">
        <f t="shared" si="306"/>
        <v>1.6840994991335761E-2</v>
      </c>
      <c r="BJ171" s="538">
        <f t="shared" si="307"/>
        <v>9.5817916929977154E-2</v>
      </c>
      <c r="BK171" s="538">
        <f t="shared" si="308"/>
        <v>1.7499999999999998E-2</v>
      </c>
      <c r="BL171" s="538">
        <f t="shared" si="309"/>
        <v>8.9117405999999996E-2</v>
      </c>
      <c r="BM171">
        <f t="shared" si="310"/>
        <v>6.6699999999999997E-3</v>
      </c>
      <c r="BN171">
        <f t="shared" si="297"/>
        <v>6.3E-5</v>
      </c>
      <c r="BO171" s="538">
        <f t="shared" si="298"/>
        <v>0.22899437522693469</v>
      </c>
      <c r="BP171" s="469">
        <f t="shared" si="311"/>
        <v>225.94631792131293</v>
      </c>
      <c r="BQ171" s="538">
        <f t="shared" si="299"/>
        <v>0.45609200629593233</v>
      </c>
      <c r="BT171" s="469">
        <f t="shared" si="312"/>
        <v>456.09200629593232</v>
      </c>
      <c r="BU171" s="538">
        <f t="shared" si="313"/>
        <v>1.5309995446668875E-2</v>
      </c>
      <c r="BV171" s="538">
        <f t="shared" si="314"/>
        <v>8.7593719749711627E-2</v>
      </c>
      <c r="BW171" s="538">
        <f t="shared" si="315"/>
        <v>0</v>
      </c>
      <c r="BX171" s="538"/>
      <c r="BY171" s="538">
        <f t="shared" si="316"/>
        <v>4.6360000000000005E-2</v>
      </c>
      <c r="BZ171" s="469">
        <f t="shared" si="317"/>
        <v>149.2637151963805</v>
      </c>
      <c r="CA171" s="177">
        <f t="shared" si="318"/>
        <v>0.83130203941362568</v>
      </c>
      <c r="CB171" s="5">
        <f t="shared" si="319"/>
        <v>3.05</v>
      </c>
      <c r="CC171" s="177">
        <f t="shared" si="320"/>
        <v>0.78581877138857859</v>
      </c>
      <c r="CD171" s="5">
        <f t="shared" si="321"/>
        <v>78.581877138857863</v>
      </c>
      <c r="CG171" s="571">
        <f t="shared" si="300"/>
        <v>-50</v>
      </c>
      <c r="CH171">
        <f t="shared" si="301"/>
        <v>-50</v>
      </c>
    </row>
    <row r="172" spans="5:86" x14ac:dyDescent="0.2">
      <c r="E172" s="174">
        <v>62</v>
      </c>
      <c r="F172" s="221">
        <f t="shared" si="302"/>
        <v>0.62</v>
      </c>
      <c r="G172" s="221"/>
      <c r="H172" s="221">
        <f t="shared" si="266"/>
        <v>3.1</v>
      </c>
      <c r="I172" s="551">
        <f t="shared" si="267"/>
        <v>23</v>
      </c>
      <c r="J172" s="451">
        <f t="shared" si="268"/>
        <v>10.64</v>
      </c>
      <c r="K172" s="451">
        <f t="shared" si="269"/>
        <v>33.64</v>
      </c>
      <c r="L172" s="451"/>
      <c r="M172" s="221">
        <f t="shared" si="270"/>
        <v>0.31629013079667062</v>
      </c>
      <c r="N172" s="176">
        <f t="shared" si="271"/>
        <v>13.744455410225921</v>
      </c>
      <c r="O172" s="176">
        <f t="shared" si="262"/>
        <v>3.1</v>
      </c>
      <c r="P172" s="221">
        <f t="shared" si="272"/>
        <v>2.7488910820451844</v>
      </c>
      <c r="Q172" s="221">
        <f t="shared" si="273"/>
        <v>5</v>
      </c>
      <c r="R172" s="221"/>
      <c r="S172" s="176">
        <f t="shared" si="274"/>
        <v>57.007740695312066</v>
      </c>
      <c r="T172" s="176">
        <f t="shared" si="275"/>
        <v>5</v>
      </c>
      <c r="U172" s="221">
        <f t="shared" si="276"/>
        <v>0.94696887145399744</v>
      </c>
      <c r="V172" s="221">
        <f t="shared" si="277"/>
        <v>0.28820791739904272</v>
      </c>
      <c r="W172" s="221">
        <f t="shared" si="278"/>
        <v>0.62300583648289298</v>
      </c>
      <c r="X172" s="201">
        <f t="shared" si="279"/>
        <v>350</v>
      </c>
      <c r="Y172" s="451">
        <f t="shared" si="303"/>
        <v>350</v>
      </c>
      <c r="AA172" s="221">
        <f t="shared" si="280"/>
        <v>2.9692542891116021</v>
      </c>
      <c r="AB172" s="177">
        <f t="shared" si="281"/>
        <v>1.9534567691523697</v>
      </c>
      <c r="AC172" s="177">
        <f t="shared" si="282"/>
        <v>2.0301084616399181</v>
      </c>
      <c r="AD172" s="177"/>
      <c r="AE172" s="177">
        <f t="shared" si="283"/>
        <v>0.53947368421052622</v>
      </c>
      <c r="AF172" s="555">
        <f t="shared" si="284"/>
        <v>1401.5466983938134</v>
      </c>
      <c r="AG172" s="538">
        <f t="shared" si="285"/>
        <v>0.15482894736842101</v>
      </c>
      <c r="AI172" s="177">
        <f t="shared" si="286"/>
        <v>1.6409056732705354</v>
      </c>
      <c r="AJ172" s="177">
        <f t="shared" si="287"/>
        <v>1.6409056732705354</v>
      </c>
      <c r="AK172" s="177">
        <f t="shared" si="288"/>
        <v>1.7472704488470234</v>
      </c>
      <c r="AM172" s="555">
        <f t="shared" si="289"/>
        <v>620</v>
      </c>
      <c r="AN172" s="469">
        <f t="shared" si="290"/>
        <v>350</v>
      </c>
      <c r="AP172">
        <f t="shared" si="291"/>
        <v>620</v>
      </c>
      <c r="AQ172">
        <f t="shared" si="292"/>
        <v>350</v>
      </c>
      <c r="AS172" s="5">
        <f t="shared" si="263"/>
        <v>2.8571428571428572</v>
      </c>
      <c r="AT172" s="5">
        <f t="shared" si="293"/>
        <v>0.49940607447364116</v>
      </c>
      <c r="AU172" s="5">
        <f t="shared" si="304"/>
        <v>2.3577367826692162</v>
      </c>
      <c r="AV172" s="5"/>
      <c r="AW172" s="177">
        <f t="shared" si="305"/>
        <v>0.17479212606577441</v>
      </c>
      <c r="AX172" s="177">
        <f t="shared" si="259"/>
        <v>3.2984000000000004</v>
      </c>
      <c r="AY172" s="177">
        <f t="shared" si="260"/>
        <v>1.3540882819661875</v>
      </c>
      <c r="AZ172" s="177">
        <f t="shared" si="264"/>
        <v>2.4358825372970503</v>
      </c>
      <c r="BA172" s="469">
        <f t="shared" si="294"/>
        <v>101.93868054563885</v>
      </c>
      <c r="BB172" s="469">
        <f t="shared" si="295"/>
        <v>4.3533369899432888</v>
      </c>
      <c r="BC172" s="5">
        <f t="shared" si="258"/>
        <v>0.29424251313504707</v>
      </c>
      <c r="BD172" s="469">
        <f t="shared" si="296"/>
        <v>35.758376938524499</v>
      </c>
      <c r="BF172" s="177">
        <f t="shared" si="265"/>
        <v>0.39608091958755071</v>
      </c>
      <c r="BG172" s="177">
        <f t="shared" si="261"/>
        <v>1.7212131938403095</v>
      </c>
      <c r="BI172" s="538">
        <f t="shared" si="306"/>
        <v>1.7256810434745182E-2</v>
      </c>
      <c r="BJ172" s="538">
        <f t="shared" si="307"/>
        <v>9.6600116985436413E-2</v>
      </c>
      <c r="BK172" s="538">
        <f t="shared" si="308"/>
        <v>1.7499999999999998E-2</v>
      </c>
      <c r="BL172" s="538">
        <f t="shared" si="309"/>
        <v>8.9117405999999996E-2</v>
      </c>
      <c r="BM172">
        <f t="shared" si="310"/>
        <v>6.6699999999999997E-3</v>
      </c>
      <c r="BN172">
        <f t="shared" si="297"/>
        <v>6.3E-5</v>
      </c>
      <c r="BO172" s="538">
        <f t="shared" si="298"/>
        <v>0.23027015572348758</v>
      </c>
      <c r="BP172" s="469">
        <f t="shared" si="311"/>
        <v>227.1443334201816</v>
      </c>
      <c r="BQ172" s="538">
        <f t="shared" si="299"/>
        <v>0.46318071920085685</v>
      </c>
      <c r="BT172" s="469">
        <f t="shared" si="312"/>
        <v>463.18071920085686</v>
      </c>
      <c r="BU172" s="538">
        <f t="shared" si="313"/>
        <v>1.5688009486131981E-2</v>
      </c>
      <c r="BV172" s="538">
        <f t="shared" si="314"/>
        <v>8.8877245759498763E-2</v>
      </c>
      <c r="BW172" s="538">
        <f t="shared" si="315"/>
        <v>0</v>
      </c>
      <c r="BX172" s="538"/>
      <c r="BY172" s="538">
        <f t="shared" si="316"/>
        <v>4.7120000000000016E-2</v>
      </c>
      <c r="BZ172" s="469">
        <f t="shared" si="317"/>
        <v>151.68525524563077</v>
      </c>
      <c r="CA172" s="177">
        <f t="shared" si="318"/>
        <v>0.84201030786666931</v>
      </c>
      <c r="CB172" s="5">
        <f t="shared" si="319"/>
        <v>3.1</v>
      </c>
      <c r="CC172" s="177">
        <f t="shared" si="320"/>
        <v>0.78640078485174059</v>
      </c>
      <c r="CD172" s="5">
        <f t="shared" si="321"/>
        <v>78.640078485174058</v>
      </c>
      <c r="CG172" s="571">
        <f t="shared" si="300"/>
        <v>-50</v>
      </c>
      <c r="CH172">
        <f t="shared" si="301"/>
        <v>-50</v>
      </c>
    </row>
    <row r="173" spans="5:86" x14ac:dyDescent="0.2">
      <c r="E173" s="174">
        <v>63</v>
      </c>
      <c r="F173" s="221">
        <f t="shared" si="302"/>
        <v>0.63</v>
      </c>
      <c r="G173" s="221"/>
      <c r="H173" s="221">
        <f t="shared" si="266"/>
        <v>3.15</v>
      </c>
      <c r="I173" s="551">
        <f t="shared" si="267"/>
        <v>23</v>
      </c>
      <c r="J173" s="451">
        <f t="shared" si="268"/>
        <v>10.64</v>
      </c>
      <c r="K173" s="451">
        <f t="shared" si="269"/>
        <v>33.64</v>
      </c>
      <c r="L173" s="451"/>
      <c r="M173" s="221">
        <f t="shared" si="270"/>
        <v>0.31629013079667062</v>
      </c>
      <c r="N173" s="176">
        <f t="shared" si="271"/>
        <v>13.744455410225921</v>
      </c>
      <c r="O173" s="176">
        <f t="shared" si="262"/>
        <v>3.15</v>
      </c>
      <c r="P173" s="221">
        <f t="shared" si="272"/>
        <v>2.7488910820451844</v>
      </c>
      <c r="Q173" s="221">
        <f t="shared" si="273"/>
        <v>5</v>
      </c>
      <c r="R173" s="221"/>
      <c r="S173" s="176">
        <f t="shared" si="274"/>
        <v>55.922573717730231</v>
      </c>
      <c r="T173" s="176">
        <f t="shared" si="275"/>
        <v>5</v>
      </c>
      <c r="U173" s="221">
        <f t="shared" si="276"/>
        <v>0.96224256292906185</v>
      </c>
      <c r="V173" s="221">
        <f t="shared" si="277"/>
        <v>0.29285643219580143</v>
      </c>
      <c r="W173" s="221">
        <f t="shared" si="278"/>
        <v>0.63305431771648801</v>
      </c>
      <c r="X173" s="201">
        <f t="shared" si="279"/>
        <v>350</v>
      </c>
      <c r="Y173" s="451">
        <f t="shared" si="303"/>
        <v>350</v>
      </c>
      <c r="AA173" s="221">
        <f t="shared" si="280"/>
        <v>2.9692542891116021</v>
      </c>
      <c r="AB173" s="177">
        <f t="shared" si="281"/>
        <v>1.9534567691523697</v>
      </c>
      <c r="AC173" s="177">
        <f t="shared" si="282"/>
        <v>2.0301084616399181</v>
      </c>
      <c r="AD173" s="177"/>
      <c r="AE173" s="177">
        <f t="shared" si="283"/>
        <v>0.53947368421052622</v>
      </c>
      <c r="AF173" s="555">
        <f t="shared" si="284"/>
        <v>1424.1522903033913</v>
      </c>
      <c r="AG173" s="538">
        <f t="shared" si="285"/>
        <v>0.15482894736842101</v>
      </c>
      <c r="AI173" s="177">
        <f t="shared" si="286"/>
        <v>1.6540858502508267</v>
      </c>
      <c r="AJ173" s="177">
        <f t="shared" si="287"/>
        <v>1.6540858502508267</v>
      </c>
      <c r="AK173" s="177">
        <f t="shared" si="288"/>
        <v>1.7560572335005511</v>
      </c>
      <c r="AM173" s="555">
        <f t="shared" si="289"/>
        <v>630</v>
      </c>
      <c r="AN173" s="469">
        <f t="shared" si="290"/>
        <v>350</v>
      </c>
      <c r="AP173">
        <f t="shared" si="291"/>
        <v>630</v>
      </c>
      <c r="AQ173">
        <f t="shared" si="292"/>
        <v>350</v>
      </c>
      <c r="AS173" s="5">
        <f t="shared" si="263"/>
        <v>2.8571428571428572</v>
      </c>
      <c r="AT173" s="5">
        <f t="shared" si="293"/>
        <v>0.50341743268503414</v>
      </c>
      <c r="AU173" s="5">
        <f t="shared" si="304"/>
        <v>2.353725424457823</v>
      </c>
      <c r="AV173" s="5"/>
      <c r="AW173" s="177">
        <f t="shared" si="305"/>
        <v>0.17619610143976194</v>
      </c>
      <c r="AX173" s="177">
        <f t="shared" si="259"/>
        <v>3.3516000000000008</v>
      </c>
      <c r="AY173" s="177">
        <f t="shared" si="260"/>
        <v>1.3626423719899572</v>
      </c>
      <c r="AZ173" s="177">
        <f t="shared" si="264"/>
        <v>2.4596328933360825</v>
      </c>
      <c r="BA173" s="469">
        <f t="shared" si="294"/>
        <v>101.93868054563885</v>
      </c>
      <c r="BB173" s="469">
        <f t="shared" si="295"/>
        <v>4.4644158462759922</v>
      </c>
      <c r="BC173" s="5">
        <f t="shared" si="258"/>
        <v>0.29847967339139059</v>
      </c>
      <c r="BD173" s="469">
        <f t="shared" si="296"/>
        <v>36.274082546097297</v>
      </c>
      <c r="BF173" s="177">
        <f t="shared" si="265"/>
        <v>0.40086262548791313</v>
      </c>
      <c r="BG173" s="177">
        <f t="shared" si="261"/>
        <v>1.7335618310137506</v>
      </c>
      <c r="BI173" s="538">
        <f t="shared" si="306"/>
        <v>1.7675992896436919E-2</v>
      </c>
      <c r="BJ173" s="538">
        <f t="shared" si="307"/>
        <v>9.7376034004266171E-2</v>
      </c>
      <c r="BK173" s="538">
        <f t="shared" si="308"/>
        <v>1.7499999999999998E-2</v>
      </c>
      <c r="BL173" s="538">
        <f t="shared" si="309"/>
        <v>8.9117405999999996E-2</v>
      </c>
      <c r="BM173">
        <f t="shared" si="310"/>
        <v>6.6699999999999997E-3</v>
      </c>
      <c r="BN173">
        <f t="shared" si="297"/>
        <v>6.3E-5</v>
      </c>
      <c r="BO173" s="538">
        <f t="shared" si="298"/>
        <v>0.23154380739690561</v>
      </c>
      <c r="BP173" s="469">
        <f t="shared" si="311"/>
        <v>228.33943290070309</v>
      </c>
      <c r="BQ173" s="538">
        <f t="shared" si="299"/>
        <v>0.47026007791680796</v>
      </c>
      <c r="BT173" s="469">
        <f t="shared" si="312"/>
        <v>470.26007791680797</v>
      </c>
      <c r="BU173" s="538">
        <f t="shared" si="313"/>
        <v>1.6069084451306292E-2</v>
      </c>
      <c r="BV173" s="538">
        <f t="shared" si="314"/>
        <v>9.0157098658432425E-2</v>
      </c>
      <c r="BW173" s="538">
        <f t="shared" si="315"/>
        <v>0</v>
      </c>
      <c r="BX173" s="538"/>
      <c r="BY173" s="538">
        <f t="shared" si="316"/>
        <v>4.7880000000000006E-2</v>
      </c>
      <c r="BZ173" s="469">
        <f t="shared" si="317"/>
        <v>154.10618310973874</v>
      </c>
      <c r="CA173" s="177">
        <f t="shared" si="318"/>
        <v>0.85270569392724982</v>
      </c>
      <c r="CB173" s="5">
        <f t="shared" si="319"/>
        <v>3.15</v>
      </c>
      <c r="CC173" s="177">
        <f t="shared" si="320"/>
        <v>0.78696767658413114</v>
      </c>
      <c r="CD173" s="5">
        <f t="shared" si="321"/>
        <v>78.696767658413108</v>
      </c>
      <c r="CG173" s="571">
        <f t="shared" si="300"/>
        <v>-50</v>
      </c>
      <c r="CH173">
        <f t="shared" si="301"/>
        <v>-50</v>
      </c>
    </row>
    <row r="174" spans="5:86" x14ac:dyDescent="0.2">
      <c r="E174" s="174">
        <v>64</v>
      </c>
      <c r="F174" s="221">
        <f t="shared" si="302"/>
        <v>0.64</v>
      </c>
      <c r="G174" s="221"/>
      <c r="H174" s="221">
        <f t="shared" ref="H174:H205" si="322">F174*Vout</f>
        <v>3.2</v>
      </c>
      <c r="I174" s="551">
        <f t="shared" ref="I174:I212" si="323">VIN_min</f>
        <v>23</v>
      </c>
      <c r="J174" s="451">
        <f t="shared" ref="J174:J210" si="324">(T174+Vfwd1)*Nps</f>
        <v>10.64</v>
      </c>
      <c r="K174" s="451">
        <f t="shared" ref="K174:K210" si="325">(Vout+Vfwd1)*Nps+I174</f>
        <v>33.64</v>
      </c>
      <c r="L174" s="451"/>
      <c r="M174" s="221">
        <f t="shared" ref="M174:M210" si="326">(Vout+Vfwd1)*Nps/((Vout+Vfwd1)*Nps+I174)</f>
        <v>0.31629013079667062</v>
      </c>
      <c r="N174" s="176">
        <f t="shared" ref="N174:N205" si="327">M174*I174*(Isw_max+VIN_min/Lmag*ILIM_delay)*0.5*Efficiency</f>
        <v>13.744455410225921</v>
      </c>
      <c r="O174" s="176">
        <f t="shared" si="262"/>
        <v>3.2</v>
      </c>
      <c r="P174" s="221">
        <f t="shared" ref="P174:P205" si="328">N174/Vout</f>
        <v>2.7488910820451844</v>
      </c>
      <c r="Q174" s="221">
        <f t="shared" ref="Q174:Q210" si="329">MIN(Vout,N174/F174)</f>
        <v>5</v>
      </c>
      <c r="R174" s="221"/>
      <c r="S174" s="176">
        <f t="shared" ref="S174:S210" si="330">(SQRT(Isw_max^2*Nps^2*I174^2+4*Isw_max*F174/Efficiency*(Nps^2*Vfwd1*I174-Nps*I174^2)+4*(F174/Efficiency)^2*Nps^2*Vfwd1^2+8*(F174/Efficiency)^2*Nps*Vfwd1*I174+4*(F174/Efficiency)^2*I174^2)-2*F174/Efficiency*I174-2*F174/Efficiency*Nps*Vfwd1+Isw_max*Nps*I174)/(4*F174/Efficiency*Nps)</f>
        <v>54.871364597528483</v>
      </c>
      <c r="T174" s="176">
        <f t="shared" ref="T174:T205" si="331">MIN(Vout, S174)</f>
        <v>5</v>
      </c>
      <c r="U174" s="221">
        <f t="shared" ref="U174:U210" si="332">MIN(2*Vout*F174/(Efficiency*I174*M174), Isw_max)</f>
        <v>0.97751625440412637</v>
      </c>
      <c r="V174" s="221">
        <f t="shared" ref="V174:V205" si="333">L*U174/I174*1000000</f>
        <v>0.29750494699256019</v>
      </c>
      <c r="W174" s="221">
        <f t="shared" ref="W174:W210" si="334">L*U174/J174*1000000</f>
        <v>0.64310279895008315</v>
      </c>
      <c r="X174" s="201">
        <f t="shared" ref="X174:X210" si="335">IF(1/((350000*L)*(1/I174+1/J174))&gt;Isw_min, 350, 0.001/((Isw_min*L)*(1/I174+1/J174)))</f>
        <v>350</v>
      </c>
      <c r="Y174" s="451">
        <f t="shared" si="303"/>
        <v>350</v>
      </c>
      <c r="AA174" s="221">
        <f t="shared" ref="AA174:AA210" si="336">1/((X174*1000*L)*(1/I174+1/J174))</f>
        <v>2.9692542891116021</v>
      </c>
      <c r="AB174" s="177">
        <f t="shared" ref="AB174:AB205" si="337">L*AA174/J174*1000000</f>
        <v>1.9534567691523697</v>
      </c>
      <c r="AC174" s="177">
        <f t="shared" ref="AC174:AC205" si="338">0.5*AB174*AA174*Nps*X174/1000</f>
        <v>2.0301084616399181</v>
      </c>
      <c r="AD174" s="177"/>
      <c r="AE174" s="177">
        <f t="shared" ref="AE174:AE210" si="339">L*Isw_min/J174*1000000</f>
        <v>0.53947368421052622</v>
      </c>
      <c r="AF174" s="555">
        <f t="shared" ref="AF174:AF205" si="340">MAX(12000,F174/(0.5*AE174/1000000*Isw_min*Nps))/1000</f>
        <v>1446.7578822129688</v>
      </c>
      <c r="AG174" s="538">
        <f t="shared" ref="AG174:AG210" si="341">0.5*AE174/1000000*Isw_min*Nps*X174*1000</f>
        <v>0.15482894736842101</v>
      </c>
      <c r="AI174" s="177">
        <f t="shared" ref="AI174:AI210" si="342">SQRT(F174/(0.5*L/J174*Fsw_DCM*Nps))</f>
        <v>1.6671618312055287</v>
      </c>
      <c r="AJ174" s="177">
        <f t="shared" ref="AJ174:AJ205" si="343">MAX(IF(F174&gt;AC174,U174,AI174),Isw_min)</f>
        <v>1.6671618312055287</v>
      </c>
      <c r="AK174" s="177">
        <f t="shared" ref="AK174:AK205" si="344">IF(F174&gt;AG174, (AJ174-Isw_min)/1.2*0.8+1.2, AF174*0.2/350+1)</f>
        <v>1.764774554137019</v>
      </c>
      <c r="AM174" s="555">
        <f t="shared" ref="AM174:AM210" si="345">F174*1000</f>
        <v>640</v>
      </c>
      <c r="AN174" s="469">
        <f t="shared" ref="AN174:AN210" si="346">IF(F174&gt;AG174, Y174, AF174)</f>
        <v>350</v>
      </c>
      <c r="AP174">
        <f t="shared" ref="AP174:AP210" si="347">IF(H174&gt;N174, "",AM174)</f>
        <v>640</v>
      </c>
      <c r="AQ174">
        <f t="shared" ref="AQ174:AQ210" si="348">IF(H174&gt;N174, "",AN174)</f>
        <v>350</v>
      </c>
      <c r="AS174" s="5">
        <f t="shared" si="263"/>
        <v>2.8571428571428572</v>
      </c>
      <c r="AT174" s="5">
        <f t="shared" ref="AT174:AT210" si="349">L*AJ174/I174*1000000</f>
        <v>0.50739707906255227</v>
      </c>
      <c r="AU174" s="5">
        <f t="shared" si="304"/>
        <v>2.349745778080305</v>
      </c>
      <c r="AV174" s="5"/>
      <c r="AW174" s="177">
        <f t="shared" si="305"/>
        <v>0.1775889776718933</v>
      </c>
      <c r="AX174" s="177">
        <f t="shared" si="259"/>
        <v>3.4048000000000003</v>
      </c>
      <c r="AY174" s="177">
        <f t="shared" si="260"/>
        <v>1.3710922659881373</v>
      </c>
      <c r="AZ174" s="177">
        <f t="shared" si="264"/>
        <v>2.4832756222617762</v>
      </c>
      <c r="BA174" s="469">
        <f t="shared" ref="BA174:BA210" si="350">L*Isw_max^2/(2*Vout_ripple*Vout)*1000000000*((1+M174)/2)^2</f>
        <v>101.93868054563885</v>
      </c>
      <c r="BB174" s="469">
        <f t="shared" ref="BB174:BB210" si="351">L*F174^2/(2*Cout*Vout*Nps^2)*1000000000*((1+M174)/(1-M174))^2+F174*RCoutEsr</f>
        <v>4.5767919643100186</v>
      </c>
      <c r="BC174" s="5">
        <f t="shared" si="258"/>
        <v>0.30270477012306668</v>
      </c>
      <c r="BD174" s="469">
        <f t="shared" ref="BD174:BD210" si="352">((CB174/I174/Efficiency)*AU174/Cin+(CB174/I174/Efficiency)*RCinEsr)*1000</f>
        <v>36.78834053071003</v>
      </c>
      <c r="BF174" s="177">
        <f t="shared" si="265"/>
        <v>0.40562539307101692</v>
      </c>
      <c r="BG174" s="177">
        <f t="shared" si="261"/>
        <v>1.7457883387996078</v>
      </c>
      <c r="BI174" s="538">
        <f t="shared" si="306"/>
        <v>1.8098515545441868E-2</v>
      </c>
      <c r="BJ174" s="538">
        <f t="shared" si="307"/>
        <v>9.8145817003069485E-2</v>
      </c>
      <c r="BK174" s="538">
        <f t="shared" si="308"/>
        <v>1.7499999999999998E-2</v>
      </c>
      <c r="BL174" s="538">
        <f t="shared" si="309"/>
        <v>8.9117405999999996E-2</v>
      </c>
      <c r="BM174">
        <f t="shared" si="310"/>
        <v>6.6699999999999997E-3</v>
      </c>
      <c r="BN174">
        <f t="shared" ref="BN174:BN210" si="353">(I174-Vdd)*Qg*AN174</f>
        <v>6.3E-5</v>
      </c>
      <c r="BO174" s="538">
        <f t="shared" ref="BO174:BO205" si="354">(BJ174+BK174+BL174+BM174+BN174+BI174*(1+RdsonTC*(Ta-25)))/(1-BI174*RdsonTC*ThetaJA)</f>
        <v>0.23281544993750999</v>
      </c>
      <c r="BP174" s="469">
        <f t="shared" si="311"/>
        <v>229.53173854851133</v>
      </c>
      <c r="BQ174" s="538">
        <f t="shared" ref="BQ174:BQ210" si="355">(Vfwd2*F174+BG174^2*Rdiode)*(1+Diode_TC/1000*(Ta-25))</f>
        <v>0.47733015698509629</v>
      </c>
      <c r="BT174" s="469">
        <f t="shared" si="312"/>
        <v>477.33015698509627</v>
      </c>
      <c r="BU174" s="538">
        <f t="shared" si="313"/>
        <v>1.6453195950401699E-2</v>
      </c>
      <c r="BV174" s="538">
        <f t="shared" si="314"/>
        <v>9.1433307716660819E-2</v>
      </c>
      <c r="BW174" s="538">
        <f t="shared" si="315"/>
        <v>0</v>
      </c>
      <c r="BX174" s="538"/>
      <c r="BY174" s="538">
        <f t="shared" si="316"/>
        <v>4.864000000000001E-2</v>
      </c>
      <c r="BZ174" s="469">
        <f t="shared" si="317"/>
        <v>156.52650366706251</v>
      </c>
      <c r="CA174" s="177">
        <f t="shared" si="318"/>
        <v>0.86338839920067023</v>
      </c>
      <c r="CB174" s="5">
        <f t="shared" si="319"/>
        <v>3.2</v>
      </c>
      <c r="CC174" s="177">
        <f t="shared" si="320"/>
        <v>0.78752009053072258</v>
      </c>
      <c r="CD174" s="5">
        <f t="shared" si="321"/>
        <v>78.752009053072257</v>
      </c>
      <c r="CG174" s="571">
        <f t="shared" ref="CG174:CG210" si="356">IF(ABS(F174-Ioutmax_Vinmin)&lt;Iout/200, AN174, -50)</f>
        <v>-50</v>
      </c>
      <c r="CH174">
        <f t="shared" ref="CH174:CH210" si="357">IF(ABS(F174-Ioutmax_Vinmin)&lt;Iout/200, N174*CC174, -50)</f>
        <v>-50</v>
      </c>
    </row>
    <row r="175" spans="5:86" x14ac:dyDescent="0.2">
      <c r="E175" s="174">
        <v>65</v>
      </c>
      <c r="F175" s="221">
        <f t="shared" ref="F175:F206" si="358">IF(PLOT_TYPE=1, E175/100*Iout_max, min_I*EXP(N175*rr/100))</f>
        <v>0.65</v>
      </c>
      <c r="G175" s="221"/>
      <c r="H175" s="221">
        <f t="shared" si="322"/>
        <v>3.25</v>
      </c>
      <c r="I175" s="551">
        <f t="shared" si="323"/>
        <v>23</v>
      </c>
      <c r="J175" s="451">
        <f t="shared" si="324"/>
        <v>10.64</v>
      </c>
      <c r="K175" s="451">
        <f t="shared" si="325"/>
        <v>33.64</v>
      </c>
      <c r="L175" s="451"/>
      <c r="M175" s="221">
        <f t="shared" si="326"/>
        <v>0.31629013079667062</v>
      </c>
      <c r="N175" s="176">
        <f t="shared" si="327"/>
        <v>13.744455410225921</v>
      </c>
      <c r="O175" s="176">
        <f t="shared" si="262"/>
        <v>3.25</v>
      </c>
      <c r="P175" s="221">
        <f t="shared" si="328"/>
        <v>2.7488910820451844</v>
      </c>
      <c r="Q175" s="221">
        <f t="shared" si="329"/>
        <v>5</v>
      </c>
      <c r="R175" s="221"/>
      <c r="S175" s="176">
        <f t="shared" si="330"/>
        <v>53.852546472216872</v>
      </c>
      <c r="T175" s="176">
        <f t="shared" si="331"/>
        <v>5</v>
      </c>
      <c r="U175" s="221">
        <f t="shared" si="332"/>
        <v>0.99278994587919078</v>
      </c>
      <c r="V175" s="221">
        <f t="shared" si="333"/>
        <v>0.3021534617893189</v>
      </c>
      <c r="W175" s="221">
        <f t="shared" si="334"/>
        <v>0.65315128018367807</v>
      </c>
      <c r="X175" s="201">
        <f t="shared" si="335"/>
        <v>350</v>
      </c>
      <c r="Y175" s="451">
        <f t="shared" si="303"/>
        <v>350</v>
      </c>
      <c r="AA175" s="221">
        <f t="shared" si="336"/>
        <v>2.9692542891116021</v>
      </c>
      <c r="AB175" s="177">
        <f t="shared" si="337"/>
        <v>1.9534567691523697</v>
      </c>
      <c r="AC175" s="177">
        <f t="shared" si="338"/>
        <v>2.0301084616399181</v>
      </c>
      <c r="AD175" s="177"/>
      <c r="AE175" s="177">
        <f t="shared" si="339"/>
        <v>0.53947368421052622</v>
      </c>
      <c r="AF175" s="555">
        <f t="shared" si="340"/>
        <v>1469.3634741225464</v>
      </c>
      <c r="AG175" s="538">
        <f t="shared" si="341"/>
        <v>0.15482894736842101</v>
      </c>
      <c r="AI175" s="177">
        <f t="shared" si="342"/>
        <v>1.6801360489130466</v>
      </c>
      <c r="AJ175" s="177">
        <f t="shared" si="343"/>
        <v>1.6801360489130466</v>
      </c>
      <c r="AK175" s="177">
        <f t="shared" si="344"/>
        <v>1.7734240326086979</v>
      </c>
      <c r="AM175" s="555">
        <f t="shared" si="345"/>
        <v>650</v>
      </c>
      <c r="AN175" s="469">
        <f t="shared" si="346"/>
        <v>350</v>
      </c>
      <c r="AP175">
        <f t="shared" si="347"/>
        <v>650</v>
      </c>
      <c r="AQ175">
        <f t="shared" si="348"/>
        <v>350</v>
      </c>
      <c r="AS175" s="5">
        <f t="shared" si="263"/>
        <v>2.8571428571428572</v>
      </c>
      <c r="AT175" s="5">
        <f t="shared" si="349"/>
        <v>0.51134575401701421</v>
      </c>
      <c r="AU175" s="5">
        <f t="shared" si="304"/>
        <v>2.3457971031258431</v>
      </c>
      <c r="AV175" s="5"/>
      <c r="AW175" s="177">
        <f t="shared" si="305"/>
        <v>0.17897101390595496</v>
      </c>
      <c r="AX175" s="177">
        <f t="shared" si="259"/>
        <v>3.4580000000000006</v>
      </c>
      <c r="AY175" s="177">
        <f t="shared" si="260"/>
        <v>1.3794403967391335</v>
      </c>
      <c r="AZ175" s="177">
        <f t="shared" si="264"/>
        <v>2.5068136384684578</v>
      </c>
      <c r="BA175" s="469">
        <f t="shared" si="350"/>
        <v>101.93868054563885</v>
      </c>
      <c r="BB175" s="469">
        <f t="shared" si="351"/>
        <v>4.6904653440453679</v>
      </c>
      <c r="BC175" s="5">
        <f t="shared" si="258"/>
        <v>0.30691789795326041</v>
      </c>
      <c r="BD175" s="469">
        <f t="shared" si="352"/>
        <v>37.301162247144873</v>
      </c>
      <c r="BF175" s="177">
        <f t="shared" si="265"/>
        <v>0.41036959153459462</v>
      </c>
      <c r="BG175" s="177">
        <f t="shared" si="261"/>
        <v>1.7578955364823146</v>
      </c>
      <c r="BI175" s="538">
        <f t="shared" si="306"/>
        <v>1.8524352182189705E-2</v>
      </c>
      <c r="BJ175" s="538">
        <f t="shared" si="307"/>
        <v>9.8909609199511056E-2</v>
      </c>
      <c r="BK175" s="538">
        <f t="shared" si="308"/>
        <v>1.7499999999999998E-2</v>
      </c>
      <c r="BL175" s="538">
        <f t="shared" si="309"/>
        <v>8.9117405999999996E-2</v>
      </c>
      <c r="BM175">
        <f t="shared" si="310"/>
        <v>6.6699999999999997E-3</v>
      </c>
      <c r="BN175">
        <f t="shared" si="353"/>
        <v>6.3E-5</v>
      </c>
      <c r="BO175" s="538">
        <f t="shared" si="354"/>
        <v>0.23408519796781427</v>
      </c>
      <c r="BP175" s="469">
        <f t="shared" si="311"/>
        <v>230.72136738170073</v>
      </c>
      <c r="BQ175" s="538">
        <f t="shared" si="355"/>
        <v>0.48439102919289162</v>
      </c>
      <c r="BT175" s="469">
        <f t="shared" si="312"/>
        <v>484.39102919289161</v>
      </c>
      <c r="BU175" s="538">
        <f t="shared" si="313"/>
        <v>1.6840320165627004E-2</v>
      </c>
      <c r="BV175" s="538">
        <f t="shared" si="314"/>
        <v>9.2705901515533332E-2</v>
      </c>
      <c r="BW175" s="538">
        <f t="shared" si="315"/>
        <v>0</v>
      </c>
      <c r="BX175" s="538"/>
      <c r="BY175" s="538">
        <f t="shared" si="316"/>
        <v>4.9400000000000013E-2</v>
      </c>
      <c r="BZ175" s="469">
        <f t="shared" si="317"/>
        <v>158.94622168116035</v>
      </c>
      <c r="CA175" s="177">
        <f t="shared" si="318"/>
        <v>0.87405861825575271</v>
      </c>
      <c r="CB175" s="5">
        <f t="shared" si="319"/>
        <v>3.25</v>
      </c>
      <c r="CC175" s="177">
        <f t="shared" si="320"/>
        <v>0.78805863369967544</v>
      </c>
      <c r="CD175" s="5">
        <f t="shared" si="321"/>
        <v>78.80586336996754</v>
      </c>
      <c r="CG175" s="571">
        <f t="shared" si="356"/>
        <v>-50</v>
      </c>
      <c r="CH175">
        <f t="shared" si="357"/>
        <v>-50</v>
      </c>
    </row>
    <row r="176" spans="5:86" x14ac:dyDescent="0.2">
      <c r="E176" s="174">
        <v>66</v>
      </c>
      <c r="F176" s="221">
        <f t="shared" si="358"/>
        <v>0.66</v>
      </c>
      <c r="G176" s="221"/>
      <c r="H176" s="221">
        <f t="shared" si="322"/>
        <v>3.3000000000000003</v>
      </c>
      <c r="I176" s="551">
        <f t="shared" si="323"/>
        <v>23</v>
      </c>
      <c r="J176" s="451">
        <f t="shared" si="324"/>
        <v>10.64</v>
      </c>
      <c r="K176" s="451">
        <f t="shared" si="325"/>
        <v>33.64</v>
      </c>
      <c r="L176" s="451"/>
      <c r="M176" s="221">
        <f t="shared" si="326"/>
        <v>0.31629013079667062</v>
      </c>
      <c r="N176" s="176">
        <f t="shared" si="327"/>
        <v>13.744455410225921</v>
      </c>
      <c r="O176" s="176">
        <f t="shared" si="262"/>
        <v>3.3000000000000003</v>
      </c>
      <c r="P176" s="221">
        <f t="shared" si="328"/>
        <v>2.7488910820451844</v>
      </c>
      <c r="Q176" s="221">
        <f t="shared" si="329"/>
        <v>5</v>
      </c>
      <c r="R176" s="221"/>
      <c r="S176" s="176">
        <f t="shared" si="330"/>
        <v>52.864647445600482</v>
      </c>
      <c r="T176" s="546">
        <f t="shared" si="331"/>
        <v>5</v>
      </c>
      <c r="U176" s="221">
        <f t="shared" si="332"/>
        <v>1.0080636373542553</v>
      </c>
      <c r="V176" s="221">
        <f t="shared" si="333"/>
        <v>0.30680197658607772</v>
      </c>
      <c r="W176" s="221">
        <f t="shared" si="334"/>
        <v>0.6631997614172731</v>
      </c>
      <c r="X176" s="201">
        <f t="shared" si="335"/>
        <v>350</v>
      </c>
      <c r="Y176" s="451">
        <f t="shared" si="303"/>
        <v>350</v>
      </c>
      <c r="AA176" s="221">
        <f t="shared" si="336"/>
        <v>2.9692542891116021</v>
      </c>
      <c r="AB176" s="177">
        <f t="shared" si="337"/>
        <v>1.9534567691523697</v>
      </c>
      <c r="AC176" s="177">
        <f t="shared" si="338"/>
        <v>2.0301084616399181</v>
      </c>
      <c r="AD176" s="177"/>
      <c r="AE176" s="177">
        <f t="shared" si="339"/>
        <v>0.53947368421052622</v>
      </c>
      <c r="AF176" s="555">
        <f t="shared" si="340"/>
        <v>1491.9690660321239</v>
      </c>
      <c r="AG176" s="538">
        <f t="shared" si="341"/>
        <v>0.15482894736842101</v>
      </c>
      <c r="AI176" s="177">
        <f t="shared" si="342"/>
        <v>1.6930108429321162</v>
      </c>
      <c r="AJ176" s="177">
        <f t="shared" si="343"/>
        <v>1.6930108429321162</v>
      </c>
      <c r="AK176" s="177">
        <f t="shared" si="344"/>
        <v>1.7820072286214108</v>
      </c>
      <c r="AM176" s="555">
        <f t="shared" si="345"/>
        <v>660</v>
      </c>
      <c r="AN176" s="469">
        <f t="shared" si="346"/>
        <v>350</v>
      </c>
      <c r="AP176">
        <f t="shared" si="347"/>
        <v>660</v>
      </c>
      <c r="AQ176">
        <f t="shared" si="348"/>
        <v>350</v>
      </c>
      <c r="AS176" s="5">
        <f t="shared" si="263"/>
        <v>2.8571428571428572</v>
      </c>
      <c r="AT176" s="5">
        <f t="shared" si="349"/>
        <v>0.51526416958803534</v>
      </c>
      <c r="AU176" s="5">
        <f t="shared" si="304"/>
        <v>2.3418786875548219</v>
      </c>
      <c r="AV176" s="5"/>
      <c r="AW176" s="177">
        <f t="shared" si="305"/>
        <v>0.18034245935581236</v>
      </c>
      <c r="AX176" s="177">
        <f t="shared" si="259"/>
        <v>3.5112000000000005</v>
      </c>
      <c r="AY176" s="177">
        <f t="shared" si="260"/>
        <v>1.3876891038016814</v>
      </c>
      <c r="AZ176" s="177">
        <f t="shared" si="264"/>
        <v>2.5302497442552494</v>
      </c>
      <c r="BA176" s="469">
        <f t="shared" si="350"/>
        <v>101.93868054563885</v>
      </c>
      <c r="BB176" s="469">
        <f t="shared" si="351"/>
        <v>4.805435985482041</v>
      </c>
      <c r="BC176" s="5">
        <f t="shared" si="258"/>
        <v>0.31111914931283863</v>
      </c>
      <c r="BD176" s="469">
        <f t="shared" si="352"/>
        <v>37.812558787105864</v>
      </c>
      <c r="BF176" s="177">
        <f t="shared" si="265"/>
        <v>0.41509557731953617</v>
      </c>
      <c r="BG176" s="177">
        <f t="shared" si="261"/>
        <v>1.7698861354542925</v>
      </c>
      <c r="BI176" s="538">
        <f t="shared" si="306"/>
        <v>1.8953477214126293E-2</v>
      </c>
      <c r="BJ176" s="538">
        <f t="shared" si="307"/>
        <v>9.9667548323413693E-2</v>
      </c>
      <c r="BK176" s="538">
        <f t="shared" si="308"/>
        <v>1.7499999999999998E-2</v>
      </c>
      <c r="BL176" s="538">
        <f t="shared" si="309"/>
        <v>8.9117405999999996E-2</v>
      </c>
      <c r="BM176">
        <f t="shared" si="310"/>
        <v>6.6699999999999997E-3</v>
      </c>
      <c r="BN176">
        <f t="shared" si="353"/>
        <v>6.3E-5</v>
      </c>
      <c r="BO176" s="538">
        <f t="shared" si="354"/>
        <v>0.23535316132544087</v>
      </c>
      <c r="BP176" s="469">
        <f t="shared" si="311"/>
        <v>231.90843153754</v>
      </c>
      <c r="BQ176" s="538">
        <f t="shared" si="355"/>
        <v>0.49144276564096245</v>
      </c>
      <c r="BT176" s="469">
        <f t="shared" si="312"/>
        <v>491.44276564096248</v>
      </c>
      <c r="BU176" s="538">
        <f t="shared" si="313"/>
        <v>1.7230433831023902E-2</v>
      </c>
      <c r="BV176" s="538">
        <f t="shared" si="314"/>
        <v>9.3974907974199912E-2</v>
      </c>
      <c r="BW176" s="538">
        <f t="shared" si="315"/>
        <v>0</v>
      </c>
      <c r="BX176" s="538"/>
      <c r="BY176" s="538">
        <f t="shared" si="316"/>
        <v>5.016000000000001E-2</v>
      </c>
      <c r="BZ176" s="469">
        <f t="shared" si="317"/>
        <v>161.36534180522384</v>
      </c>
      <c r="CA176" s="177">
        <f t="shared" si="318"/>
        <v>0.88471653898372626</v>
      </c>
      <c r="CB176" s="5">
        <f t="shared" si="319"/>
        <v>3.3000000000000003</v>
      </c>
      <c r="CC176" s="177">
        <f t="shared" si="320"/>
        <v>0.78858387880231828</v>
      </c>
      <c r="CD176" s="5">
        <f t="shared" si="321"/>
        <v>78.858387880231831</v>
      </c>
      <c r="CG176" s="571">
        <f t="shared" si="356"/>
        <v>-50</v>
      </c>
      <c r="CH176">
        <f t="shared" si="357"/>
        <v>-50</v>
      </c>
    </row>
    <row r="177" spans="5:86" x14ac:dyDescent="0.2">
      <c r="E177" s="174">
        <v>67</v>
      </c>
      <c r="F177" s="221">
        <f t="shared" si="358"/>
        <v>0.67</v>
      </c>
      <c r="G177" s="221"/>
      <c r="H177" s="221">
        <f t="shared" si="322"/>
        <v>3.35</v>
      </c>
      <c r="I177" s="551">
        <f t="shared" si="323"/>
        <v>23</v>
      </c>
      <c r="J177" s="451">
        <f t="shared" si="324"/>
        <v>10.64</v>
      </c>
      <c r="K177" s="451">
        <f t="shared" si="325"/>
        <v>33.64</v>
      </c>
      <c r="L177" s="451"/>
      <c r="M177" s="221">
        <f t="shared" si="326"/>
        <v>0.31629013079667062</v>
      </c>
      <c r="N177" s="176">
        <f t="shared" si="327"/>
        <v>13.744455410225921</v>
      </c>
      <c r="O177" s="176">
        <f t="shared" si="262"/>
        <v>3.35</v>
      </c>
      <c r="P177" s="221">
        <f t="shared" si="328"/>
        <v>2.7488910820451844</v>
      </c>
      <c r="Q177" s="221">
        <f t="shared" si="329"/>
        <v>5</v>
      </c>
      <c r="R177" s="221"/>
      <c r="S177" s="176">
        <f t="shared" si="330"/>
        <v>51.906283500810829</v>
      </c>
      <c r="T177" s="546">
        <f t="shared" si="331"/>
        <v>5</v>
      </c>
      <c r="U177" s="221">
        <f t="shared" si="332"/>
        <v>1.0233373288293197</v>
      </c>
      <c r="V177" s="221">
        <f t="shared" si="333"/>
        <v>0.31145049138283643</v>
      </c>
      <c r="W177" s="221">
        <f t="shared" si="334"/>
        <v>0.67324824265086824</v>
      </c>
      <c r="X177" s="201">
        <f t="shared" si="335"/>
        <v>350</v>
      </c>
      <c r="Y177" s="451">
        <f t="shared" si="303"/>
        <v>350</v>
      </c>
      <c r="AA177" s="221">
        <f t="shared" si="336"/>
        <v>2.9692542891116021</v>
      </c>
      <c r="AB177" s="177">
        <f t="shared" si="337"/>
        <v>1.9534567691523697</v>
      </c>
      <c r="AC177" s="177">
        <f t="shared" si="338"/>
        <v>2.0301084616399181</v>
      </c>
      <c r="AD177" s="177"/>
      <c r="AE177" s="177">
        <f t="shared" si="339"/>
        <v>0.53947368421052622</v>
      </c>
      <c r="AF177" s="555">
        <f t="shared" si="340"/>
        <v>1514.5746579417018</v>
      </c>
      <c r="AG177" s="538">
        <f t="shared" si="341"/>
        <v>0.15482894736842101</v>
      </c>
      <c r="AI177" s="177">
        <f t="shared" si="342"/>
        <v>1.7057884645272654</v>
      </c>
      <c r="AJ177" s="177">
        <f t="shared" si="343"/>
        <v>1.7057884645272654</v>
      </c>
      <c r="AK177" s="177">
        <f t="shared" si="344"/>
        <v>1.7905256430181771</v>
      </c>
      <c r="AM177" s="555">
        <f t="shared" si="345"/>
        <v>670</v>
      </c>
      <c r="AN177" s="469">
        <f t="shared" si="346"/>
        <v>350</v>
      </c>
      <c r="AP177">
        <f t="shared" si="347"/>
        <v>670</v>
      </c>
      <c r="AQ177">
        <f t="shared" si="348"/>
        <v>350</v>
      </c>
      <c r="AS177" s="5">
        <f t="shared" si="263"/>
        <v>2.8571428571428572</v>
      </c>
      <c r="AT177" s="5">
        <f t="shared" si="349"/>
        <v>0.51915301094308075</v>
      </c>
      <c r="AU177" s="5">
        <f t="shared" si="304"/>
        <v>2.3379898461997763</v>
      </c>
      <c r="AV177" s="5"/>
      <c r="AW177" s="177">
        <f t="shared" si="305"/>
        <v>0.18170355383007825</v>
      </c>
      <c r="AX177" s="177">
        <f t="shared" si="259"/>
        <v>3.5643999999999996</v>
      </c>
      <c r="AY177" s="177">
        <f t="shared" si="260"/>
        <v>1.395840638440309</v>
      </c>
      <c r="AZ177" s="177">
        <f t="shared" si="264"/>
        <v>2.5535866357801456</v>
      </c>
      <c r="BA177" s="469">
        <f t="shared" si="350"/>
        <v>101.93868054563885</v>
      </c>
      <c r="BB177" s="469">
        <f t="shared" si="351"/>
        <v>4.921703888620037</v>
      </c>
      <c r="BC177" s="5">
        <f t="shared" si="258"/>
        <v>0.31530861452372178</v>
      </c>
      <c r="BD177" s="469">
        <f t="shared" si="352"/>
        <v>38.322540989223434</v>
      </c>
      <c r="BF177" s="177">
        <f t="shared" si="265"/>
        <v>0.41980369473697005</v>
      </c>
      <c r="BG177" s="177">
        <f t="shared" si="261"/>
        <v>1.7817627449129707</v>
      </c>
      <c r="BI177" s="538">
        <f t="shared" si="306"/>
        <v>1.9385865632629225E-2</v>
      </c>
      <c r="BJ177" s="538">
        <f t="shared" si="307"/>
        <v>0.10041976690672012</v>
      </c>
      <c r="BK177" s="538">
        <f t="shared" si="308"/>
        <v>1.7499999999999998E-2</v>
      </c>
      <c r="BL177" s="538">
        <f t="shared" si="309"/>
        <v>8.9117405999999996E-2</v>
      </c>
      <c r="BM177">
        <f t="shared" si="310"/>
        <v>6.6699999999999997E-3</v>
      </c>
      <c r="BN177">
        <f t="shared" si="353"/>
        <v>6.3E-5</v>
      </c>
      <c r="BO177" s="538">
        <f t="shared" si="354"/>
        <v>0.23661944532640325</v>
      </c>
      <c r="BP177" s="469">
        <f t="shared" si="311"/>
        <v>233.09303853934938</v>
      </c>
      <c r="BQ177" s="538">
        <f t="shared" si="355"/>
        <v>0.49848543580780902</v>
      </c>
      <c r="BT177" s="469">
        <f t="shared" si="312"/>
        <v>498.48543580780904</v>
      </c>
      <c r="BU177" s="538">
        <f t="shared" si="313"/>
        <v>1.7623514211481114E-2</v>
      </c>
      <c r="BV177" s="538">
        <f t="shared" si="314"/>
        <v>9.5240354374794112E-2</v>
      </c>
      <c r="BW177" s="538">
        <f t="shared" si="315"/>
        <v>0</v>
      </c>
      <c r="BX177" s="538"/>
      <c r="BY177" s="538">
        <f t="shared" si="316"/>
        <v>5.0920000000000007E-2</v>
      </c>
      <c r="BZ177" s="469">
        <f t="shared" si="317"/>
        <v>163.78386858627525</v>
      </c>
      <c r="CA177" s="177">
        <f t="shared" si="318"/>
        <v>0.89536234293343353</v>
      </c>
      <c r="CB177" s="5">
        <f t="shared" si="319"/>
        <v>3.35</v>
      </c>
      <c r="CC177" s="177">
        <f t="shared" si="320"/>
        <v>0.78909636666848992</v>
      </c>
      <c r="CD177" s="5">
        <f t="shared" si="321"/>
        <v>78.909636666848996</v>
      </c>
      <c r="CG177" s="571">
        <f t="shared" si="356"/>
        <v>-50</v>
      </c>
      <c r="CH177">
        <f t="shared" si="357"/>
        <v>-50</v>
      </c>
    </row>
    <row r="178" spans="5:86" x14ac:dyDescent="0.2">
      <c r="E178" s="174">
        <v>68</v>
      </c>
      <c r="F178" s="221">
        <f t="shared" si="358"/>
        <v>0.68</v>
      </c>
      <c r="G178" s="221"/>
      <c r="H178" s="221">
        <f t="shared" si="322"/>
        <v>3.4000000000000004</v>
      </c>
      <c r="I178" s="551">
        <f t="shared" si="323"/>
        <v>23</v>
      </c>
      <c r="J178" s="451">
        <f t="shared" si="324"/>
        <v>10.64</v>
      </c>
      <c r="K178" s="451">
        <f t="shared" si="325"/>
        <v>33.64</v>
      </c>
      <c r="L178" s="451"/>
      <c r="M178" s="221">
        <f t="shared" si="326"/>
        <v>0.31629013079667062</v>
      </c>
      <c r="N178" s="176">
        <f t="shared" si="327"/>
        <v>13.744455410225921</v>
      </c>
      <c r="O178" s="176">
        <f t="shared" si="262"/>
        <v>3.4000000000000004</v>
      </c>
      <c r="P178" s="221">
        <f t="shared" si="328"/>
        <v>2.7488910820451844</v>
      </c>
      <c r="Q178" s="221">
        <f t="shared" si="329"/>
        <v>5</v>
      </c>
      <c r="R178" s="221"/>
      <c r="S178" s="176">
        <f t="shared" si="330"/>
        <v>50.976152038659116</v>
      </c>
      <c r="T178" s="546">
        <f t="shared" si="331"/>
        <v>5</v>
      </c>
      <c r="U178" s="221">
        <f t="shared" si="332"/>
        <v>1.0386110203043843</v>
      </c>
      <c r="V178" s="221">
        <f t="shared" si="333"/>
        <v>0.31609900617959524</v>
      </c>
      <c r="W178" s="221">
        <f t="shared" si="334"/>
        <v>0.68329672388446339</v>
      </c>
      <c r="X178" s="201">
        <f t="shared" si="335"/>
        <v>350</v>
      </c>
      <c r="Y178" s="451">
        <f t="shared" si="303"/>
        <v>350</v>
      </c>
      <c r="AA178" s="221">
        <f t="shared" si="336"/>
        <v>2.9692542891116021</v>
      </c>
      <c r="AB178" s="177">
        <f t="shared" si="337"/>
        <v>1.9534567691523697</v>
      </c>
      <c r="AC178" s="177">
        <f t="shared" si="338"/>
        <v>2.0301084616399181</v>
      </c>
      <c r="AD178" s="177"/>
      <c r="AE178" s="177">
        <f t="shared" si="339"/>
        <v>0.53947368421052622</v>
      </c>
      <c r="AF178" s="555">
        <f t="shared" si="340"/>
        <v>1537.1802498512793</v>
      </c>
      <c r="AG178" s="538">
        <f t="shared" si="341"/>
        <v>0.15482894736842101</v>
      </c>
      <c r="AI178" s="177">
        <f t="shared" si="342"/>
        <v>1.7184710812646391</v>
      </c>
      <c r="AJ178" s="177">
        <f t="shared" si="343"/>
        <v>1.7184710812646391</v>
      </c>
      <c r="AK178" s="177">
        <f t="shared" si="344"/>
        <v>1.7989807208430926</v>
      </c>
      <c r="AM178" s="555">
        <f t="shared" si="345"/>
        <v>680</v>
      </c>
      <c r="AN178" s="469">
        <f t="shared" si="346"/>
        <v>350</v>
      </c>
      <c r="AP178">
        <f t="shared" si="347"/>
        <v>680</v>
      </c>
      <c r="AQ178">
        <f t="shared" si="348"/>
        <v>350</v>
      </c>
      <c r="AS178" s="5">
        <f t="shared" si="263"/>
        <v>2.8571428571428572</v>
      </c>
      <c r="AT178" s="5">
        <f t="shared" si="349"/>
        <v>0.52301293777619451</v>
      </c>
      <c r="AU178" s="5">
        <f t="shared" si="304"/>
        <v>2.3341299193666627</v>
      </c>
      <c r="AV178" s="5"/>
      <c r="AW178" s="177">
        <f t="shared" si="305"/>
        <v>0.18305452822166807</v>
      </c>
      <c r="AX178" s="177">
        <f t="shared" si="259"/>
        <v>3.6176000000000008</v>
      </c>
      <c r="AY178" s="177">
        <f t="shared" si="260"/>
        <v>1.403897168221161</v>
      </c>
      <c r="AZ178" s="177">
        <f t="shared" si="264"/>
        <v>2.5768269086145112</v>
      </c>
      <c r="BA178" s="469">
        <f t="shared" si="350"/>
        <v>101.93868054563885</v>
      </c>
      <c r="BB178" s="469">
        <f t="shared" si="351"/>
        <v>5.0392690534593569</v>
      </c>
      <c r="BC178" s="5">
        <f t="shared" si="258"/>
        <v>0.31948638187788458</v>
      </c>
      <c r="BD178" s="469">
        <f t="shared" si="352"/>
        <v>38.831119448534558</v>
      </c>
      <c r="BF178" s="177">
        <f t="shared" si="265"/>
        <v>0.42449427655563454</v>
      </c>
      <c r="BG178" s="177">
        <f t="shared" si="261"/>
        <v>1.7935278771766676</v>
      </c>
      <c r="BI178" s="538">
        <f t="shared" si="306"/>
        <v>1.982149299113407E-2</v>
      </c>
      <c r="BJ178" s="538">
        <f t="shared" si="307"/>
        <v>0.10116639255404931</v>
      </c>
      <c r="BK178" s="538">
        <f t="shared" si="308"/>
        <v>1.7499999999999998E-2</v>
      </c>
      <c r="BL178" s="538">
        <f t="shared" si="309"/>
        <v>8.9117405999999996E-2</v>
      </c>
      <c r="BM178">
        <f t="shared" si="310"/>
        <v>6.6699999999999997E-3</v>
      </c>
      <c r="BN178">
        <f t="shared" si="353"/>
        <v>6.3E-5</v>
      </c>
      <c r="BO178" s="538">
        <f t="shared" si="354"/>
        <v>0.23788415101038207</v>
      </c>
      <c r="BP178" s="469">
        <f t="shared" si="311"/>
        <v>234.27529154518339</v>
      </c>
      <c r="BQ178" s="538">
        <f t="shared" si="355"/>
        <v>0.50551910761043206</v>
      </c>
      <c r="BT178" s="469">
        <f t="shared" si="312"/>
        <v>505.51910761043206</v>
      </c>
      <c r="BU178" s="538">
        <f t="shared" si="313"/>
        <v>1.8019539082849156E-2</v>
      </c>
      <c r="BV178" s="538">
        <f t="shared" si="314"/>
        <v>9.6502267386295304E-2</v>
      </c>
      <c r="BW178" s="538">
        <f t="shared" si="315"/>
        <v>0</v>
      </c>
      <c r="BX178" s="538"/>
      <c r="BY178" s="538">
        <f t="shared" si="316"/>
        <v>5.1680000000000011E-2</v>
      </c>
      <c r="BZ178" s="469">
        <f t="shared" si="317"/>
        <v>166.20180646914449</v>
      </c>
      <c r="CA178" s="177">
        <f t="shared" si="318"/>
        <v>0.90599620562476002</v>
      </c>
      <c r="CB178" s="5">
        <f t="shared" si="319"/>
        <v>3.4000000000000004</v>
      </c>
      <c r="CC178" s="177">
        <f t="shared" si="320"/>
        <v>0.78959660845931745</v>
      </c>
      <c r="CD178" s="5">
        <f t="shared" si="321"/>
        <v>78.959660845931751</v>
      </c>
      <c r="CG178" s="571">
        <f t="shared" si="356"/>
        <v>-50</v>
      </c>
      <c r="CH178">
        <f t="shared" si="357"/>
        <v>-50</v>
      </c>
    </row>
    <row r="179" spans="5:86" x14ac:dyDescent="0.2">
      <c r="E179" s="174">
        <v>69</v>
      </c>
      <c r="F179" s="221">
        <f t="shared" si="358"/>
        <v>0.69</v>
      </c>
      <c r="G179" s="221"/>
      <c r="H179" s="221">
        <f t="shared" si="322"/>
        <v>3.4499999999999997</v>
      </c>
      <c r="I179" s="551">
        <f t="shared" si="323"/>
        <v>23</v>
      </c>
      <c r="J179" s="451">
        <f t="shared" si="324"/>
        <v>10.64</v>
      </c>
      <c r="K179" s="451">
        <f t="shared" si="325"/>
        <v>33.64</v>
      </c>
      <c r="L179" s="451"/>
      <c r="M179" s="221">
        <f t="shared" si="326"/>
        <v>0.31629013079667062</v>
      </c>
      <c r="N179" s="176">
        <f t="shared" si="327"/>
        <v>13.744455410225921</v>
      </c>
      <c r="O179" s="176">
        <f t="shared" si="262"/>
        <v>3.4499999999999997</v>
      </c>
      <c r="P179" s="221">
        <f t="shared" si="328"/>
        <v>2.7488910820451844</v>
      </c>
      <c r="Q179" s="221">
        <f t="shared" si="329"/>
        <v>5</v>
      </c>
      <c r="R179" s="221"/>
      <c r="S179" s="176">
        <f t="shared" si="330"/>
        <v>50.073025977872732</v>
      </c>
      <c r="T179" s="546">
        <f t="shared" si="331"/>
        <v>5</v>
      </c>
      <c r="U179" s="221">
        <f t="shared" si="332"/>
        <v>1.0538847117794485</v>
      </c>
      <c r="V179" s="221">
        <f t="shared" si="333"/>
        <v>0.32074752097635389</v>
      </c>
      <c r="W179" s="221">
        <f t="shared" si="334"/>
        <v>0.69334520511805819</v>
      </c>
      <c r="X179" s="201">
        <f t="shared" si="335"/>
        <v>350</v>
      </c>
      <c r="Y179" s="451">
        <f t="shared" si="303"/>
        <v>350</v>
      </c>
      <c r="AA179" s="221">
        <f t="shared" si="336"/>
        <v>2.9692542891116021</v>
      </c>
      <c r="AB179" s="177">
        <f t="shared" si="337"/>
        <v>1.9534567691523697</v>
      </c>
      <c r="AC179" s="177">
        <f t="shared" si="338"/>
        <v>2.0301084616399181</v>
      </c>
      <c r="AD179" s="177"/>
      <c r="AE179" s="177">
        <f t="shared" si="339"/>
        <v>0.53947368421052622</v>
      </c>
      <c r="AF179" s="555">
        <f t="shared" si="340"/>
        <v>1559.7858417608568</v>
      </c>
      <c r="AG179" s="538">
        <f t="shared" si="341"/>
        <v>0.15482894736842101</v>
      </c>
      <c r="AI179" s="177">
        <f t="shared" si="342"/>
        <v>1.7310607813047549</v>
      </c>
      <c r="AJ179" s="177">
        <f t="shared" si="343"/>
        <v>1.7310607813047549</v>
      </c>
      <c r="AK179" s="177">
        <f t="shared" si="344"/>
        <v>1.8073738542031701</v>
      </c>
      <c r="AM179" s="555">
        <f t="shared" si="345"/>
        <v>690</v>
      </c>
      <c r="AN179" s="469">
        <f t="shared" si="346"/>
        <v>350</v>
      </c>
      <c r="AP179">
        <f t="shared" si="347"/>
        <v>690</v>
      </c>
      <c r="AQ179">
        <f t="shared" si="348"/>
        <v>350</v>
      </c>
      <c r="AS179" s="5">
        <f t="shared" si="263"/>
        <v>2.8571428571428572</v>
      </c>
      <c r="AT179" s="5">
        <f t="shared" si="349"/>
        <v>0.52684458561449055</v>
      </c>
      <c r="AU179" s="5">
        <f t="shared" si="304"/>
        <v>2.3302982715283669</v>
      </c>
      <c r="AV179" s="5"/>
      <c r="AW179" s="177">
        <f t="shared" si="305"/>
        <v>0.18439560496507168</v>
      </c>
      <c r="AX179" s="177">
        <f t="shared" si="259"/>
        <v>3.6708000000000003</v>
      </c>
      <c r="AY179" s="177">
        <f t="shared" si="260"/>
        <v>1.411860781304755</v>
      </c>
      <c r="AZ179" s="177">
        <f t="shared" si="264"/>
        <v>2.5999730629302364</v>
      </c>
      <c r="BA179" s="469">
        <f t="shared" si="350"/>
        <v>101.93868054563885</v>
      </c>
      <c r="BB179" s="469">
        <f t="shared" si="351"/>
        <v>5.158131479999998</v>
      </c>
      <c r="BC179" s="5">
        <f t="shared" si="258"/>
        <v>0.32365253771227309</v>
      </c>
      <c r="BD179" s="469">
        <f t="shared" si="352"/>
        <v>39.338304525472779</v>
      </c>
      <c r="BF179" s="177">
        <f t="shared" si="265"/>
        <v>0.42916764455259893</v>
      </c>
      <c r="BG179" s="177">
        <f t="shared" si="261"/>
        <v>1.8051839526500528</v>
      </c>
      <c r="BI179" s="538">
        <f t="shared" si="306"/>
        <v>2.026033538439085E-2</v>
      </c>
      <c r="BJ179" s="538">
        <f t="shared" si="307"/>
        <v>0.10190754819541094</v>
      </c>
      <c r="BK179" s="538">
        <f t="shared" si="308"/>
        <v>1.7499999999999998E-2</v>
      </c>
      <c r="BL179" s="538">
        <f t="shared" si="309"/>
        <v>8.9117405999999996E-2</v>
      </c>
      <c r="BM179">
        <f t="shared" si="310"/>
        <v>6.6699999999999997E-3</v>
      </c>
      <c r="BN179">
        <f t="shared" si="353"/>
        <v>6.3E-5</v>
      </c>
      <c r="BO179" s="538">
        <f t="shared" si="354"/>
        <v>0.23914737536946618</v>
      </c>
      <c r="BP179" s="469">
        <f t="shared" si="311"/>
        <v>235.45528957980179</v>
      </c>
      <c r="BQ179" s="538">
        <f t="shared" si="355"/>
        <v>0.51254384746196247</v>
      </c>
      <c r="BT179" s="469">
        <f t="shared" si="312"/>
        <v>512.54384746196251</v>
      </c>
      <c r="BU179" s="538">
        <f t="shared" si="313"/>
        <v>1.8418486713082591E-2</v>
      </c>
      <c r="BV179" s="538">
        <f t="shared" si="314"/>
        <v>9.7760673087158037E-2</v>
      </c>
      <c r="BW179" s="538">
        <f t="shared" si="315"/>
        <v>0</v>
      </c>
      <c r="BX179" s="538"/>
      <c r="BY179" s="538">
        <f t="shared" si="316"/>
        <v>5.2440000000000001E-2</v>
      </c>
      <c r="BZ179" s="469">
        <f t="shared" si="317"/>
        <v>168.61915980024062</v>
      </c>
      <c r="CA179" s="177">
        <f t="shared" si="318"/>
        <v>0.91661829684200491</v>
      </c>
      <c r="CB179" s="5">
        <f t="shared" si="319"/>
        <v>3.4499999999999997</v>
      </c>
      <c r="CC179" s="177">
        <f t="shared" si="320"/>
        <v>0.79008508769705954</v>
      </c>
      <c r="CD179" s="5">
        <f t="shared" si="321"/>
        <v>79.008508769705955</v>
      </c>
      <c r="CG179" s="571">
        <f t="shared" si="356"/>
        <v>-50</v>
      </c>
      <c r="CH179">
        <f t="shared" si="357"/>
        <v>-50</v>
      </c>
    </row>
    <row r="180" spans="5:86" x14ac:dyDescent="0.2">
      <c r="E180" s="174">
        <v>70</v>
      </c>
      <c r="F180" s="221">
        <f t="shared" si="358"/>
        <v>0.7</v>
      </c>
      <c r="G180" s="221"/>
      <c r="H180" s="221">
        <f t="shared" si="322"/>
        <v>3.5</v>
      </c>
      <c r="I180" s="551">
        <f t="shared" si="323"/>
        <v>23</v>
      </c>
      <c r="J180" s="451">
        <f t="shared" si="324"/>
        <v>10.64</v>
      </c>
      <c r="K180" s="451">
        <f t="shared" si="325"/>
        <v>33.64</v>
      </c>
      <c r="L180" s="451"/>
      <c r="M180" s="221">
        <f t="shared" si="326"/>
        <v>0.31629013079667062</v>
      </c>
      <c r="N180" s="176">
        <f t="shared" si="327"/>
        <v>13.744455410225921</v>
      </c>
      <c r="O180" s="176">
        <f t="shared" si="262"/>
        <v>3.5</v>
      </c>
      <c r="P180" s="221">
        <f t="shared" si="328"/>
        <v>2.7488910820451844</v>
      </c>
      <c r="Q180" s="221">
        <f t="shared" si="329"/>
        <v>5</v>
      </c>
      <c r="R180" s="221"/>
      <c r="S180" s="176">
        <f t="shared" si="330"/>
        <v>49.195748361027007</v>
      </c>
      <c r="T180" s="546">
        <f t="shared" si="331"/>
        <v>5</v>
      </c>
      <c r="U180" s="221">
        <f t="shared" si="332"/>
        <v>1.0691584032545132</v>
      </c>
      <c r="V180" s="221">
        <f t="shared" si="333"/>
        <v>0.32539603577311271</v>
      </c>
      <c r="W180" s="221">
        <f t="shared" si="334"/>
        <v>0.70339368635165334</v>
      </c>
      <c r="X180" s="201">
        <f t="shared" si="335"/>
        <v>350</v>
      </c>
      <c r="Y180" s="451">
        <f t="shared" si="303"/>
        <v>350</v>
      </c>
      <c r="AA180" s="221">
        <f t="shared" si="336"/>
        <v>2.9692542891116021</v>
      </c>
      <c r="AB180" s="177">
        <f t="shared" si="337"/>
        <v>1.9534567691523697</v>
      </c>
      <c r="AC180" s="177">
        <f t="shared" si="338"/>
        <v>2.0301084616399181</v>
      </c>
      <c r="AD180" s="177"/>
      <c r="AE180" s="177">
        <f t="shared" si="339"/>
        <v>0.53947368421052622</v>
      </c>
      <c r="AF180" s="555">
        <f t="shared" si="340"/>
        <v>1582.3914336704345</v>
      </c>
      <c r="AG180" s="538">
        <f t="shared" si="341"/>
        <v>0.15482894736842101</v>
      </c>
      <c r="AI180" s="177">
        <f t="shared" si="342"/>
        <v>1.7435595774162693</v>
      </c>
      <c r="AJ180" s="177">
        <f t="shared" si="343"/>
        <v>1.7435595774162693</v>
      </c>
      <c r="AK180" s="177">
        <f t="shared" si="344"/>
        <v>1.8157063849441797</v>
      </c>
      <c r="AM180" s="555">
        <f t="shared" si="345"/>
        <v>700</v>
      </c>
      <c r="AN180" s="469">
        <f t="shared" si="346"/>
        <v>350</v>
      </c>
      <c r="AP180">
        <f t="shared" si="347"/>
        <v>700</v>
      </c>
      <c r="AQ180">
        <f t="shared" si="348"/>
        <v>350</v>
      </c>
      <c r="AS180" s="5">
        <f t="shared" si="263"/>
        <v>2.8571428571428572</v>
      </c>
      <c r="AT180" s="5">
        <f t="shared" si="349"/>
        <v>0.53064856703973418</v>
      </c>
      <c r="AU180" s="5">
        <f t="shared" si="304"/>
        <v>2.3264942901031231</v>
      </c>
      <c r="AV180" s="5"/>
      <c r="AW180" s="177">
        <f t="shared" si="305"/>
        <v>0.18572699846390694</v>
      </c>
      <c r="AX180" s="177">
        <f t="shared" si="259"/>
        <v>3.7239999999999993</v>
      </c>
      <c r="AY180" s="177">
        <f t="shared" si="260"/>
        <v>1.4197334904597476</v>
      </c>
      <c r="AZ180" s="177">
        <f t="shared" si="264"/>
        <v>2.6230275083488159</v>
      </c>
      <c r="BA180" s="469">
        <f t="shared" si="350"/>
        <v>101.93868054563885</v>
      </c>
      <c r="BB180" s="469">
        <f t="shared" si="351"/>
        <v>5.2782911682419638</v>
      </c>
      <c r="BC180" s="5">
        <f t="shared" si="258"/>
        <v>0.3278071664799086</v>
      </c>
      <c r="BD180" s="469">
        <f t="shared" si="352"/>
        <v>39.84410635440063</v>
      </c>
      <c r="BF180" s="177">
        <f t="shared" si="265"/>
        <v>0.43382411003012</v>
      </c>
      <c r="BG180" s="177">
        <f t="shared" si="261"/>
        <v>1.8167333044670122</v>
      </c>
      <c r="BI180" s="538">
        <f t="shared" si="306"/>
        <v>2.0702369428776825E-2</v>
      </c>
      <c r="BJ180" s="538">
        <f t="shared" si="307"/>
        <v>0.10264335232249577</v>
      </c>
      <c r="BK180" s="538">
        <f t="shared" si="308"/>
        <v>1.7499999999999998E-2</v>
      </c>
      <c r="BL180" s="538">
        <f t="shared" si="309"/>
        <v>8.9117405999999996E-2</v>
      </c>
      <c r="BM180">
        <f t="shared" si="310"/>
        <v>6.6699999999999997E-3</v>
      </c>
      <c r="BN180">
        <f t="shared" si="353"/>
        <v>6.3E-5</v>
      </c>
      <c r="BO180" s="538">
        <f t="shared" si="354"/>
        <v>0.24040921156169032</v>
      </c>
      <c r="BP180" s="469">
        <f t="shared" si="311"/>
        <v>236.63312775127261</v>
      </c>
      <c r="BQ180" s="538">
        <f t="shared" si="355"/>
        <v>0.51955972032635567</v>
      </c>
      <c r="BT180" s="469">
        <f t="shared" si="312"/>
        <v>519.55972032635566</v>
      </c>
      <c r="BU180" s="538">
        <f t="shared" si="313"/>
        <v>1.8820335844342569E-2</v>
      </c>
      <c r="BV180" s="538">
        <f t="shared" si="314"/>
        <v>9.9015596986788884E-2</v>
      </c>
      <c r="BW180" s="538">
        <f t="shared" si="315"/>
        <v>0</v>
      </c>
      <c r="BX180" s="538"/>
      <c r="BY180" s="538">
        <f t="shared" si="316"/>
        <v>5.319999999999999E-2</v>
      </c>
      <c r="BZ180" s="469">
        <f t="shared" si="317"/>
        <v>171.03593283113145</v>
      </c>
      <c r="CA180" s="177">
        <f t="shared" si="318"/>
        <v>0.92722878090875982</v>
      </c>
      <c r="CB180" s="5">
        <f t="shared" si="319"/>
        <v>3.5</v>
      </c>
      <c r="CC180" s="177">
        <f t="shared" si="320"/>
        <v>0.79056226212948699</v>
      </c>
      <c r="CD180" s="5">
        <f t="shared" si="321"/>
        <v>79.056226212948701</v>
      </c>
      <c r="CG180" s="571">
        <f t="shared" si="356"/>
        <v>-50</v>
      </c>
      <c r="CH180">
        <f t="shared" si="357"/>
        <v>-50</v>
      </c>
    </row>
    <row r="181" spans="5:86" x14ac:dyDescent="0.2">
      <c r="E181" s="174">
        <v>71</v>
      </c>
      <c r="F181" s="221">
        <f t="shared" si="358"/>
        <v>0.71</v>
      </c>
      <c r="G181" s="221"/>
      <c r="H181" s="221">
        <f t="shared" si="322"/>
        <v>3.55</v>
      </c>
      <c r="I181" s="551">
        <f t="shared" si="323"/>
        <v>23</v>
      </c>
      <c r="J181" s="451">
        <f t="shared" si="324"/>
        <v>10.64</v>
      </c>
      <c r="K181" s="451">
        <f t="shared" si="325"/>
        <v>33.64</v>
      </c>
      <c r="L181" s="451"/>
      <c r="M181" s="221">
        <f t="shared" si="326"/>
        <v>0.31629013079667062</v>
      </c>
      <c r="N181" s="176">
        <f t="shared" si="327"/>
        <v>13.744455410225921</v>
      </c>
      <c r="O181" s="176">
        <f t="shared" si="262"/>
        <v>3.55</v>
      </c>
      <c r="P181" s="221">
        <f t="shared" si="328"/>
        <v>2.7488910820451844</v>
      </c>
      <c r="Q181" s="221">
        <f t="shared" si="329"/>
        <v>5</v>
      </c>
      <c r="R181" s="221"/>
      <c r="S181" s="176">
        <f t="shared" si="330"/>
        <v>48.34322741631464</v>
      </c>
      <c r="T181" s="546">
        <f t="shared" si="331"/>
        <v>5</v>
      </c>
      <c r="U181" s="221">
        <f t="shared" si="332"/>
        <v>1.0844320947295776</v>
      </c>
      <c r="V181" s="221">
        <f t="shared" si="333"/>
        <v>0.33004455056987142</v>
      </c>
      <c r="W181" s="221">
        <f t="shared" si="334"/>
        <v>0.71344216758524837</v>
      </c>
      <c r="X181" s="201">
        <f t="shared" si="335"/>
        <v>350</v>
      </c>
      <c r="Y181" s="451">
        <f t="shared" si="303"/>
        <v>350</v>
      </c>
      <c r="AA181" s="221">
        <f t="shared" si="336"/>
        <v>2.9692542891116021</v>
      </c>
      <c r="AB181" s="177">
        <f t="shared" si="337"/>
        <v>1.9534567691523697</v>
      </c>
      <c r="AC181" s="177">
        <f t="shared" si="338"/>
        <v>2.0301084616399181</v>
      </c>
      <c r="AD181" s="177"/>
      <c r="AE181" s="177">
        <f t="shared" si="339"/>
        <v>0.53947368421052622</v>
      </c>
      <c r="AF181" s="555">
        <f t="shared" si="340"/>
        <v>1604.997025580012</v>
      </c>
      <c r="AG181" s="538">
        <f t="shared" si="341"/>
        <v>0.15482894736842101</v>
      </c>
      <c r="AI181" s="177">
        <f t="shared" si="342"/>
        <v>1.7559694107325934</v>
      </c>
      <c r="AJ181" s="177">
        <f t="shared" si="343"/>
        <v>1.7559694107325934</v>
      </c>
      <c r="AK181" s="177">
        <f t="shared" si="344"/>
        <v>1.8239796071550622</v>
      </c>
      <c r="AM181" s="555">
        <f t="shared" si="345"/>
        <v>710</v>
      </c>
      <c r="AN181" s="469">
        <f t="shared" si="346"/>
        <v>350</v>
      </c>
      <c r="AP181">
        <f t="shared" si="347"/>
        <v>710</v>
      </c>
      <c r="AQ181">
        <f t="shared" si="348"/>
        <v>350</v>
      </c>
      <c r="AS181" s="5">
        <f t="shared" si="263"/>
        <v>2.8571428571428572</v>
      </c>
      <c r="AT181" s="5">
        <f t="shared" si="349"/>
        <v>0.53442547283165887</v>
      </c>
      <c r="AU181" s="5">
        <f t="shared" si="304"/>
        <v>2.3227173843111983</v>
      </c>
      <c r="AV181" s="5"/>
      <c r="AW181" s="177">
        <f t="shared" si="305"/>
        <v>0.1870489154910806</v>
      </c>
      <c r="AX181" s="177">
        <f t="shared" si="259"/>
        <v>3.7771999999999997</v>
      </c>
      <c r="AY181" s="177">
        <f t="shared" si="260"/>
        <v>1.4275172368195499</v>
      </c>
      <c r="AZ181" s="177">
        <f t="shared" si="264"/>
        <v>2.6459925684788557</v>
      </c>
      <c r="BA181" s="469">
        <f t="shared" si="350"/>
        <v>101.93868054563885</v>
      </c>
      <c r="BB181" s="469">
        <f t="shared" si="351"/>
        <v>5.3997481181852542</v>
      </c>
      <c r="BC181" s="5">
        <f t="shared" ref="BC181:BC244" si="359">H181/Efficiency/I181*AU181/Vinripple1</f>
        <v>0.33195035081742158</v>
      </c>
      <c r="BD181" s="469">
        <f t="shared" si="352"/>
        <v>40.348534851713779</v>
      </c>
      <c r="BF181" s="177">
        <f t="shared" si="265"/>
        <v>0.43846397430116812</v>
      </c>
      <c r="BG181" s="177">
        <f t="shared" si="261"/>
        <v>1.8281781828361787</v>
      </c>
      <c r="BI181" s="538">
        <f t="shared" si="306"/>
        <v>2.1147572243597295E-2</v>
      </c>
      <c r="BJ181" s="538">
        <f t="shared" si="307"/>
        <v>0.10337391920982779</v>
      </c>
      <c r="BK181" s="538">
        <f t="shared" si="308"/>
        <v>1.7499999999999998E-2</v>
      </c>
      <c r="BL181" s="538">
        <f t="shared" si="309"/>
        <v>8.9117405999999996E-2</v>
      </c>
      <c r="BM181">
        <f t="shared" si="310"/>
        <v>6.6699999999999997E-3</v>
      </c>
      <c r="BN181">
        <f t="shared" si="353"/>
        <v>6.3E-5</v>
      </c>
      <c r="BO181" s="538">
        <f t="shared" si="354"/>
        <v>0.24166974911057698</v>
      </c>
      <c r="BP181" s="469">
        <f t="shared" si="311"/>
        <v>237.80889745342509</v>
      </c>
      <c r="BQ181" s="538">
        <f t="shared" si="355"/>
        <v>0.52656678977034199</v>
      </c>
      <c r="BT181" s="469">
        <f t="shared" si="312"/>
        <v>526.56678977034198</v>
      </c>
      <c r="BU181" s="538">
        <f t="shared" si="313"/>
        <v>1.9225065675997542E-2</v>
      </c>
      <c r="BV181" s="538">
        <f t="shared" si="314"/>
        <v>0.10026706404594578</v>
      </c>
      <c r="BW181" s="538">
        <f t="shared" si="315"/>
        <v>0</v>
      </c>
      <c r="BX181" s="538"/>
      <c r="BY181" s="538">
        <f t="shared" si="316"/>
        <v>5.3960000000000001E-2</v>
      </c>
      <c r="BZ181" s="469">
        <f t="shared" si="317"/>
        <v>173.45212972194332</v>
      </c>
      <c r="CA181" s="177">
        <f t="shared" si="318"/>
        <v>0.93782781694571038</v>
      </c>
      <c r="CB181" s="5">
        <f t="shared" si="319"/>
        <v>3.55</v>
      </c>
      <c r="CC181" s="177">
        <f t="shared" si="320"/>
        <v>0.79102856544439137</v>
      </c>
      <c r="CD181" s="5">
        <f t="shared" si="321"/>
        <v>79.102856544439135</v>
      </c>
      <c r="CG181" s="571">
        <f t="shared" si="356"/>
        <v>-50</v>
      </c>
      <c r="CH181">
        <f t="shared" si="357"/>
        <v>-50</v>
      </c>
    </row>
    <row r="182" spans="5:86" x14ac:dyDescent="0.2">
      <c r="E182" s="174">
        <v>72</v>
      </c>
      <c r="F182" s="221">
        <f t="shared" si="358"/>
        <v>0.72</v>
      </c>
      <c r="G182" s="221"/>
      <c r="H182" s="221">
        <f t="shared" si="322"/>
        <v>3.5999999999999996</v>
      </c>
      <c r="I182" s="551">
        <f t="shared" si="323"/>
        <v>23</v>
      </c>
      <c r="J182" s="451">
        <f t="shared" si="324"/>
        <v>10.64</v>
      </c>
      <c r="K182" s="451">
        <f t="shared" si="325"/>
        <v>33.64</v>
      </c>
      <c r="L182" s="451"/>
      <c r="M182" s="221">
        <f t="shared" si="326"/>
        <v>0.31629013079667062</v>
      </c>
      <c r="N182" s="176">
        <f t="shared" si="327"/>
        <v>13.744455410225921</v>
      </c>
      <c r="O182" s="176">
        <f t="shared" si="262"/>
        <v>3.5999999999999996</v>
      </c>
      <c r="P182" s="221">
        <f t="shared" si="328"/>
        <v>2.7488910820451844</v>
      </c>
      <c r="Q182" s="221">
        <f t="shared" si="329"/>
        <v>5</v>
      </c>
      <c r="R182" s="221"/>
      <c r="S182" s="176">
        <f t="shared" si="330"/>
        <v>47.514432030835614</v>
      </c>
      <c r="T182" s="546">
        <f t="shared" si="331"/>
        <v>5</v>
      </c>
      <c r="U182" s="221">
        <f t="shared" si="332"/>
        <v>1.099705786204642</v>
      </c>
      <c r="V182" s="221">
        <f t="shared" si="333"/>
        <v>0.33469306536663013</v>
      </c>
      <c r="W182" s="221">
        <f t="shared" si="334"/>
        <v>0.72349064881884328</v>
      </c>
      <c r="X182" s="201">
        <f t="shared" si="335"/>
        <v>350</v>
      </c>
      <c r="Y182" s="451">
        <f t="shared" si="303"/>
        <v>350</v>
      </c>
      <c r="AA182" s="221">
        <f t="shared" si="336"/>
        <v>2.9692542891116021</v>
      </c>
      <c r="AB182" s="177">
        <f t="shared" si="337"/>
        <v>1.9534567691523697</v>
      </c>
      <c r="AC182" s="177">
        <f t="shared" si="338"/>
        <v>2.0301084616399181</v>
      </c>
      <c r="AD182" s="177"/>
      <c r="AE182" s="177">
        <f t="shared" si="339"/>
        <v>0.53947368421052622</v>
      </c>
      <c r="AF182" s="555">
        <f t="shared" si="340"/>
        <v>1627.6026174895899</v>
      </c>
      <c r="AG182" s="538">
        <f t="shared" si="341"/>
        <v>0.15482894736842101</v>
      </c>
      <c r="AI182" s="177">
        <f t="shared" si="342"/>
        <v>1.7682921542712176</v>
      </c>
      <c r="AJ182" s="177">
        <f t="shared" si="343"/>
        <v>1.7682921542712176</v>
      </c>
      <c r="AK182" s="177">
        <f t="shared" si="344"/>
        <v>1.8321947695141452</v>
      </c>
      <c r="AM182" s="555">
        <f t="shared" si="345"/>
        <v>720</v>
      </c>
      <c r="AN182" s="469">
        <f t="shared" si="346"/>
        <v>350</v>
      </c>
      <c r="AP182">
        <f t="shared" si="347"/>
        <v>720</v>
      </c>
      <c r="AQ182">
        <f t="shared" si="348"/>
        <v>350</v>
      </c>
      <c r="AS182" s="5">
        <f t="shared" si="263"/>
        <v>2.8571428571428572</v>
      </c>
      <c r="AT182" s="5">
        <f t="shared" si="349"/>
        <v>0.53817587303906622</v>
      </c>
      <c r="AU182" s="5">
        <f t="shared" si="304"/>
        <v>2.318966984103791</v>
      </c>
      <c r="AV182" s="5"/>
      <c r="AW182" s="177">
        <f t="shared" si="305"/>
        <v>0.18836155556367318</v>
      </c>
      <c r="AX182" s="177">
        <f t="shared" si="259"/>
        <v>3.8304000000000009</v>
      </c>
      <c r="AY182" s="177">
        <f t="shared" si="260"/>
        <v>1.4352138934016523</v>
      </c>
      <c r="AZ182" s="177">
        <f t="shared" si="264"/>
        <v>2.6688704851661043</v>
      </c>
      <c r="BA182" s="469">
        <f t="shared" si="350"/>
        <v>101.93868054563885</v>
      </c>
      <c r="BB182" s="469">
        <f t="shared" si="351"/>
        <v>5.5225023298298659</v>
      </c>
      <c r="BC182" s="5">
        <f t="shared" si="359"/>
        <v>0.33608217160924497</v>
      </c>
      <c r="BD182" s="469">
        <f t="shared" si="352"/>
        <v>40.851599723544183</v>
      </c>
      <c r="BF182" s="177">
        <f t="shared" si="265"/>
        <v>0.44308752914593685</v>
      </c>
      <c r="BG182" s="177">
        <f t="shared" si="261"/>
        <v>1.8395207591120715</v>
      </c>
      <c r="BI182" s="538">
        <f t="shared" si="306"/>
        <v>2.1595921433311658E-2</v>
      </c>
      <c r="BJ182" s="538">
        <f t="shared" si="307"/>
        <v>0.10409935912194658</v>
      </c>
      <c r="BK182" s="538">
        <f t="shared" si="308"/>
        <v>1.7499999999999998E-2</v>
      </c>
      <c r="BL182" s="538">
        <f t="shared" si="309"/>
        <v>8.9117405999999996E-2</v>
      </c>
      <c r="BM182">
        <f t="shared" si="310"/>
        <v>6.6699999999999997E-3</v>
      </c>
      <c r="BN182">
        <f t="shared" si="353"/>
        <v>6.3E-5</v>
      </c>
      <c r="BO182" s="538">
        <f t="shared" si="354"/>
        <v>0.24292907409177772</v>
      </c>
      <c r="BP182" s="469">
        <f t="shared" si="311"/>
        <v>238.98268655525823</v>
      </c>
      <c r="BQ182" s="538">
        <f t="shared" si="355"/>
        <v>0.53356511801280482</v>
      </c>
      <c r="BT182" s="469">
        <f t="shared" si="312"/>
        <v>533.56511801280487</v>
      </c>
      <c r="BU182" s="538">
        <f t="shared" si="313"/>
        <v>1.9632655848465144E-2</v>
      </c>
      <c r="BV182" s="538">
        <f t="shared" si="314"/>
        <v>0.10151509869612756</v>
      </c>
      <c r="BW182" s="538">
        <f t="shared" si="315"/>
        <v>0</v>
      </c>
      <c r="BX182" s="538"/>
      <c r="BY182" s="538">
        <f t="shared" si="316"/>
        <v>5.4720000000000019E-2</v>
      </c>
      <c r="BZ182" s="469">
        <f t="shared" si="317"/>
        <v>175.86775454459271</v>
      </c>
      <c r="CA182" s="177">
        <f t="shared" si="318"/>
        <v>0.94841555911265574</v>
      </c>
      <c r="CB182" s="5">
        <f t="shared" si="319"/>
        <v>3.5999999999999996</v>
      </c>
      <c r="CC182" s="177">
        <f t="shared" si="320"/>
        <v>0.7914844088481483</v>
      </c>
      <c r="CD182" s="5">
        <f t="shared" si="321"/>
        <v>79.148440884814832</v>
      </c>
      <c r="CG182" s="571">
        <f t="shared" si="356"/>
        <v>-50</v>
      </c>
      <c r="CH182">
        <f t="shared" si="357"/>
        <v>-50</v>
      </c>
    </row>
    <row r="183" spans="5:86" x14ac:dyDescent="0.2">
      <c r="E183" s="174">
        <v>73</v>
      </c>
      <c r="F183" s="221">
        <f t="shared" si="358"/>
        <v>0.73</v>
      </c>
      <c r="G183" s="221"/>
      <c r="H183" s="221">
        <f t="shared" si="322"/>
        <v>3.65</v>
      </c>
      <c r="I183" s="551">
        <f t="shared" si="323"/>
        <v>23</v>
      </c>
      <c r="J183" s="451">
        <f t="shared" si="324"/>
        <v>10.64</v>
      </c>
      <c r="K183" s="451">
        <f t="shared" si="325"/>
        <v>33.64</v>
      </c>
      <c r="L183" s="451"/>
      <c r="M183" s="221">
        <f t="shared" si="326"/>
        <v>0.31629013079667062</v>
      </c>
      <c r="N183" s="176">
        <f t="shared" si="327"/>
        <v>13.744455410225921</v>
      </c>
      <c r="O183" s="176">
        <f t="shared" si="262"/>
        <v>3.65</v>
      </c>
      <c r="P183" s="221">
        <f t="shared" si="328"/>
        <v>2.7488910820451844</v>
      </c>
      <c r="Q183" s="221">
        <f t="shared" si="329"/>
        <v>5</v>
      </c>
      <c r="R183" s="221"/>
      <c r="S183" s="176">
        <f t="shared" si="330"/>
        <v>46.708387595946277</v>
      </c>
      <c r="T183" s="546">
        <f t="shared" si="331"/>
        <v>5</v>
      </c>
      <c r="U183" s="221">
        <f t="shared" si="332"/>
        <v>1.1149794776797066</v>
      </c>
      <c r="V183" s="221">
        <f t="shared" si="333"/>
        <v>0.33934158016338895</v>
      </c>
      <c r="W183" s="221">
        <f t="shared" si="334"/>
        <v>0.73353913005243843</v>
      </c>
      <c r="X183" s="201">
        <f t="shared" si="335"/>
        <v>350</v>
      </c>
      <c r="Y183" s="451">
        <f t="shared" si="303"/>
        <v>350</v>
      </c>
      <c r="AA183" s="221">
        <f t="shared" si="336"/>
        <v>2.9692542891116021</v>
      </c>
      <c r="AB183" s="177">
        <f t="shared" si="337"/>
        <v>1.9534567691523697</v>
      </c>
      <c r="AC183" s="177">
        <f t="shared" si="338"/>
        <v>2.0301084616399181</v>
      </c>
      <c r="AD183" s="177"/>
      <c r="AE183" s="177">
        <f t="shared" si="339"/>
        <v>0.53947368421052622</v>
      </c>
      <c r="AF183" s="555">
        <f t="shared" si="340"/>
        <v>1650.2082093991673</v>
      </c>
      <c r="AG183" s="538">
        <f t="shared" si="341"/>
        <v>0.15482894736842101</v>
      </c>
      <c r="AI183" s="177">
        <f t="shared" si="342"/>
        <v>1.7805296162338089</v>
      </c>
      <c r="AJ183" s="177">
        <f t="shared" si="343"/>
        <v>1.7805296162338089</v>
      </c>
      <c r="AK183" s="177">
        <f t="shared" si="344"/>
        <v>1.8403530774892061</v>
      </c>
      <c r="AM183" s="555">
        <f t="shared" si="345"/>
        <v>730</v>
      </c>
      <c r="AN183" s="469">
        <f t="shared" si="346"/>
        <v>350</v>
      </c>
      <c r="AP183">
        <f t="shared" si="347"/>
        <v>730</v>
      </c>
      <c r="AQ183">
        <f t="shared" si="348"/>
        <v>350</v>
      </c>
      <c r="AS183" s="5">
        <f t="shared" si="263"/>
        <v>2.8571428571428572</v>
      </c>
      <c r="AT183" s="5">
        <f t="shared" si="349"/>
        <v>0.54190031798420268</v>
      </c>
      <c r="AU183" s="5">
        <f t="shared" si="304"/>
        <v>2.3152425391586546</v>
      </c>
      <c r="AV183" s="5"/>
      <c r="AW183" s="177">
        <f t="shared" si="305"/>
        <v>0.18966511129447094</v>
      </c>
      <c r="AX183" s="177">
        <f t="shared" si="259"/>
        <v>3.8836000000000004</v>
      </c>
      <c r="AY183" s="177">
        <f t="shared" si="260"/>
        <v>1.4428252684077219</v>
      </c>
      <c r="AZ183" s="177">
        <f t="shared" si="264"/>
        <v>2.6916634224779536</v>
      </c>
      <c r="BA183" s="469">
        <f t="shared" si="350"/>
        <v>101.93868054563885</v>
      </c>
      <c r="BB183" s="469">
        <f t="shared" si="351"/>
        <v>5.6465538031758014</v>
      </c>
      <c r="BC183" s="5">
        <f t="shared" si="359"/>
        <v>0.34020270804867503</v>
      </c>
      <c r="BD183" s="469">
        <f t="shared" si="352"/>
        <v>41.35331047308739</v>
      </c>
      <c r="BF183" s="177">
        <f t="shared" si="265"/>
        <v>0.44769505724144848</v>
      </c>
      <c r="BG183" s="177">
        <f t="shared" si="261"/>
        <v>1.8507631296127349</v>
      </c>
      <c r="BI183" s="538">
        <f t="shared" si="306"/>
        <v>2.204739507062662E-2</v>
      </c>
      <c r="BJ183" s="538">
        <f t="shared" si="307"/>
        <v>0.10481977850768434</v>
      </c>
      <c r="BK183" s="538">
        <f t="shared" si="308"/>
        <v>1.7499999999999998E-2</v>
      </c>
      <c r="BL183" s="538">
        <f t="shared" si="309"/>
        <v>8.9117405999999996E-2</v>
      </c>
      <c r="BM183">
        <f t="shared" si="310"/>
        <v>6.6699999999999997E-3</v>
      </c>
      <c r="BN183">
        <f t="shared" si="353"/>
        <v>6.3E-5</v>
      </c>
      <c r="BO183" s="538">
        <f t="shared" si="354"/>
        <v>0.24418726930781143</v>
      </c>
      <c r="BP183" s="469">
        <f t="shared" si="311"/>
        <v>240.15457957831094</v>
      </c>
      <c r="BQ183" s="538">
        <f t="shared" si="355"/>
        <v>0.54055476597175189</v>
      </c>
      <c r="BT183" s="469">
        <f t="shared" si="312"/>
        <v>540.55476597175186</v>
      </c>
      <c r="BU183" s="538">
        <f t="shared" si="313"/>
        <v>2.0043086427842385E-2</v>
      </c>
      <c r="BV183" s="538">
        <f t="shared" si="314"/>
        <v>0.10275972485801775</v>
      </c>
      <c r="BW183" s="538">
        <f t="shared" si="315"/>
        <v>0</v>
      </c>
      <c r="BX183" s="538"/>
      <c r="BY183" s="538">
        <f t="shared" si="316"/>
        <v>5.5480000000000008E-2</v>
      </c>
      <c r="BZ183" s="469">
        <f t="shared" si="317"/>
        <v>178.28281128586016</v>
      </c>
      <c r="CA183" s="177">
        <f t="shared" si="318"/>
        <v>0.95899215683592298</v>
      </c>
      <c r="CB183" s="5">
        <f t="shared" si="319"/>
        <v>3.65</v>
      </c>
      <c r="CC183" s="177">
        <f t="shared" si="320"/>
        <v>0.79193018252079828</v>
      </c>
      <c r="CD183" s="5">
        <f t="shared" si="321"/>
        <v>79.193018252079824</v>
      </c>
      <c r="CG183" s="571">
        <f t="shared" si="356"/>
        <v>-50</v>
      </c>
      <c r="CH183">
        <f t="shared" si="357"/>
        <v>-50</v>
      </c>
    </row>
    <row r="184" spans="5:86" x14ac:dyDescent="0.2">
      <c r="E184" s="174">
        <v>74</v>
      </c>
      <c r="F184" s="221">
        <f t="shared" si="358"/>
        <v>0.74</v>
      </c>
      <c r="G184" s="221"/>
      <c r="H184" s="221">
        <f t="shared" si="322"/>
        <v>3.7</v>
      </c>
      <c r="I184" s="551">
        <f t="shared" si="323"/>
        <v>23</v>
      </c>
      <c r="J184" s="451">
        <f t="shared" si="324"/>
        <v>10.64</v>
      </c>
      <c r="K184" s="451">
        <f t="shared" si="325"/>
        <v>33.64</v>
      </c>
      <c r="L184" s="451"/>
      <c r="M184" s="221">
        <f t="shared" si="326"/>
        <v>0.31629013079667062</v>
      </c>
      <c r="N184" s="176">
        <f t="shared" si="327"/>
        <v>13.744455410225921</v>
      </c>
      <c r="O184" s="176">
        <f t="shared" si="262"/>
        <v>3.7</v>
      </c>
      <c r="P184" s="221">
        <f t="shared" si="328"/>
        <v>2.7488910820451844</v>
      </c>
      <c r="Q184" s="221">
        <f t="shared" si="329"/>
        <v>5</v>
      </c>
      <c r="R184" s="221"/>
      <c r="S184" s="176">
        <f t="shared" si="330"/>
        <v>45.92417218947341</v>
      </c>
      <c r="T184" s="546">
        <f t="shared" si="331"/>
        <v>5</v>
      </c>
      <c r="U184" s="221">
        <f t="shared" si="332"/>
        <v>1.130253169154771</v>
      </c>
      <c r="V184" s="221">
        <f t="shared" si="333"/>
        <v>0.34399009496014765</v>
      </c>
      <c r="W184" s="221">
        <f t="shared" si="334"/>
        <v>0.74358761128603346</v>
      </c>
      <c r="X184" s="201">
        <f t="shared" si="335"/>
        <v>350</v>
      </c>
      <c r="Y184" s="451">
        <f t="shared" si="303"/>
        <v>350</v>
      </c>
      <c r="AA184" s="221">
        <f t="shared" si="336"/>
        <v>2.9692542891116021</v>
      </c>
      <c r="AB184" s="177">
        <f t="shared" si="337"/>
        <v>1.9534567691523697</v>
      </c>
      <c r="AC184" s="177">
        <f t="shared" si="338"/>
        <v>2.0301084616399181</v>
      </c>
      <c r="AD184" s="177"/>
      <c r="AE184" s="177">
        <f t="shared" si="339"/>
        <v>0.53947368421052622</v>
      </c>
      <c r="AF184" s="555">
        <f t="shared" si="340"/>
        <v>1672.813801308745</v>
      </c>
      <c r="AG184" s="538">
        <f t="shared" si="341"/>
        <v>0.15482894736842101</v>
      </c>
      <c r="AI184" s="177">
        <f t="shared" si="342"/>
        <v>1.7926835431035468</v>
      </c>
      <c r="AJ184" s="177">
        <f t="shared" si="343"/>
        <v>1.7926835431035468</v>
      </c>
      <c r="AK184" s="177">
        <f t="shared" si="344"/>
        <v>1.8484556954023645</v>
      </c>
      <c r="AM184" s="555">
        <f t="shared" si="345"/>
        <v>740</v>
      </c>
      <c r="AN184" s="469">
        <f t="shared" si="346"/>
        <v>350</v>
      </c>
      <c r="AP184">
        <f t="shared" si="347"/>
        <v>740</v>
      </c>
      <c r="AQ184">
        <f t="shared" si="348"/>
        <v>350</v>
      </c>
      <c r="AS184" s="5">
        <f t="shared" si="263"/>
        <v>2.8571428571428572</v>
      </c>
      <c r="AT184" s="5">
        <f t="shared" si="349"/>
        <v>0.54559933920542736</v>
      </c>
      <c r="AU184" s="5">
        <f t="shared" si="304"/>
        <v>2.3115435179374297</v>
      </c>
      <c r="AV184" s="5"/>
      <c r="AW184" s="177">
        <f t="shared" si="305"/>
        <v>0.19095976872189957</v>
      </c>
      <c r="AX184" s="177">
        <f t="shared" si="259"/>
        <v>3.9368000000000007</v>
      </c>
      <c r="AY184" s="177">
        <f t="shared" si="260"/>
        <v>1.450353108320938</v>
      </c>
      <c r="AZ184" s="177">
        <f t="shared" si="264"/>
        <v>2.7143734704423821</v>
      </c>
      <c r="BA184" s="469">
        <f t="shared" si="350"/>
        <v>101.93868054563885</v>
      </c>
      <c r="BB184" s="469">
        <f t="shared" si="351"/>
        <v>5.7719025382230615</v>
      </c>
      <c r="BC184" s="5">
        <f t="shared" si="359"/>
        <v>0.34431203769599394</v>
      </c>
      <c r="BD184" s="469">
        <f t="shared" si="352"/>
        <v>41.853676407577247</v>
      </c>
      <c r="BF184" s="177">
        <f t="shared" si="265"/>
        <v>0.4522868325661879</v>
      </c>
      <c r="BG184" s="177">
        <f t="shared" si="261"/>
        <v>1.8619073192029088</v>
      </c>
      <c r="BI184" s="538">
        <f t="shared" si="306"/>
        <v>2.2501971680403039E-2</v>
      </c>
      <c r="BJ184" s="538">
        <f t="shared" si="307"/>
        <v>0.10553528018250581</v>
      </c>
      <c r="BK184" s="538">
        <f t="shared" si="308"/>
        <v>1.7499999999999998E-2</v>
      </c>
      <c r="BL184" s="538">
        <f t="shared" si="309"/>
        <v>8.9117405999999996E-2</v>
      </c>
      <c r="BM184">
        <f t="shared" si="310"/>
        <v>6.6699999999999997E-3</v>
      </c>
      <c r="BN184">
        <f t="shared" si="353"/>
        <v>6.3E-5</v>
      </c>
      <c r="BO184" s="538">
        <f t="shared" si="354"/>
        <v>0.24544441445180665</v>
      </c>
      <c r="BP184" s="469">
        <f t="shared" si="311"/>
        <v>241.32465786290885</v>
      </c>
      <c r="BQ184" s="538">
        <f t="shared" si="355"/>
        <v>0.54753579330902413</v>
      </c>
      <c r="BT184" s="469">
        <f t="shared" si="312"/>
        <v>547.53579330902414</v>
      </c>
      <c r="BU184" s="538">
        <f t="shared" si="313"/>
        <v>2.0456337891275489E-2</v>
      </c>
      <c r="BV184" s="538">
        <f t="shared" si="314"/>
        <v>0.10400096595904086</v>
      </c>
      <c r="BW184" s="538">
        <f t="shared" si="315"/>
        <v>0</v>
      </c>
      <c r="BX184" s="538"/>
      <c r="BY184" s="538">
        <f t="shared" si="316"/>
        <v>5.6240000000000019E-2</v>
      </c>
      <c r="BZ184" s="469">
        <f t="shared" si="317"/>
        <v>180.69730385031639</v>
      </c>
      <c r="CA184" s="177">
        <f t="shared" si="318"/>
        <v>0.96955775502224939</v>
      </c>
      <c r="CB184" s="5">
        <f t="shared" si="319"/>
        <v>3.7</v>
      </c>
      <c r="CC184" s="177">
        <f t="shared" si="320"/>
        <v>0.79236625695881779</v>
      </c>
      <c r="CD184" s="5">
        <f t="shared" si="321"/>
        <v>79.236625695881784</v>
      </c>
      <c r="CG184" s="571">
        <f t="shared" si="356"/>
        <v>-50</v>
      </c>
      <c r="CH184">
        <f t="shared" si="357"/>
        <v>-50</v>
      </c>
    </row>
    <row r="185" spans="5:86" x14ac:dyDescent="0.2">
      <c r="E185" s="174">
        <v>75</v>
      </c>
      <c r="F185" s="221">
        <f t="shared" si="358"/>
        <v>0.75</v>
      </c>
      <c r="G185" s="221"/>
      <c r="H185" s="221">
        <f t="shared" si="322"/>
        <v>3.75</v>
      </c>
      <c r="I185" s="551">
        <f t="shared" si="323"/>
        <v>23</v>
      </c>
      <c r="J185" s="451">
        <f t="shared" si="324"/>
        <v>10.64</v>
      </c>
      <c r="K185" s="451">
        <f t="shared" si="325"/>
        <v>33.64</v>
      </c>
      <c r="L185" s="451"/>
      <c r="M185" s="221">
        <f t="shared" si="326"/>
        <v>0.31629013079667062</v>
      </c>
      <c r="N185" s="176">
        <f t="shared" si="327"/>
        <v>13.744455410225921</v>
      </c>
      <c r="O185" s="176">
        <f t="shared" si="262"/>
        <v>3.75</v>
      </c>
      <c r="P185" s="221">
        <f t="shared" si="328"/>
        <v>2.7488910820451844</v>
      </c>
      <c r="Q185" s="221">
        <f t="shared" si="329"/>
        <v>5</v>
      </c>
      <c r="R185" s="221"/>
      <c r="S185" s="176">
        <f t="shared" si="330"/>
        <v>45.160913063351963</v>
      </c>
      <c r="T185" s="546">
        <f t="shared" si="331"/>
        <v>5</v>
      </c>
      <c r="U185" s="221">
        <f t="shared" si="332"/>
        <v>1.1455268606298354</v>
      </c>
      <c r="V185" s="221">
        <f t="shared" si="333"/>
        <v>0.34863860975690636</v>
      </c>
      <c r="W185" s="221">
        <f t="shared" si="334"/>
        <v>0.75363609251962849</v>
      </c>
      <c r="X185" s="201">
        <f t="shared" si="335"/>
        <v>350</v>
      </c>
      <c r="Y185" s="451">
        <f t="shared" si="303"/>
        <v>350</v>
      </c>
      <c r="AA185" s="221">
        <f t="shared" si="336"/>
        <v>2.9692542891116021</v>
      </c>
      <c r="AB185" s="177">
        <f t="shared" si="337"/>
        <v>1.9534567691523697</v>
      </c>
      <c r="AC185" s="177">
        <f t="shared" si="338"/>
        <v>2.0301084616399181</v>
      </c>
      <c r="AD185" s="177"/>
      <c r="AE185" s="177">
        <f t="shared" si="339"/>
        <v>0.53947368421052622</v>
      </c>
      <c r="AF185" s="555">
        <f t="shared" si="340"/>
        <v>1695.4193932183227</v>
      </c>
      <c r="AG185" s="538">
        <f t="shared" si="341"/>
        <v>0.15482894736842101</v>
      </c>
      <c r="AI185" s="177">
        <f t="shared" si="342"/>
        <v>1.8047556225547152</v>
      </c>
      <c r="AJ185" s="177">
        <f t="shared" si="343"/>
        <v>1.8047556225547152</v>
      </c>
      <c r="AK185" s="177">
        <f t="shared" si="344"/>
        <v>1.8565037483698101</v>
      </c>
      <c r="AM185" s="555">
        <f t="shared" si="345"/>
        <v>750</v>
      </c>
      <c r="AN185" s="469">
        <f t="shared" si="346"/>
        <v>350</v>
      </c>
      <c r="AP185">
        <f t="shared" si="347"/>
        <v>750</v>
      </c>
      <c r="AQ185">
        <f t="shared" si="348"/>
        <v>350</v>
      </c>
      <c r="AS185" s="5">
        <f t="shared" si="263"/>
        <v>2.8571428571428572</v>
      </c>
      <c r="AT185" s="5">
        <f t="shared" si="349"/>
        <v>0.54927345034273944</v>
      </c>
      <c r="AU185" s="5">
        <f t="shared" si="304"/>
        <v>2.3078694068001178</v>
      </c>
      <c r="AV185" s="5"/>
      <c r="AW185" s="177">
        <f t="shared" si="305"/>
        <v>0.19224570761995879</v>
      </c>
      <c r="AX185" s="177">
        <f t="shared" si="259"/>
        <v>3.9900000000000007</v>
      </c>
      <c r="AY185" s="177">
        <f t="shared" si="260"/>
        <v>1.4577991008155846</v>
      </c>
      <c r="AZ185" s="177">
        <f t="shared" si="264"/>
        <v>2.7370026485595602</v>
      </c>
      <c r="BA185" s="469">
        <f t="shared" si="350"/>
        <v>101.93868054563885</v>
      </c>
      <c r="BB185" s="469">
        <f t="shared" si="351"/>
        <v>5.8985485349716429</v>
      </c>
      <c r="BC185" s="5">
        <f t="shared" si="359"/>
        <v>0.34841023653383413</v>
      </c>
      <c r="BD185" s="469">
        <f t="shared" si="352"/>
        <v>42.352706644929668</v>
      </c>
      <c r="BF185" s="177">
        <f t="shared" si="265"/>
        <v>0.45686312078153229</v>
      </c>
      <c r="BG185" s="177">
        <f t="shared" si="261"/>
        <v>1.8729552846600956</v>
      </c>
      <c r="BI185" s="538">
        <f t="shared" si="306"/>
        <v>2.2959630224326507E-2</v>
      </c>
      <c r="BJ185" s="538">
        <f t="shared" si="307"/>
        <v>0.10624596349979609</v>
      </c>
      <c r="BK185" s="538">
        <f t="shared" si="308"/>
        <v>1.7499999999999998E-2</v>
      </c>
      <c r="BL185" s="538">
        <f t="shared" si="309"/>
        <v>8.9117405999999996E-2</v>
      </c>
      <c r="BM185">
        <f t="shared" si="310"/>
        <v>6.6699999999999997E-3</v>
      </c>
      <c r="BN185">
        <f t="shared" si="353"/>
        <v>6.3E-5</v>
      </c>
      <c r="BO185" s="538">
        <f t="shared" si="354"/>
        <v>0.24670058626107391</v>
      </c>
      <c r="BP185" s="469">
        <f t="shared" si="311"/>
        <v>242.49299972412257</v>
      </c>
      <c r="BQ185" s="538">
        <f t="shared" si="355"/>
        <v>0.55450825847288421</v>
      </c>
      <c r="BT185" s="469">
        <f t="shared" si="312"/>
        <v>554.50825847288422</v>
      </c>
      <c r="BU185" s="538">
        <f t="shared" si="313"/>
        <v>2.0872391113024098E-2</v>
      </c>
      <c r="BV185" s="538">
        <f t="shared" si="314"/>
        <v>0.10523884495008538</v>
      </c>
      <c r="BW185" s="538">
        <f t="shared" si="315"/>
        <v>0</v>
      </c>
      <c r="BX185" s="538"/>
      <c r="BY185" s="538">
        <f t="shared" si="316"/>
        <v>5.7000000000000009E-2</v>
      </c>
      <c r="BZ185" s="469">
        <f t="shared" si="317"/>
        <v>183.11123606310946</v>
      </c>
      <c r="CA185" s="177">
        <f t="shared" si="318"/>
        <v>0.98011249426011626</v>
      </c>
      <c r="CB185" s="5">
        <f t="shared" si="319"/>
        <v>3.75</v>
      </c>
      <c r="CC185" s="177">
        <f t="shared" si="320"/>
        <v>0.79279298421560573</v>
      </c>
      <c r="CD185" s="5">
        <f t="shared" si="321"/>
        <v>79.279298421560568</v>
      </c>
      <c r="CG185" s="571">
        <f t="shared" si="356"/>
        <v>-50</v>
      </c>
      <c r="CH185">
        <f t="shared" si="357"/>
        <v>-50</v>
      </c>
    </row>
    <row r="186" spans="5:86" x14ac:dyDescent="0.2">
      <c r="E186" s="174">
        <v>76</v>
      </c>
      <c r="F186" s="221">
        <f t="shared" si="358"/>
        <v>0.76</v>
      </c>
      <c r="G186" s="221"/>
      <c r="H186" s="221">
        <f t="shared" si="322"/>
        <v>3.8</v>
      </c>
      <c r="I186" s="551">
        <f t="shared" si="323"/>
        <v>23</v>
      </c>
      <c r="J186" s="451">
        <f t="shared" si="324"/>
        <v>10.64</v>
      </c>
      <c r="K186" s="451">
        <f t="shared" si="325"/>
        <v>33.64</v>
      </c>
      <c r="L186" s="451"/>
      <c r="M186" s="221">
        <f t="shared" si="326"/>
        <v>0.31629013079667062</v>
      </c>
      <c r="N186" s="176">
        <f t="shared" si="327"/>
        <v>13.744455410225921</v>
      </c>
      <c r="O186" s="176">
        <f t="shared" si="262"/>
        <v>3.8</v>
      </c>
      <c r="P186" s="221">
        <f t="shared" si="328"/>
        <v>2.7488910820451844</v>
      </c>
      <c r="Q186" s="221">
        <f t="shared" si="329"/>
        <v>5</v>
      </c>
      <c r="R186" s="221"/>
      <c r="S186" s="176">
        <f t="shared" si="330"/>
        <v>44.417783408555856</v>
      </c>
      <c r="T186" s="546">
        <f t="shared" si="331"/>
        <v>5</v>
      </c>
      <c r="U186" s="221">
        <f t="shared" si="332"/>
        <v>1.1608005521048999</v>
      </c>
      <c r="V186" s="221">
        <f t="shared" si="333"/>
        <v>0.35328712455366518</v>
      </c>
      <c r="W186" s="221">
        <f t="shared" si="334"/>
        <v>0.76368457375322341</v>
      </c>
      <c r="X186" s="201">
        <f t="shared" si="335"/>
        <v>350</v>
      </c>
      <c r="Y186" s="451">
        <f t="shared" si="303"/>
        <v>350</v>
      </c>
      <c r="AA186" s="221">
        <f t="shared" si="336"/>
        <v>2.9692542891116021</v>
      </c>
      <c r="AB186" s="177">
        <f t="shared" si="337"/>
        <v>1.9534567691523697</v>
      </c>
      <c r="AC186" s="177">
        <f t="shared" si="338"/>
        <v>2.0301084616399181</v>
      </c>
      <c r="AD186" s="177"/>
      <c r="AE186" s="177">
        <f t="shared" si="339"/>
        <v>0.53947368421052622</v>
      </c>
      <c r="AF186" s="555">
        <f t="shared" si="340"/>
        <v>1718.0249851279002</v>
      </c>
      <c r="AG186" s="538">
        <f t="shared" si="341"/>
        <v>0.15482894736842101</v>
      </c>
      <c r="AI186" s="177">
        <f t="shared" si="342"/>
        <v>1.8167474861882784</v>
      </c>
      <c r="AJ186" s="177">
        <f t="shared" si="343"/>
        <v>1.8167474861882784</v>
      </c>
      <c r="AK186" s="177">
        <f t="shared" si="344"/>
        <v>1.8644983241255191</v>
      </c>
      <c r="AM186" s="555">
        <f t="shared" si="345"/>
        <v>760</v>
      </c>
      <c r="AN186" s="469">
        <f t="shared" si="346"/>
        <v>350</v>
      </c>
      <c r="AP186">
        <f t="shared" si="347"/>
        <v>760</v>
      </c>
      <c r="AQ186">
        <f t="shared" si="348"/>
        <v>350</v>
      </c>
      <c r="AS186" s="5">
        <f t="shared" si="263"/>
        <v>2.8571428571428572</v>
      </c>
      <c r="AT186" s="5">
        <f t="shared" si="349"/>
        <v>0.55292314797034547</v>
      </c>
      <c r="AU186" s="5">
        <f t="shared" si="304"/>
        <v>2.3042197091725116</v>
      </c>
      <c r="AV186" s="5"/>
      <c r="AW186" s="177">
        <f t="shared" si="305"/>
        <v>0.1935231017896209</v>
      </c>
      <c r="AX186" s="177">
        <f t="shared" si="259"/>
        <v>4.0432000000000006</v>
      </c>
      <c r="AY186" s="177">
        <f t="shared" si="260"/>
        <v>1.4651648774926265</v>
      </c>
      <c r="AZ186" s="177">
        <f t="shared" si="264"/>
        <v>2.7595529091027835</v>
      </c>
      <c r="BA186" s="469">
        <f t="shared" si="350"/>
        <v>101.93868054563885</v>
      </c>
      <c r="BB186" s="469">
        <f t="shared" si="351"/>
        <v>6.0264917934215489</v>
      </c>
      <c r="BC186" s="5">
        <f t="shared" si="359"/>
        <v>0.35249737901994938</v>
      </c>
      <c r="BD186" s="469">
        <f t="shared" si="352"/>
        <v>42.85041012007509</v>
      </c>
      <c r="BF186" s="177">
        <f t="shared" si="265"/>
        <v>0.46142417959159993</v>
      </c>
      <c r="BG186" s="177">
        <f t="shared" si="261"/>
        <v>1.88390891783939</v>
      </c>
      <c r="BI186" s="538">
        <f t="shared" si="306"/>
        <v>2.3420350086295918E-2</v>
      </c>
      <c r="BJ186" s="538">
        <f t="shared" si="307"/>
        <v>0.10695192451190397</v>
      </c>
      <c r="BK186" s="538">
        <f t="shared" si="308"/>
        <v>1.7499999999999998E-2</v>
      </c>
      <c r="BL186" s="538">
        <f t="shared" si="309"/>
        <v>8.9117405999999996E-2</v>
      </c>
      <c r="BM186">
        <f t="shared" si="310"/>
        <v>6.6699999999999997E-3</v>
      </c>
      <c r="BN186">
        <f t="shared" si="353"/>
        <v>6.3E-5</v>
      </c>
      <c r="BO186" s="538">
        <f t="shared" si="354"/>
        <v>0.24795585866126402</v>
      </c>
      <c r="BP186" s="469">
        <f t="shared" si="311"/>
        <v>243.65968059819986</v>
      </c>
      <c r="BQ186" s="538">
        <f t="shared" si="355"/>
        <v>0.56147221873860942</v>
      </c>
      <c r="BT186" s="469">
        <f t="shared" si="312"/>
        <v>561.4722187386094</v>
      </c>
      <c r="BU186" s="538">
        <f t="shared" si="313"/>
        <v>2.129122735117811E-2</v>
      </c>
      <c r="BV186" s="538">
        <f t="shared" si="314"/>
        <v>0.10647338432144345</v>
      </c>
      <c r="BW186" s="538">
        <f t="shared" si="315"/>
        <v>0</v>
      </c>
      <c r="BX186" s="538"/>
      <c r="BY186" s="538">
        <f t="shared" si="316"/>
        <v>5.7760000000000013E-2</v>
      </c>
      <c r="BZ186" s="469">
        <f t="shared" si="317"/>
        <v>185.52461167262155</v>
      </c>
      <c r="CA186" s="177">
        <f t="shared" si="318"/>
        <v>0.99065651100943086</v>
      </c>
      <c r="CB186" s="5">
        <f t="shared" si="319"/>
        <v>3.8</v>
      </c>
      <c r="CC186" s="177">
        <f t="shared" si="320"/>
        <v>0.79321069904870067</v>
      </c>
      <c r="CD186" s="5">
        <f t="shared" si="321"/>
        <v>79.321069904870072</v>
      </c>
      <c r="CG186" s="571">
        <f t="shared" si="356"/>
        <v>-50</v>
      </c>
      <c r="CH186">
        <f t="shared" si="357"/>
        <v>-50</v>
      </c>
    </row>
    <row r="187" spans="5:86" x14ac:dyDescent="0.2">
      <c r="E187" s="174">
        <v>77</v>
      </c>
      <c r="F187" s="221">
        <f t="shared" si="358"/>
        <v>0.77</v>
      </c>
      <c r="G187" s="221"/>
      <c r="H187" s="221">
        <f t="shared" si="322"/>
        <v>3.85</v>
      </c>
      <c r="I187" s="551">
        <f t="shared" si="323"/>
        <v>23</v>
      </c>
      <c r="J187" s="451">
        <f t="shared" si="324"/>
        <v>10.64</v>
      </c>
      <c r="K187" s="451">
        <f t="shared" si="325"/>
        <v>33.64</v>
      </c>
      <c r="L187" s="451"/>
      <c r="M187" s="221">
        <f t="shared" si="326"/>
        <v>0.31629013079667062</v>
      </c>
      <c r="N187" s="176">
        <f t="shared" si="327"/>
        <v>13.744455410225921</v>
      </c>
      <c r="O187" s="176">
        <f t="shared" si="262"/>
        <v>3.85</v>
      </c>
      <c r="P187" s="221">
        <f t="shared" si="328"/>
        <v>2.7488910820451844</v>
      </c>
      <c r="Q187" s="221">
        <f t="shared" si="329"/>
        <v>5</v>
      </c>
      <c r="R187" s="221"/>
      <c r="S187" s="176">
        <f t="shared" si="330"/>
        <v>43.693999372113097</v>
      </c>
      <c r="T187" s="546">
        <f t="shared" si="331"/>
        <v>5</v>
      </c>
      <c r="U187" s="221">
        <f t="shared" si="332"/>
        <v>1.1760742435799645</v>
      </c>
      <c r="V187" s="221">
        <f t="shared" si="333"/>
        <v>0.35793563935042394</v>
      </c>
      <c r="W187" s="221">
        <f t="shared" si="334"/>
        <v>0.77373305498681866</v>
      </c>
      <c r="X187" s="201">
        <f t="shared" si="335"/>
        <v>350</v>
      </c>
      <c r="Y187" s="451">
        <f t="shared" si="303"/>
        <v>350</v>
      </c>
      <c r="AA187" s="221">
        <f t="shared" si="336"/>
        <v>2.9692542891116021</v>
      </c>
      <c r="AB187" s="177">
        <f t="shared" si="337"/>
        <v>1.9534567691523697</v>
      </c>
      <c r="AC187" s="177">
        <f t="shared" si="338"/>
        <v>2.0301084616399181</v>
      </c>
      <c r="AD187" s="177"/>
      <c r="AE187" s="177">
        <f t="shared" si="339"/>
        <v>0.53947368421052622</v>
      </c>
      <c r="AF187" s="555">
        <f t="shared" si="340"/>
        <v>1740.6305770374781</v>
      </c>
      <c r="AG187" s="538">
        <f t="shared" si="341"/>
        <v>0.15482894736842101</v>
      </c>
      <c r="AI187" s="177">
        <f t="shared" si="342"/>
        <v>1.8286607121059939</v>
      </c>
      <c r="AJ187" s="177">
        <f t="shared" si="343"/>
        <v>1.8286607121059939</v>
      </c>
      <c r="AK187" s="177">
        <f t="shared" si="344"/>
        <v>1.8724404747373293</v>
      </c>
      <c r="AM187" s="555">
        <f t="shared" si="345"/>
        <v>770</v>
      </c>
      <c r="AN187" s="469">
        <f t="shared" si="346"/>
        <v>350</v>
      </c>
      <c r="AP187">
        <f t="shared" si="347"/>
        <v>770</v>
      </c>
      <c r="AQ187">
        <f t="shared" si="348"/>
        <v>350</v>
      </c>
      <c r="AS187" s="5">
        <f t="shared" si="263"/>
        <v>2.8571428571428572</v>
      </c>
      <c r="AT187" s="5">
        <f t="shared" si="349"/>
        <v>0.55654891238008519</v>
      </c>
      <c r="AU187" s="5">
        <f t="shared" si="304"/>
        <v>2.3005939447627721</v>
      </c>
      <c r="AV187" s="5"/>
      <c r="AW187" s="177">
        <f t="shared" si="305"/>
        <v>0.19479211933302981</v>
      </c>
      <c r="AX187" s="177">
        <f t="shared" si="259"/>
        <v>4.0964000000000009</v>
      </c>
      <c r="AY187" s="177">
        <f t="shared" si="260"/>
        <v>1.47245201645382</v>
      </c>
      <c r="AZ187" s="177">
        <f t="shared" si="264"/>
        <v>2.7820261402239557</v>
      </c>
      <c r="BA187" s="469">
        <f t="shared" si="350"/>
        <v>101.93868054563885</v>
      </c>
      <c r="BB187" s="469">
        <f t="shared" si="351"/>
        <v>6.1557323135727771</v>
      </c>
      <c r="BC187" s="5">
        <f t="shared" si="359"/>
        <v>0.35657353813754716</v>
      </c>
      <c r="BD187" s="469">
        <f t="shared" si="352"/>
        <v>43.346795590998418</v>
      </c>
      <c r="BF187" s="177">
        <f t="shared" si="265"/>
        <v>0.46597025908300627</v>
      </c>
      <c r="BG187" s="177">
        <f t="shared" si="261"/>
        <v>1.8947700486515857</v>
      </c>
      <c r="BI187" s="538">
        <f t="shared" si="306"/>
        <v>2.3884111058487239E-2</v>
      </c>
      <c r="BJ187" s="538">
        <f t="shared" si="307"/>
        <v>0.10765325612167986</v>
      </c>
      <c r="BK187" s="538">
        <f t="shared" si="308"/>
        <v>1.7499999999999998E-2</v>
      </c>
      <c r="BL187" s="538">
        <f t="shared" si="309"/>
        <v>8.9117405999999996E-2</v>
      </c>
      <c r="BM187">
        <f t="shared" si="310"/>
        <v>6.6699999999999997E-3</v>
      </c>
      <c r="BN187">
        <f t="shared" si="353"/>
        <v>6.3E-5</v>
      </c>
      <c r="BO187" s="538">
        <f t="shared" si="354"/>
        <v>0.24921030290180093</v>
      </c>
      <c r="BP187" s="469">
        <f t="shared" si="311"/>
        <v>244.82477318016709</v>
      </c>
      <c r="BQ187" s="538">
        <f t="shared" si="355"/>
        <v>0.56842773024720894</v>
      </c>
      <c r="BT187" s="469">
        <f t="shared" si="312"/>
        <v>568.42773024720896</v>
      </c>
      <c r="BU187" s="538">
        <f t="shared" si="313"/>
        <v>2.17128282349884E-2</v>
      </c>
      <c r="BV187" s="538">
        <f t="shared" si="314"/>
        <v>0.10770460611801397</v>
      </c>
      <c r="BW187" s="538">
        <f t="shared" si="315"/>
        <v>0</v>
      </c>
      <c r="BX187" s="538"/>
      <c r="BY187" s="538">
        <f t="shared" si="316"/>
        <v>5.8520000000000016E-2</v>
      </c>
      <c r="BZ187" s="469">
        <f t="shared" si="317"/>
        <v>187.9374343530024</v>
      </c>
      <c r="CA187" s="177">
        <f t="shared" si="318"/>
        <v>1.0011899377803783</v>
      </c>
      <c r="CB187" s="5">
        <f t="shared" si="319"/>
        <v>3.85</v>
      </c>
      <c r="CC187" s="177">
        <f t="shared" si="320"/>
        <v>0.79361971998184333</v>
      </c>
      <c r="CD187" s="5">
        <f t="shared" si="321"/>
        <v>79.36197199818433</v>
      </c>
      <c r="CG187" s="571">
        <f t="shared" si="356"/>
        <v>-50</v>
      </c>
      <c r="CH187">
        <f t="shared" si="357"/>
        <v>-50</v>
      </c>
    </row>
    <row r="188" spans="5:86" x14ac:dyDescent="0.2">
      <c r="E188" s="174">
        <v>78</v>
      </c>
      <c r="F188" s="221">
        <f t="shared" si="358"/>
        <v>0.78</v>
      </c>
      <c r="G188" s="221"/>
      <c r="H188" s="221">
        <f t="shared" si="322"/>
        <v>3.9000000000000004</v>
      </c>
      <c r="I188" s="551">
        <f t="shared" si="323"/>
        <v>23</v>
      </c>
      <c r="J188" s="451">
        <f t="shared" si="324"/>
        <v>10.64</v>
      </c>
      <c r="K188" s="451">
        <f t="shared" si="325"/>
        <v>33.64</v>
      </c>
      <c r="L188" s="451"/>
      <c r="M188" s="221">
        <f t="shared" si="326"/>
        <v>0.31629013079667062</v>
      </c>
      <c r="N188" s="176">
        <f t="shared" si="327"/>
        <v>13.744455410225921</v>
      </c>
      <c r="O188" s="176">
        <f t="shared" si="262"/>
        <v>3.9000000000000004</v>
      </c>
      <c r="P188" s="221">
        <f t="shared" si="328"/>
        <v>2.7488910820451844</v>
      </c>
      <c r="Q188" s="221">
        <f t="shared" si="329"/>
        <v>5</v>
      </c>
      <c r="R188" s="221"/>
      <c r="S188" s="176">
        <f t="shared" si="330"/>
        <v>42.988817303582344</v>
      </c>
      <c r="T188" s="546">
        <f t="shared" si="331"/>
        <v>5</v>
      </c>
      <c r="U188" s="221">
        <f t="shared" si="332"/>
        <v>1.1913479350550291</v>
      </c>
      <c r="V188" s="221">
        <f t="shared" si="333"/>
        <v>0.36258415414718276</v>
      </c>
      <c r="W188" s="221">
        <f t="shared" si="334"/>
        <v>0.7837815362204138</v>
      </c>
      <c r="X188" s="201">
        <f t="shared" si="335"/>
        <v>350</v>
      </c>
      <c r="Y188" s="451">
        <f t="shared" si="303"/>
        <v>350</v>
      </c>
      <c r="AA188" s="221">
        <f t="shared" si="336"/>
        <v>2.9692542891116021</v>
      </c>
      <c r="AB188" s="177">
        <f t="shared" si="337"/>
        <v>1.9534567691523697</v>
      </c>
      <c r="AC188" s="177">
        <f t="shared" si="338"/>
        <v>2.0301084616399181</v>
      </c>
      <c r="AD188" s="177"/>
      <c r="AE188" s="177">
        <f t="shared" si="339"/>
        <v>0.53947368421052622</v>
      </c>
      <c r="AF188" s="555">
        <f t="shared" si="340"/>
        <v>1763.2361689470556</v>
      </c>
      <c r="AG188" s="538">
        <f t="shared" si="341"/>
        <v>0.15482894736842101</v>
      </c>
      <c r="AI188" s="177">
        <f t="shared" si="342"/>
        <v>1.8404968273345574</v>
      </c>
      <c r="AJ188" s="177">
        <f t="shared" si="343"/>
        <v>1.8404968273345574</v>
      </c>
      <c r="AK188" s="177">
        <f t="shared" si="344"/>
        <v>1.8803312182230383</v>
      </c>
      <c r="AM188" s="555">
        <f t="shared" si="345"/>
        <v>780</v>
      </c>
      <c r="AN188" s="469">
        <f t="shared" si="346"/>
        <v>350</v>
      </c>
      <c r="AP188">
        <f t="shared" si="347"/>
        <v>780</v>
      </c>
      <c r="AQ188">
        <f t="shared" si="348"/>
        <v>350</v>
      </c>
      <c r="AS188" s="5">
        <f t="shared" si="263"/>
        <v>2.8571428571428572</v>
      </c>
      <c r="AT188" s="5">
        <f t="shared" si="349"/>
        <v>0.56015120831921317</v>
      </c>
      <c r="AU188" s="5">
        <f t="shared" si="304"/>
        <v>2.2969916488236439</v>
      </c>
      <c r="AV188" s="5"/>
      <c r="AW188" s="177">
        <f t="shared" si="305"/>
        <v>0.1960529229117246</v>
      </c>
      <c r="AX188" s="177">
        <f t="shared" si="259"/>
        <v>4.1496000000000004</v>
      </c>
      <c r="AY188" s="177">
        <f t="shared" si="260"/>
        <v>1.4796620447258617</v>
      </c>
      <c r="AZ188" s="177">
        <f t="shared" si="264"/>
        <v>2.8044241688775631</v>
      </c>
      <c r="BA188" s="469">
        <f t="shared" si="350"/>
        <v>101.93868054563885</v>
      </c>
      <c r="BB188" s="469">
        <f t="shared" si="351"/>
        <v>6.2862700954253299</v>
      </c>
      <c r="BC188" s="5">
        <f t="shared" si="359"/>
        <v>0.36063878544332578</v>
      </c>
      <c r="BD188" s="469">
        <f t="shared" si="352"/>
        <v>43.841871644503435</v>
      </c>
      <c r="BF188" s="177">
        <f t="shared" si="265"/>
        <v>0.47050160204589425</v>
      </c>
      <c r="BG188" s="177">
        <f t="shared" si="261"/>
        <v>1.9055404478678526</v>
      </c>
      <c r="BI188" s="538">
        <f t="shared" si="306"/>
        <v>2.4350893328052833E-2</v>
      </c>
      <c r="BJ188" s="538">
        <f t="shared" si="307"/>
        <v>0.1083500482251854</v>
      </c>
      <c r="BK188" s="538">
        <f t="shared" si="308"/>
        <v>1.7499999999999998E-2</v>
      </c>
      <c r="BL188" s="538">
        <f t="shared" si="309"/>
        <v>8.9117405999999996E-2</v>
      </c>
      <c r="BM188">
        <f t="shared" si="310"/>
        <v>6.6699999999999997E-3</v>
      </c>
      <c r="BN188">
        <f t="shared" si="353"/>
        <v>6.3E-5</v>
      </c>
      <c r="BO188" s="538">
        <f t="shared" si="354"/>
        <v>0.2504639876832217</v>
      </c>
      <c r="BP188" s="469">
        <f t="shared" si="311"/>
        <v>245.98834755323824</v>
      </c>
      <c r="BQ188" s="538">
        <f t="shared" si="355"/>
        <v>0.57537484804237593</v>
      </c>
      <c r="BT188" s="469">
        <f t="shared" si="312"/>
        <v>575.3748480423759</v>
      </c>
      <c r="BU188" s="538">
        <f t="shared" si="313"/>
        <v>2.2137175752775306E-2</v>
      </c>
      <c r="BV188" s="538">
        <f t="shared" si="314"/>
        <v>0.10893253195381249</v>
      </c>
      <c r="BW188" s="538">
        <f t="shared" si="315"/>
        <v>0</v>
      </c>
      <c r="BX188" s="538"/>
      <c r="BY188" s="538">
        <f t="shared" si="316"/>
        <v>5.9280000000000006E-2</v>
      </c>
      <c r="BZ188" s="469">
        <f t="shared" si="317"/>
        <v>190.34970770658779</v>
      </c>
      <c r="CA188" s="177">
        <f t="shared" si="318"/>
        <v>1.0117129033022021</v>
      </c>
      <c r="CB188" s="5">
        <f t="shared" si="319"/>
        <v>3.9000000000000004</v>
      </c>
      <c r="CC188" s="177">
        <f t="shared" si="320"/>
        <v>0.79402035028920037</v>
      </c>
      <c r="CD188" s="5">
        <f t="shared" si="321"/>
        <v>79.402035028920039</v>
      </c>
      <c r="CG188" s="571">
        <f t="shared" si="356"/>
        <v>-50</v>
      </c>
      <c r="CH188">
        <f t="shared" si="357"/>
        <v>-50</v>
      </c>
    </row>
    <row r="189" spans="5:86" x14ac:dyDescent="0.2">
      <c r="E189" s="174">
        <v>79</v>
      </c>
      <c r="F189" s="221">
        <f t="shared" si="358"/>
        <v>0.79</v>
      </c>
      <c r="G189" s="221"/>
      <c r="H189" s="221">
        <f t="shared" si="322"/>
        <v>3.95</v>
      </c>
      <c r="I189" s="551">
        <f t="shared" si="323"/>
        <v>23</v>
      </c>
      <c r="J189" s="451">
        <f t="shared" si="324"/>
        <v>10.64</v>
      </c>
      <c r="K189" s="451">
        <f t="shared" si="325"/>
        <v>33.64</v>
      </c>
      <c r="L189" s="451"/>
      <c r="M189" s="221">
        <f t="shared" si="326"/>
        <v>0.31629013079667062</v>
      </c>
      <c r="N189" s="176">
        <f t="shared" si="327"/>
        <v>13.744455410225921</v>
      </c>
      <c r="O189" s="176">
        <f t="shared" si="262"/>
        <v>3.95</v>
      </c>
      <c r="P189" s="221">
        <f t="shared" si="328"/>
        <v>2.7488910820451844</v>
      </c>
      <c r="Q189" s="221">
        <f t="shared" si="329"/>
        <v>5</v>
      </c>
      <c r="R189" s="221"/>
      <c r="S189" s="176">
        <f t="shared" si="330"/>
        <v>42.301531210659022</v>
      </c>
      <c r="T189" s="546">
        <f t="shared" si="331"/>
        <v>5</v>
      </c>
      <c r="U189" s="221">
        <f t="shared" si="332"/>
        <v>1.2066216265300935</v>
      </c>
      <c r="V189" s="221">
        <f t="shared" si="333"/>
        <v>0.36723266894394146</v>
      </c>
      <c r="W189" s="221">
        <f t="shared" si="334"/>
        <v>0.79383001745400883</v>
      </c>
      <c r="X189" s="201">
        <f t="shared" si="335"/>
        <v>350</v>
      </c>
      <c r="Y189" s="451">
        <f t="shared" si="303"/>
        <v>350</v>
      </c>
      <c r="AA189" s="221">
        <f t="shared" si="336"/>
        <v>2.9692542891116021</v>
      </c>
      <c r="AB189" s="177">
        <f t="shared" si="337"/>
        <v>1.9534567691523697</v>
      </c>
      <c r="AC189" s="177">
        <f t="shared" si="338"/>
        <v>2.0301084616399181</v>
      </c>
      <c r="AD189" s="177"/>
      <c r="AE189" s="177">
        <f t="shared" si="339"/>
        <v>0.53947368421052622</v>
      </c>
      <c r="AF189" s="555">
        <f t="shared" si="340"/>
        <v>1785.8417608566333</v>
      </c>
      <c r="AG189" s="538">
        <f t="shared" si="341"/>
        <v>0.15482894736842101</v>
      </c>
      <c r="AI189" s="177">
        <f t="shared" si="342"/>
        <v>1.8522573101103268</v>
      </c>
      <c r="AJ189" s="177">
        <f t="shared" si="343"/>
        <v>1.8522573101103268</v>
      </c>
      <c r="AK189" s="177">
        <f t="shared" si="344"/>
        <v>1.8881715400735513</v>
      </c>
      <c r="AM189" s="555">
        <f t="shared" si="345"/>
        <v>790</v>
      </c>
      <c r="AN189" s="469">
        <f t="shared" si="346"/>
        <v>350</v>
      </c>
      <c r="AP189">
        <f t="shared" si="347"/>
        <v>790</v>
      </c>
      <c r="AQ189">
        <f t="shared" si="348"/>
        <v>350</v>
      </c>
      <c r="AS189" s="5">
        <f t="shared" si="263"/>
        <v>2.8571428571428572</v>
      </c>
      <c r="AT189" s="5">
        <f t="shared" si="349"/>
        <v>0.56373048568575168</v>
      </c>
      <c r="AU189" s="5">
        <f t="shared" si="304"/>
        <v>2.2934123714571055</v>
      </c>
      <c r="AV189" s="5"/>
      <c r="AW189" s="177">
        <f t="shared" si="305"/>
        <v>0.19730566999001309</v>
      </c>
      <c r="AX189" s="177">
        <f t="shared" si="259"/>
        <v>4.2028000000000016</v>
      </c>
      <c r="AY189" s="177">
        <f t="shared" si="260"/>
        <v>1.4867964405451093</v>
      </c>
      <c r="AZ189" s="177">
        <f t="shared" si="264"/>
        <v>2.8267487635759436</v>
      </c>
      <c r="BA189" s="469">
        <f t="shared" si="350"/>
        <v>101.93868054563885</v>
      </c>
      <c r="BB189" s="469">
        <f t="shared" si="351"/>
        <v>6.4181051389792065</v>
      </c>
      <c r="BC189" s="5">
        <f t="shared" si="359"/>
        <v>0.36469319111334808</v>
      </c>
      <c r="BD189" s="469">
        <f t="shared" si="352"/>
        <v>44.335646701717721</v>
      </c>
      <c r="BF189" s="177">
        <f t="shared" si="265"/>
        <v>0.47501844427750056</v>
      </c>
      <c r="BG189" s="177">
        <f t="shared" si="261"/>
        <v>1.916221829763173</v>
      </c>
      <c r="BI189" s="538">
        <f t="shared" si="306"/>
        <v>2.482067746441986E-2</v>
      </c>
      <c r="BJ189" s="538">
        <f t="shared" si="307"/>
        <v>0.10904238784619494</v>
      </c>
      <c r="BK189" s="538">
        <f t="shared" si="308"/>
        <v>1.7499999999999998E-2</v>
      </c>
      <c r="BL189" s="538">
        <f t="shared" si="309"/>
        <v>8.9117405999999996E-2</v>
      </c>
      <c r="BM189">
        <f t="shared" si="310"/>
        <v>6.6699999999999997E-3</v>
      </c>
      <c r="BN189">
        <f t="shared" si="353"/>
        <v>6.3E-5</v>
      </c>
      <c r="BO189" s="538">
        <f t="shared" si="354"/>
        <v>0.25171697927700026</v>
      </c>
      <c r="BP189" s="469">
        <f t="shared" si="311"/>
        <v>247.15047131061479</v>
      </c>
      <c r="BQ189" s="538">
        <f t="shared" si="355"/>
        <v>0.58231362610577464</v>
      </c>
      <c r="BT189" s="469">
        <f t="shared" si="312"/>
        <v>582.31362610577469</v>
      </c>
      <c r="BU189" s="538">
        <f t="shared" si="313"/>
        <v>2.2564252240381694E-2</v>
      </c>
      <c r="BV189" s="538">
        <f t="shared" si="314"/>
        <v>0.11015718302582768</v>
      </c>
      <c r="BW189" s="538">
        <f t="shared" si="315"/>
        <v>0</v>
      </c>
      <c r="BX189" s="538"/>
      <c r="BY189" s="538">
        <f t="shared" si="316"/>
        <v>6.0040000000000017E-2</v>
      </c>
      <c r="BZ189" s="469">
        <f t="shared" si="317"/>
        <v>192.76143526620939</v>
      </c>
      <c r="CA189" s="177">
        <f t="shared" si="318"/>
        <v>1.0222255326825989</v>
      </c>
      <c r="CB189" s="5">
        <f t="shared" si="319"/>
        <v>3.95</v>
      </c>
      <c r="CC189" s="177">
        <f t="shared" si="320"/>
        <v>0.79441287890835244</v>
      </c>
      <c r="CD189" s="5">
        <f t="shared" si="321"/>
        <v>79.441287890835241</v>
      </c>
      <c r="CG189" s="571">
        <f t="shared" si="356"/>
        <v>-50</v>
      </c>
      <c r="CH189">
        <f t="shared" si="357"/>
        <v>-50</v>
      </c>
    </row>
    <row r="190" spans="5:86" x14ac:dyDescent="0.2">
      <c r="E190" s="174">
        <v>80</v>
      </c>
      <c r="F190" s="221">
        <f t="shared" si="358"/>
        <v>0.8</v>
      </c>
      <c r="G190" s="221"/>
      <c r="H190" s="221">
        <f t="shared" si="322"/>
        <v>4</v>
      </c>
      <c r="I190" s="551">
        <f t="shared" si="323"/>
        <v>23</v>
      </c>
      <c r="J190" s="451">
        <f t="shared" si="324"/>
        <v>10.64</v>
      </c>
      <c r="K190" s="451">
        <f t="shared" si="325"/>
        <v>33.64</v>
      </c>
      <c r="L190" s="451"/>
      <c r="M190" s="221">
        <f t="shared" si="326"/>
        <v>0.31629013079667062</v>
      </c>
      <c r="N190" s="176">
        <f t="shared" si="327"/>
        <v>13.744455410225921</v>
      </c>
      <c r="O190" s="176">
        <f t="shared" si="262"/>
        <v>4</v>
      </c>
      <c r="P190" s="221">
        <f t="shared" si="328"/>
        <v>2.7488910820451844</v>
      </c>
      <c r="Q190" s="221">
        <f t="shared" si="329"/>
        <v>5</v>
      </c>
      <c r="R190" s="221"/>
      <c r="S190" s="176">
        <f t="shared" si="330"/>
        <v>41.631470405611992</v>
      </c>
      <c r="T190" s="546">
        <f t="shared" si="331"/>
        <v>5</v>
      </c>
      <c r="U190" s="221">
        <f t="shared" si="332"/>
        <v>1.2218953180051579</v>
      </c>
      <c r="V190" s="221">
        <f t="shared" si="333"/>
        <v>0.37188118374070023</v>
      </c>
      <c r="W190" s="221">
        <f t="shared" si="334"/>
        <v>0.80387849868760386</v>
      </c>
      <c r="X190" s="201">
        <f t="shared" si="335"/>
        <v>350</v>
      </c>
      <c r="Y190" s="451">
        <f t="shared" si="303"/>
        <v>350</v>
      </c>
      <c r="AA190" s="221">
        <f t="shared" si="336"/>
        <v>2.9692542891116021</v>
      </c>
      <c r="AB190" s="177">
        <f t="shared" si="337"/>
        <v>1.9534567691523697</v>
      </c>
      <c r="AC190" s="177">
        <f t="shared" si="338"/>
        <v>2.0301084616399181</v>
      </c>
      <c r="AD190" s="177"/>
      <c r="AE190" s="177">
        <f t="shared" si="339"/>
        <v>0.53947368421052622</v>
      </c>
      <c r="AF190" s="555">
        <f t="shared" si="340"/>
        <v>1808.447352766211</v>
      </c>
      <c r="AG190" s="538">
        <f t="shared" si="341"/>
        <v>0.15482894736842101</v>
      </c>
      <c r="AI190" s="177">
        <f t="shared" si="342"/>
        <v>1.8639435920342962</v>
      </c>
      <c r="AJ190" s="177">
        <f t="shared" si="343"/>
        <v>1.8639435920342962</v>
      </c>
      <c r="AK190" s="177">
        <f t="shared" si="344"/>
        <v>1.895962394689531</v>
      </c>
      <c r="AM190" s="555">
        <f t="shared" si="345"/>
        <v>800</v>
      </c>
      <c r="AN190" s="469">
        <f t="shared" si="346"/>
        <v>350</v>
      </c>
      <c r="AP190">
        <f t="shared" si="347"/>
        <v>800</v>
      </c>
      <c r="AQ190">
        <f t="shared" si="348"/>
        <v>350</v>
      </c>
      <c r="AS190" s="5">
        <f t="shared" si="263"/>
        <v>2.8571428571428572</v>
      </c>
      <c r="AT190" s="5">
        <f t="shared" si="349"/>
        <v>0.56728718018435098</v>
      </c>
      <c r="AU190" s="5">
        <f t="shared" si="304"/>
        <v>2.2898556769585063</v>
      </c>
      <c r="AV190" s="5"/>
      <c r="AW190" s="177">
        <f t="shared" si="305"/>
        <v>0.19855051306452284</v>
      </c>
      <c r="AX190" s="177">
        <f t="shared" si="259"/>
        <v>4.2560000000000002</v>
      </c>
      <c r="AY190" s="177">
        <f t="shared" si="260"/>
        <v>1.4938566355125569</v>
      </c>
      <c r="AZ190" s="177">
        <f t="shared" si="264"/>
        <v>2.8490016369875582</v>
      </c>
      <c r="BA190" s="469">
        <f t="shared" si="350"/>
        <v>101.93868054563885</v>
      </c>
      <c r="BB190" s="469">
        <f t="shared" si="351"/>
        <v>6.5512374442344052</v>
      </c>
      <c r="BC190" s="5">
        <f t="shared" si="359"/>
        <v>0.36873682398687696</v>
      </c>
      <c r="BD190" s="469">
        <f t="shared" si="352"/>
        <v>44.828129023352787</v>
      </c>
      <c r="BF190" s="177">
        <f t="shared" si="265"/>
        <v>0.4795210148694114</v>
      </c>
      <c r="BG190" s="177">
        <f t="shared" si="261"/>
        <v>1.9268158546097216</v>
      </c>
      <c r="BI190" s="538">
        <f t="shared" si="306"/>
        <v>2.5293444407152931E-2</v>
      </c>
      <c r="BJ190" s="538">
        <f t="shared" si="307"/>
        <v>0.10973035926305902</v>
      </c>
      <c r="BK190" s="538">
        <f t="shared" si="308"/>
        <v>1.7499999999999998E-2</v>
      </c>
      <c r="BL190" s="538">
        <f t="shared" si="309"/>
        <v>8.9117405999999996E-2</v>
      </c>
      <c r="BM190">
        <f t="shared" si="310"/>
        <v>6.6699999999999997E-3</v>
      </c>
      <c r="BN190">
        <f t="shared" si="353"/>
        <v>6.3E-5</v>
      </c>
      <c r="BO190" s="538">
        <f t="shared" si="354"/>
        <v>0.25296934163838514</v>
      </c>
      <c r="BP190" s="469">
        <f t="shared" si="311"/>
        <v>248.31120967021192</v>
      </c>
      <c r="BQ190" s="538">
        <f t="shared" si="355"/>
        <v>0.5892441173907601</v>
      </c>
      <c r="BT190" s="469">
        <f t="shared" si="312"/>
        <v>589.24411739076015</v>
      </c>
      <c r="BU190" s="538">
        <f t="shared" si="313"/>
        <v>2.2994040370139027E-2</v>
      </c>
      <c r="BV190" s="538">
        <f t="shared" si="314"/>
        <v>0.11137858012726175</v>
      </c>
      <c r="BW190" s="538">
        <f t="shared" si="315"/>
        <v>0</v>
      </c>
      <c r="BX190" s="538"/>
      <c r="BY190" s="538">
        <f t="shared" si="316"/>
        <v>6.0800000000000014E-2</v>
      </c>
      <c r="BZ190" s="469">
        <f t="shared" si="317"/>
        <v>195.1726204974008</v>
      </c>
      <c r="CA190" s="177">
        <f t="shared" si="318"/>
        <v>1.0327279475583728</v>
      </c>
      <c r="CB190" s="5">
        <f t="shared" si="319"/>
        <v>4</v>
      </c>
      <c r="CC190" s="177">
        <f t="shared" si="320"/>
        <v>0.79479758128801692</v>
      </c>
      <c r="CD190" s="5">
        <f t="shared" si="321"/>
        <v>79.479758128801691</v>
      </c>
      <c r="CG190" s="571">
        <f t="shared" si="356"/>
        <v>-50</v>
      </c>
      <c r="CH190">
        <f t="shared" si="357"/>
        <v>-50</v>
      </c>
    </row>
    <row r="191" spans="5:86" x14ac:dyDescent="0.2">
      <c r="E191" s="174">
        <v>81</v>
      </c>
      <c r="F191" s="221">
        <f t="shared" si="358"/>
        <v>0.81</v>
      </c>
      <c r="G191" s="221"/>
      <c r="H191" s="221">
        <f t="shared" si="322"/>
        <v>4.0500000000000007</v>
      </c>
      <c r="I191" s="551">
        <f t="shared" si="323"/>
        <v>23</v>
      </c>
      <c r="J191" s="451">
        <f t="shared" si="324"/>
        <v>10.64</v>
      </c>
      <c r="K191" s="451">
        <f t="shared" si="325"/>
        <v>33.64</v>
      </c>
      <c r="L191" s="451"/>
      <c r="M191" s="221">
        <f t="shared" si="326"/>
        <v>0.31629013079667062</v>
      </c>
      <c r="N191" s="176">
        <f t="shared" si="327"/>
        <v>13.744455410225921</v>
      </c>
      <c r="O191" s="176">
        <f t="shared" si="262"/>
        <v>4.0500000000000007</v>
      </c>
      <c r="P191" s="221">
        <f t="shared" si="328"/>
        <v>2.7488910820451844</v>
      </c>
      <c r="Q191" s="221">
        <f t="shared" si="329"/>
        <v>5</v>
      </c>
      <c r="R191" s="221"/>
      <c r="S191" s="176">
        <f t="shared" si="330"/>
        <v>40.977997326059473</v>
      </c>
      <c r="T191" s="546">
        <f t="shared" si="331"/>
        <v>5</v>
      </c>
      <c r="U191" s="221">
        <f t="shared" si="332"/>
        <v>1.2371690094802226</v>
      </c>
      <c r="V191" s="221">
        <f t="shared" si="333"/>
        <v>0.37652969853745905</v>
      </c>
      <c r="W191" s="221">
        <f t="shared" si="334"/>
        <v>0.813926979921199</v>
      </c>
      <c r="X191" s="201">
        <f t="shared" si="335"/>
        <v>350</v>
      </c>
      <c r="Y191" s="451">
        <f t="shared" si="303"/>
        <v>350</v>
      </c>
      <c r="AA191" s="221">
        <f t="shared" si="336"/>
        <v>2.9692542891116021</v>
      </c>
      <c r="AB191" s="177">
        <f t="shared" si="337"/>
        <v>1.9534567691523697</v>
      </c>
      <c r="AC191" s="177">
        <f t="shared" si="338"/>
        <v>2.0301084616399181</v>
      </c>
      <c r="AD191" s="177"/>
      <c r="AE191" s="177">
        <f t="shared" si="339"/>
        <v>0.53947368421052622</v>
      </c>
      <c r="AF191" s="555">
        <f t="shared" si="340"/>
        <v>1831.0529446757887</v>
      </c>
      <c r="AG191" s="538">
        <f t="shared" si="341"/>
        <v>0.15482894736842101</v>
      </c>
      <c r="AI191" s="177">
        <f t="shared" si="342"/>
        <v>1.8755570601062199</v>
      </c>
      <c r="AJ191" s="177">
        <f t="shared" si="343"/>
        <v>1.8755570601062199</v>
      </c>
      <c r="AK191" s="177">
        <f t="shared" si="344"/>
        <v>1.9037047067374799</v>
      </c>
      <c r="AM191" s="555">
        <f t="shared" si="345"/>
        <v>810</v>
      </c>
      <c r="AN191" s="469">
        <f t="shared" si="346"/>
        <v>350</v>
      </c>
      <c r="AP191">
        <f t="shared" si="347"/>
        <v>810</v>
      </c>
      <c r="AQ191">
        <f t="shared" si="348"/>
        <v>350</v>
      </c>
      <c r="AS191" s="5">
        <f t="shared" si="263"/>
        <v>2.8571428571428572</v>
      </c>
      <c r="AT191" s="5">
        <f t="shared" si="349"/>
        <v>0.57082171394537129</v>
      </c>
      <c r="AU191" s="5">
        <f t="shared" si="304"/>
        <v>2.2863211431974859</v>
      </c>
      <c r="AV191" s="5"/>
      <c r="AW191" s="177">
        <f t="shared" si="305"/>
        <v>0.19978759988087993</v>
      </c>
      <c r="AX191" s="177">
        <f t="shared" si="259"/>
        <v>4.3092000000000006</v>
      </c>
      <c r="AY191" s="177">
        <f t="shared" si="260"/>
        <v>1.5008440166279591</v>
      </c>
      <c r="AZ191" s="177">
        <f t="shared" si="264"/>
        <v>2.8711844483890818</v>
      </c>
      <c r="BA191" s="469">
        <f t="shared" si="350"/>
        <v>101.93868054563885</v>
      </c>
      <c r="BB191" s="469">
        <f t="shared" si="351"/>
        <v>6.685667011190926</v>
      </c>
      <c r="BC191" s="5">
        <f t="shared" si="359"/>
        <v>0.37276975160828574</v>
      </c>
      <c r="BD191" s="469">
        <f t="shared" si="352"/>
        <v>45.319326714733428</v>
      </c>
      <c r="BF191" s="177">
        <f t="shared" si="265"/>
        <v>0.48400953647958256</v>
      </c>
      <c r="BG191" s="177">
        <f t="shared" si="261"/>
        <v>1.9373241310304772</v>
      </c>
      <c r="BI191" s="538">
        <f t="shared" si="306"/>
        <v>2.5769175454349841E-2</v>
      </c>
      <c r="BJ191" s="538">
        <f t="shared" si="307"/>
        <v>0.11041404412845318</v>
      </c>
      <c r="BK191" s="538">
        <f t="shared" si="308"/>
        <v>1.7499999999999998E-2</v>
      </c>
      <c r="BL191" s="538">
        <f t="shared" si="309"/>
        <v>8.9117405999999996E-2</v>
      </c>
      <c r="BM191">
        <f t="shared" si="310"/>
        <v>6.6699999999999997E-3</v>
      </c>
      <c r="BN191">
        <f t="shared" si="353"/>
        <v>6.3E-5</v>
      </c>
      <c r="BO191" s="538">
        <f t="shared" si="354"/>
        <v>0.25422113651273992</v>
      </c>
      <c r="BP191" s="469">
        <f t="shared" si="311"/>
        <v>249.47062558280302</v>
      </c>
      <c r="BQ191" s="538">
        <f t="shared" si="355"/>
        <v>0.59616637385461679</v>
      </c>
      <c r="BT191" s="469">
        <f t="shared" si="312"/>
        <v>596.16637385461684</v>
      </c>
      <c r="BU191" s="538">
        <f t="shared" si="313"/>
        <v>2.342652314031804E-2</v>
      </c>
      <c r="BV191" s="538">
        <f t="shared" si="314"/>
        <v>0.1125967436601898</v>
      </c>
      <c r="BW191" s="538">
        <f t="shared" si="315"/>
        <v>0</v>
      </c>
      <c r="BX191" s="538"/>
      <c r="BY191" s="538">
        <f t="shared" si="316"/>
        <v>6.1560000000000011E-2</v>
      </c>
      <c r="BZ191" s="469">
        <f t="shared" si="317"/>
        <v>197.58326680050786</v>
      </c>
      <c r="CA191" s="177">
        <f t="shared" si="318"/>
        <v>1.0432202662379275</v>
      </c>
      <c r="CB191" s="5">
        <f t="shared" si="319"/>
        <v>4.0500000000000007</v>
      </c>
      <c r="CC191" s="177">
        <f t="shared" si="320"/>
        <v>0.79517472017590651</v>
      </c>
      <c r="CD191" s="5">
        <f t="shared" si="321"/>
        <v>79.517472017590649</v>
      </c>
      <c r="CG191" s="571">
        <f t="shared" si="356"/>
        <v>-50</v>
      </c>
      <c r="CH191">
        <f t="shared" si="357"/>
        <v>-50</v>
      </c>
    </row>
    <row r="192" spans="5:86" x14ac:dyDescent="0.2">
      <c r="E192" s="174">
        <v>82</v>
      </c>
      <c r="F192" s="221">
        <f t="shared" si="358"/>
        <v>0.82</v>
      </c>
      <c r="G192" s="221"/>
      <c r="H192" s="221">
        <f t="shared" si="322"/>
        <v>4.0999999999999996</v>
      </c>
      <c r="I192" s="551">
        <f t="shared" si="323"/>
        <v>23</v>
      </c>
      <c r="J192" s="451">
        <f t="shared" si="324"/>
        <v>10.64</v>
      </c>
      <c r="K192" s="451">
        <f t="shared" si="325"/>
        <v>33.64</v>
      </c>
      <c r="L192" s="451"/>
      <c r="M192" s="221">
        <f t="shared" si="326"/>
        <v>0.31629013079667062</v>
      </c>
      <c r="N192" s="176">
        <f t="shared" si="327"/>
        <v>13.744455410225921</v>
      </c>
      <c r="O192" s="176">
        <f t="shared" si="262"/>
        <v>4.0999999999999996</v>
      </c>
      <c r="P192" s="221">
        <f t="shared" si="328"/>
        <v>2.7488910820451844</v>
      </c>
      <c r="Q192" s="221">
        <f t="shared" si="329"/>
        <v>5</v>
      </c>
      <c r="R192" s="221"/>
      <c r="S192" s="176">
        <f t="shared" si="330"/>
        <v>40.340505515201343</v>
      </c>
      <c r="T192" s="546">
        <f t="shared" si="331"/>
        <v>5</v>
      </c>
      <c r="U192" s="221">
        <f t="shared" si="332"/>
        <v>1.2524427009552868</v>
      </c>
      <c r="V192" s="221">
        <f t="shared" si="333"/>
        <v>0.38117821333421764</v>
      </c>
      <c r="W192" s="221">
        <f t="shared" si="334"/>
        <v>0.82397546115479381</v>
      </c>
      <c r="X192" s="201">
        <f t="shared" si="335"/>
        <v>350</v>
      </c>
      <c r="Y192" s="451">
        <f t="shared" si="303"/>
        <v>350</v>
      </c>
      <c r="AA192" s="221">
        <f t="shared" si="336"/>
        <v>2.9692542891116021</v>
      </c>
      <c r="AB192" s="177">
        <f t="shared" si="337"/>
        <v>1.9534567691523697</v>
      </c>
      <c r="AC192" s="177">
        <f t="shared" si="338"/>
        <v>2.0301084616399181</v>
      </c>
      <c r="AD192" s="177"/>
      <c r="AE192" s="177">
        <f t="shared" si="339"/>
        <v>0.53947368421052622</v>
      </c>
      <c r="AF192" s="555">
        <f t="shared" si="340"/>
        <v>1853.6585365853662</v>
      </c>
      <c r="AG192" s="538">
        <f t="shared" si="341"/>
        <v>0.15482894736842101</v>
      </c>
      <c r="AI192" s="177">
        <f t="shared" si="342"/>
        <v>1.887099058646063</v>
      </c>
      <c r="AJ192" s="177">
        <f t="shared" si="343"/>
        <v>1.887099058646063</v>
      </c>
      <c r="AK192" s="177">
        <f t="shared" si="344"/>
        <v>1.9113993724307086</v>
      </c>
      <c r="AM192" s="555">
        <f t="shared" si="345"/>
        <v>820</v>
      </c>
      <c r="AN192" s="469">
        <f t="shared" si="346"/>
        <v>350</v>
      </c>
      <c r="AP192">
        <f t="shared" si="347"/>
        <v>820</v>
      </c>
      <c r="AQ192">
        <f t="shared" si="348"/>
        <v>350</v>
      </c>
      <c r="AS192" s="5">
        <f t="shared" si="263"/>
        <v>2.8571428571428572</v>
      </c>
      <c r="AT192" s="5">
        <f t="shared" si="349"/>
        <v>0.57433449610967136</v>
      </c>
      <c r="AU192" s="5">
        <f t="shared" si="304"/>
        <v>2.2828083610331857</v>
      </c>
      <c r="AV192" s="5"/>
      <c r="AW192" s="177">
        <f t="shared" si="305"/>
        <v>0.20101707363838497</v>
      </c>
      <c r="AX192" s="177">
        <f t="shared" si="259"/>
        <v>4.3624000000000001</v>
      </c>
      <c r="AY192" s="177">
        <f t="shared" si="260"/>
        <v>1.5077599282112804</v>
      </c>
      <c r="AZ192" s="177">
        <f t="shared" si="264"/>
        <v>2.8932988059812019</v>
      </c>
      <c r="BA192" s="469">
        <f t="shared" si="350"/>
        <v>101.93868054563885</v>
      </c>
      <c r="BB192" s="469">
        <f t="shared" si="351"/>
        <v>6.8213938398487697</v>
      </c>
      <c r="BC192" s="5">
        <f t="shared" si="359"/>
        <v>0.37679204026715213</v>
      </c>
      <c r="BD192" s="469">
        <f t="shared" si="352"/>
        <v>45.809247730608988</v>
      </c>
      <c r="BF192" s="177">
        <f t="shared" si="265"/>
        <v>0.48848422559010518</v>
      </c>
      <c r="BG192" s="177">
        <f t="shared" si="261"/>
        <v>1.9477482182225241</v>
      </c>
      <c r="BI192" s="538">
        <f t="shared" si="306"/>
        <v>2.6247852251540124E-2</v>
      </c>
      <c r="BJ192" s="538">
        <f t="shared" si="307"/>
        <v>0.11109352158249373</v>
      </c>
      <c r="BK192" s="538">
        <f t="shared" si="308"/>
        <v>1.7499999999999998E-2</v>
      </c>
      <c r="BL192" s="538">
        <f t="shared" si="309"/>
        <v>8.9117405999999996E-2</v>
      </c>
      <c r="BM192">
        <f t="shared" si="310"/>
        <v>6.6699999999999997E-3</v>
      </c>
      <c r="BN192">
        <f t="shared" si="353"/>
        <v>6.3E-5</v>
      </c>
      <c r="BO192" s="538">
        <f t="shared" si="354"/>
        <v>0.25547242353583072</v>
      </c>
      <c r="BP192" s="469">
        <f t="shared" si="311"/>
        <v>250.62877983403388</v>
      </c>
      <c r="BQ192" s="538">
        <f t="shared" si="355"/>
        <v>0.60308044648940107</v>
      </c>
      <c r="BT192" s="469">
        <f t="shared" si="312"/>
        <v>603.08044648940108</v>
      </c>
      <c r="BU192" s="538">
        <f t="shared" si="313"/>
        <v>2.3861683865036478E-2</v>
      </c>
      <c r="BV192" s="538">
        <f t="shared" si="314"/>
        <v>0.11381169364767052</v>
      </c>
      <c r="BW192" s="538">
        <f t="shared" si="315"/>
        <v>0</v>
      </c>
      <c r="BX192" s="538"/>
      <c r="BY192" s="538">
        <f t="shared" si="316"/>
        <v>6.232E-2</v>
      </c>
      <c r="BZ192" s="469">
        <f t="shared" si="317"/>
        <v>199.99337751270701</v>
      </c>
      <c r="CA192" s="177">
        <f t="shared" si="318"/>
        <v>1.0537026038361419</v>
      </c>
      <c r="CB192" s="5">
        <f t="shared" si="319"/>
        <v>4.0999999999999996</v>
      </c>
      <c r="CC192" s="177">
        <f t="shared" si="320"/>
        <v>0.79554454635162275</v>
      </c>
      <c r="CD192" s="5">
        <f t="shared" si="321"/>
        <v>79.554454635162273</v>
      </c>
      <c r="CG192" s="571">
        <f t="shared" si="356"/>
        <v>-50</v>
      </c>
      <c r="CH192">
        <f t="shared" si="357"/>
        <v>-50</v>
      </c>
    </row>
    <row r="193" spans="5:86" x14ac:dyDescent="0.2">
      <c r="E193" s="174">
        <v>83</v>
      </c>
      <c r="F193" s="221">
        <f t="shared" si="358"/>
        <v>0.83</v>
      </c>
      <c r="G193" s="221"/>
      <c r="H193" s="221">
        <f t="shared" si="322"/>
        <v>4.1499999999999995</v>
      </c>
      <c r="I193" s="551">
        <f t="shared" si="323"/>
        <v>23</v>
      </c>
      <c r="J193" s="451">
        <f t="shared" si="324"/>
        <v>10.64</v>
      </c>
      <c r="K193" s="451">
        <f t="shared" si="325"/>
        <v>33.64</v>
      </c>
      <c r="L193" s="451"/>
      <c r="M193" s="221">
        <f t="shared" si="326"/>
        <v>0.31629013079667062</v>
      </c>
      <c r="N193" s="176">
        <f t="shared" si="327"/>
        <v>13.744455410225921</v>
      </c>
      <c r="O193" s="176">
        <f t="shared" si="262"/>
        <v>4.1499999999999995</v>
      </c>
      <c r="P193" s="221">
        <f t="shared" si="328"/>
        <v>2.7488910820451844</v>
      </c>
      <c r="Q193" s="221">
        <f t="shared" si="329"/>
        <v>5</v>
      </c>
      <c r="R193" s="221"/>
      <c r="S193" s="176">
        <f t="shared" si="330"/>
        <v>39.71841774806002</v>
      </c>
      <c r="T193" s="546">
        <f t="shared" si="331"/>
        <v>5</v>
      </c>
      <c r="U193" s="221">
        <f t="shared" si="332"/>
        <v>1.2677163924303512</v>
      </c>
      <c r="V193" s="221">
        <f t="shared" si="333"/>
        <v>0.38582672813097646</v>
      </c>
      <c r="W193" s="221">
        <f t="shared" si="334"/>
        <v>0.83402394238838884</v>
      </c>
      <c r="X193" s="201">
        <f t="shared" si="335"/>
        <v>350</v>
      </c>
      <c r="Y193" s="451">
        <f t="shared" si="303"/>
        <v>350</v>
      </c>
      <c r="AA193" s="221">
        <f t="shared" si="336"/>
        <v>2.9692542891116021</v>
      </c>
      <c r="AB193" s="177">
        <f t="shared" si="337"/>
        <v>1.9534567691523697</v>
      </c>
      <c r="AC193" s="177">
        <f t="shared" si="338"/>
        <v>2.0301084616399181</v>
      </c>
      <c r="AD193" s="177"/>
      <c r="AE193" s="177">
        <f t="shared" si="339"/>
        <v>0.53947368421052622</v>
      </c>
      <c r="AF193" s="555">
        <f t="shared" si="340"/>
        <v>1876.2641284949436</v>
      </c>
      <c r="AG193" s="538">
        <f t="shared" si="341"/>
        <v>0.15482894736842101</v>
      </c>
      <c r="AI193" s="177">
        <f t="shared" si="342"/>
        <v>1.8985708911103185</v>
      </c>
      <c r="AJ193" s="177">
        <f t="shared" si="343"/>
        <v>1.8985708911103185</v>
      </c>
      <c r="AK193" s="177">
        <f t="shared" si="344"/>
        <v>1.9190472607402123</v>
      </c>
      <c r="AM193" s="555">
        <f t="shared" si="345"/>
        <v>830</v>
      </c>
      <c r="AN193" s="469">
        <f t="shared" si="346"/>
        <v>350</v>
      </c>
      <c r="AP193">
        <f t="shared" si="347"/>
        <v>830</v>
      </c>
      <c r="AQ193">
        <f t="shared" si="348"/>
        <v>350</v>
      </c>
      <c r="AS193" s="5">
        <f t="shared" si="263"/>
        <v>2.8571428571428572</v>
      </c>
      <c r="AT193" s="5">
        <f t="shared" si="349"/>
        <v>0.57782592338140126</v>
      </c>
      <c r="AU193" s="5">
        <f t="shared" si="304"/>
        <v>2.2793169337614558</v>
      </c>
      <c r="AV193" s="5"/>
      <c r="AW193" s="177">
        <f t="shared" si="305"/>
        <v>0.20223907318349044</v>
      </c>
      <c r="AX193" s="177">
        <f t="shared" si="259"/>
        <v>4.4156000000000004</v>
      </c>
      <c r="AY193" s="177">
        <f t="shared" si="260"/>
        <v>1.5146056737190141</v>
      </c>
      <c r="AZ193" s="177">
        <f t="shared" si="264"/>
        <v>2.9153462690772751</v>
      </c>
      <c r="BA193" s="469">
        <f t="shared" si="350"/>
        <v>101.93868054563885</v>
      </c>
      <c r="BB193" s="469">
        <f t="shared" si="351"/>
        <v>6.9584179302079381</v>
      </c>
      <c r="BC193" s="5">
        <f t="shared" si="359"/>
        <v>0.38080375503663605</v>
      </c>
      <c r="BD193" s="469">
        <f t="shared" si="352"/>
        <v>46.297899879758653</v>
      </c>
      <c r="BF193" s="177">
        <f t="shared" si="265"/>
        <v>0.49294529275163174</v>
      </c>
      <c r="BG193" s="177">
        <f t="shared" si="261"/>
        <v>1.9580896280587543</v>
      </c>
      <c r="BI193" s="538">
        <f t="shared" si="306"/>
        <v>2.6729456781059112E-2</v>
      </c>
      <c r="BJ193" s="538">
        <f t="shared" si="307"/>
        <v>0.11176886835966446</v>
      </c>
      <c r="BK193" s="538">
        <f t="shared" si="308"/>
        <v>1.7499999999999998E-2</v>
      </c>
      <c r="BL193" s="538">
        <f t="shared" si="309"/>
        <v>8.9117405999999996E-2</v>
      </c>
      <c r="BM193">
        <f t="shared" si="310"/>
        <v>6.6699999999999997E-3</v>
      </c>
      <c r="BN193">
        <f t="shared" si="353"/>
        <v>6.3E-5</v>
      </c>
      <c r="BO193" s="538">
        <f t="shared" si="354"/>
        <v>0.25672326032847459</v>
      </c>
      <c r="BP193" s="469">
        <f t="shared" si="311"/>
        <v>251.78573114072356</v>
      </c>
      <c r="BQ193" s="538">
        <f t="shared" si="355"/>
        <v>0.60998638535146121</v>
      </c>
      <c r="BT193" s="469">
        <f t="shared" si="312"/>
        <v>609.98638535146119</v>
      </c>
      <c r="BU193" s="538">
        <f t="shared" si="313"/>
        <v>2.4299506164599194E-2</v>
      </c>
      <c r="BV193" s="538">
        <f t="shared" si="314"/>
        <v>0.11502344974533812</v>
      </c>
      <c r="BW193" s="538">
        <f t="shared" si="315"/>
        <v>0</v>
      </c>
      <c r="BX193" s="538"/>
      <c r="BY193" s="538">
        <f t="shared" si="316"/>
        <v>6.3080000000000011E-2</v>
      </c>
      <c r="BZ193" s="469">
        <f t="shared" si="317"/>
        <v>202.40295590993733</v>
      </c>
      <c r="CA193" s="177">
        <f t="shared" si="318"/>
        <v>1.0641750724021222</v>
      </c>
      <c r="CB193" s="5">
        <f t="shared" si="319"/>
        <v>4.1499999999999995</v>
      </c>
      <c r="CC193" s="177">
        <f t="shared" si="320"/>
        <v>0.79590729930902249</v>
      </c>
      <c r="CD193" s="5">
        <f t="shared" si="321"/>
        <v>79.590729930902242</v>
      </c>
      <c r="CG193" s="571">
        <f t="shared" si="356"/>
        <v>-50</v>
      </c>
      <c r="CH193">
        <f t="shared" si="357"/>
        <v>-50</v>
      </c>
    </row>
    <row r="194" spans="5:86" x14ac:dyDescent="0.2">
      <c r="E194" s="174">
        <v>84</v>
      </c>
      <c r="F194" s="221">
        <f t="shared" si="358"/>
        <v>0.84</v>
      </c>
      <c r="G194" s="221"/>
      <c r="H194" s="221">
        <f t="shared" si="322"/>
        <v>4.2</v>
      </c>
      <c r="I194" s="551">
        <f t="shared" si="323"/>
        <v>23</v>
      </c>
      <c r="J194" s="451">
        <f t="shared" si="324"/>
        <v>10.64</v>
      </c>
      <c r="K194" s="451">
        <f t="shared" si="325"/>
        <v>33.64</v>
      </c>
      <c r="L194" s="451"/>
      <c r="M194" s="221">
        <f t="shared" si="326"/>
        <v>0.31629013079667062</v>
      </c>
      <c r="N194" s="176">
        <f t="shared" si="327"/>
        <v>13.744455410225921</v>
      </c>
      <c r="O194" s="176">
        <f t="shared" si="262"/>
        <v>4.2</v>
      </c>
      <c r="P194" s="221">
        <f t="shared" si="328"/>
        <v>2.7488910820451844</v>
      </c>
      <c r="Q194" s="221">
        <f t="shared" si="329"/>
        <v>5</v>
      </c>
      <c r="R194" s="221"/>
      <c r="S194" s="176">
        <f t="shared" si="330"/>
        <v>39.111184291562324</v>
      </c>
      <c r="T194" s="546">
        <f t="shared" si="331"/>
        <v>5</v>
      </c>
      <c r="U194" s="221">
        <f t="shared" si="332"/>
        <v>1.2829900839054158</v>
      </c>
      <c r="V194" s="221">
        <f t="shared" si="333"/>
        <v>0.39047524292773522</v>
      </c>
      <c r="W194" s="221">
        <f t="shared" si="334"/>
        <v>0.84407242362198409</v>
      </c>
      <c r="X194" s="201">
        <f t="shared" si="335"/>
        <v>350</v>
      </c>
      <c r="Y194" s="451">
        <f t="shared" si="303"/>
        <v>350</v>
      </c>
      <c r="AA194" s="221">
        <f t="shared" si="336"/>
        <v>2.9692542891116021</v>
      </c>
      <c r="AB194" s="177">
        <f t="shared" si="337"/>
        <v>1.9534567691523697</v>
      </c>
      <c r="AC194" s="177">
        <f t="shared" si="338"/>
        <v>2.0301084616399181</v>
      </c>
      <c r="AD194" s="177"/>
      <c r="AE194" s="177">
        <f t="shared" si="339"/>
        <v>0.53947368421052622</v>
      </c>
      <c r="AF194" s="555">
        <f t="shared" si="340"/>
        <v>1898.8697204045213</v>
      </c>
      <c r="AG194" s="538">
        <f t="shared" si="341"/>
        <v>0.15482894736842101</v>
      </c>
      <c r="AI194" s="177">
        <f t="shared" si="342"/>
        <v>1.9099738218101316</v>
      </c>
      <c r="AJ194" s="177">
        <f t="shared" si="343"/>
        <v>1.9099738218101316</v>
      </c>
      <c r="AK194" s="177">
        <f t="shared" si="344"/>
        <v>1.9266492145400878</v>
      </c>
      <c r="AM194" s="555">
        <f t="shared" si="345"/>
        <v>840</v>
      </c>
      <c r="AN194" s="469">
        <f t="shared" si="346"/>
        <v>350</v>
      </c>
      <c r="AP194">
        <f t="shared" si="347"/>
        <v>840</v>
      </c>
      <c r="AQ194">
        <f t="shared" si="348"/>
        <v>350</v>
      </c>
      <c r="AS194" s="5">
        <f t="shared" si="263"/>
        <v>2.8571428571428572</v>
      </c>
      <c r="AT194" s="5">
        <f t="shared" si="349"/>
        <v>0.5812963805509096</v>
      </c>
      <c r="AU194" s="5">
        <f t="shared" si="304"/>
        <v>2.2758464765919477</v>
      </c>
      <c r="AV194" s="5"/>
      <c r="AW194" s="177">
        <f t="shared" si="305"/>
        <v>0.20345373319281834</v>
      </c>
      <c r="AX194" s="177">
        <f t="shared" si="259"/>
        <v>4.4688000000000008</v>
      </c>
      <c r="AY194" s="177">
        <f t="shared" si="260"/>
        <v>1.5213825174623055</v>
      </c>
      <c r="AZ194" s="177">
        <f t="shared" si="264"/>
        <v>2.9373283501732641</v>
      </c>
      <c r="BA194" s="469">
        <f t="shared" si="350"/>
        <v>101.93868054563885</v>
      </c>
      <c r="BB194" s="469">
        <f t="shared" si="351"/>
        <v>7.0967392822684285</v>
      </c>
      <c r="BC194" s="5">
        <f t="shared" si="359"/>
        <v>0.38480495981023272</v>
      </c>
      <c r="BD194" s="469">
        <f t="shared" si="352"/>
        <v>46.785290829401831</v>
      </c>
      <c r="BF194" s="177">
        <f t="shared" si="265"/>
        <v>0.49739294281530289</v>
      </c>
      <c r="BG194" s="177">
        <f t="shared" si="261"/>
        <v>1.9683498270760031</v>
      </c>
      <c r="BI194" s="538">
        <f t="shared" si="306"/>
        <v>2.721397135187139E-2</v>
      </c>
      <c r="BJ194" s="538">
        <f t="shared" si="307"/>
        <v>0.11244015888996245</v>
      </c>
      <c r="BK194" s="538">
        <f t="shared" si="308"/>
        <v>1.7499999999999998E-2</v>
      </c>
      <c r="BL194" s="538">
        <f t="shared" si="309"/>
        <v>8.9117405999999996E-2</v>
      </c>
      <c r="BM194">
        <f t="shared" si="310"/>
        <v>6.6699999999999997E-3</v>
      </c>
      <c r="BN194">
        <f t="shared" si="353"/>
        <v>6.3E-5</v>
      </c>
      <c r="BO194" s="538">
        <f t="shared" si="354"/>
        <v>0.25797370258592689</v>
      </c>
      <c r="BP194" s="469">
        <f t="shared" si="311"/>
        <v>252.94153624183386</v>
      </c>
      <c r="BQ194" s="538">
        <f t="shared" si="355"/>
        <v>0.61688423958971006</v>
      </c>
      <c r="BT194" s="469">
        <f t="shared" si="312"/>
        <v>616.88423958971009</v>
      </c>
      <c r="BU194" s="538">
        <f t="shared" si="313"/>
        <v>2.4739973956246719E-2</v>
      </c>
      <c r="BV194" s="538">
        <f t="shared" si="314"/>
        <v>0.11623203125250395</v>
      </c>
      <c r="BW194" s="538">
        <f t="shared" si="315"/>
        <v>0</v>
      </c>
      <c r="BX194" s="538"/>
      <c r="BY194" s="538">
        <f t="shared" si="316"/>
        <v>6.3840000000000008E-2</v>
      </c>
      <c r="BZ194" s="469">
        <f t="shared" si="317"/>
        <v>204.81200520875066</v>
      </c>
      <c r="CA194" s="177">
        <f t="shared" si="318"/>
        <v>1.0746377810402947</v>
      </c>
      <c r="CB194" s="5">
        <f t="shared" si="319"/>
        <v>4.2</v>
      </c>
      <c r="CC194" s="177">
        <f t="shared" si="320"/>
        <v>0.79626320789209748</v>
      </c>
      <c r="CD194" s="5">
        <f t="shared" si="321"/>
        <v>79.626320789209743</v>
      </c>
      <c r="CG194" s="571">
        <f t="shared" si="356"/>
        <v>-50</v>
      </c>
      <c r="CH194">
        <f t="shared" si="357"/>
        <v>-50</v>
      </c>
    </row>
    <row r="195" spans="5:86" x14ac:dyDescent="0.2">
      <c r="E195" s="174">
        <v>85</v>
      </c>
      <c r="F195" s="221">
        <f t="shared" si="358"/>
        <v>0.85</v>
      </c>
      <c r="G195" s="221"/>
      <c r="H195" s="221">
        <f t="shared" si="322"/>
        <v>4.25</v>
      </c>
      <c r="I195" s="551">
        <f t="shared" si="323"/>
        <v>23</v>
      </c>
      <c r="J195" s="451">
        <f t="shared" si="324"/>
        <v>10.64</v>
      </c>
      <c r="K195" s="451">
        <f t="shared" si="325"/>
        <v>33.64</v>
      </c>
      <c r="L195" s="451"/>
      <c r="M195" s="221">
        <f t="shared" si="326"/>
        <v>0.31629013079667062</v>
      </c>
      <c r="N195" s="176">
        <f t="shared" si="327"/>
        <v>13.744455410225921</v>
      </c>
      <c r="O195" s="176">
        <f t="shared" si="262"/>
        <v>4.25</v>
      </c>
      <c r="P195" s="221">
        <f t="shared" si="328"/>
        <v>2.7488910820451844</v>
      </c>
      <c r="Q195" s="221">
        <f t="shared" si="329"/>
        <v>5</v>
      </c>
      <c r="R195" s="221"/>
      <c r="S195" s="176">
        <f t="shared" si="330"/>
        <v>38.518281287440274</v>
      </c>
      <c r="T195" s="546">
        <f t="shared" si="331"/>
        <v>5</v>
      </c>
      <c r="U195" s="221">
        <f t="shared" si="332"/>
        <v>1.2982637753804802</v>
      </c>
      <c r="V195" s="221">
        <f t="shared" si="333"/>
        <v>0.39512375772449393</v>
      </c>
      <c r="W195" s="221">
        <f t="shared" si="334"/>
        <v>0.85412090485557901</v>
      </c>
      <c r="X195" s="201">
        <f t="shared" si="335"/>
        <v>350</v>
      </c>
      <c r="Y195" s="451">
        <f t="shared" si="303"/>
        <v>350</v>
      </c>
      <c r="AA195" s="221">
        <f t="shared" si="336"/>
        <v>2.9692542891116021</v>
      </c>
      <c r="AB195" s="177">
        <f t="shared" si="337"/>
        <v>1.9534567691523697</v>
      </c>
      <c r="AC195" s="177">
        <f t="shared" si="338"/>
        <v>2.0301084616399181</v>
      </c>
      <c r="AD195" s="177"/>
      <c r="AE195" s="177">
        <f t="shared" si="339"/>
        <v>0.53947368421052622</v>
      </c>
      <c r="AF195" s="555">
        <f t="shared" si="340"/>
        <v>1921.475312314099</v>
      </c>
      <c r="AG195" s="538">
        <f t="shared" si="341"/>
        <v>0.15482894736842101</v>
      </c>
      <c r="AI195" s="177">
        <f t="shared" si="342"/>
        <v>1.9213090775376489</v>
      </c>
      <c r="AJ195" s="177">
        <f t="shared" si="343"/>
        <v>1.9213090775376489</v>
      </c>
      <c r="AK195" s="177">
        <f t="shared" si="344"/>
        <v>1.9342060516917658</v>
      </c>
      <c r="AM195" s="555">
        <f t="shared" si="345"/>
        <v>850</v>
      </c>
      <c r="AN195" s="469">
        <f t="shared" si="346"/>
        <v>350</v>
      </c>
      <c r="AP195">
        <f t="shared" si="347"/>
        <v>850</v>
      </c>
      <c r="AQ195">
        <f t="shared" si="348"/>
        <v>350</v>
      </c>
      <c r="AS195" s="5">
        <f t="shared" si="263"/>
        <v>2.8571428571428572</v>
      </c>
      <c r="AT195" s="5">
        <f t="shared" si="349"/>
        <v>0.58474624098971928</v>
      </c>
      <c r="AU195" s="5">
        <f t="shared" si="304"/>
        <v>2.2723966161531379</v>
      </c>
      <c r="AV195" s="5"/>
      <c r="AW195" s="177">
        <f t="shared" si="305"/>
        <v>0.20466118434640174</v>
      </c>
      <c r="AX195" s="177">
        <f t="shared" si="259"/>
        <v>4.5220000000000002</v>
      </c>
      <c r="AY195" s="177">
        <f t="shared" si="260"/>
        <v>1.5280916862333012</v>
      </c>
      <c r="AZ195" s="177">
        <f t="shared" si="264"/>
        <v>2.9592465169067119</v>
      </c>
      <c r="BA195" s="469">
        <f t="shared" si="350"/>
        <v>101.93868054563885</v>
      </c>
      <c r="BB195" s="469">
        <f t="shared" si="351"/>
        <v>7.2363578960302437</v>
      </c>
      <c r="BC195" s="5">
        <f t="shared" si="359"/>
        <v>0.38879571733699014</v>
      </c>
      <c r="BD195" s="469">
        <f t="shared" si="352"/>
        <v>47.27142810942432</v>
      </c>
      <c r="BF195" s="177">
        <f t="shared" si="265"/>
        <v>0.50182737515295617</v>
      </c>
      <c r="BG195" s="177">
        <f t="shared" si="261"/>
        <v>1.9785302383570333</v>
      </c>
      <c r="BI195" s="538">
        <f t="shared" si="306"/>
        <v>2.7701378589819643E-2</v>
      </c>
      <c r="BJ195" s="538">
        <f t="shared" si="307"/>
        <v>0.11310746539464139</v>
      </c>
      <c r="BK195" s="538">
        <f t="shared" si="308"/>
        <v>1.7499999999999998E-2</v>
      </c>
      <c r="BL195" s="538">
        <f t="shared" si="309"/>
        <v>8.9117405999999996E-2</v>
      </c>
      <c r="BM195">
        <f t="shared" si="310"/>
        <v>6.6699999999999997E-3</v>
      </c>
      <c r="BN195">
        <f t="shared" si="353"/>
        <v>6.3E-5</v>
      </c>
      <c r="BO195" s="538">
        <f t="shared" si="354"/>
        <v>0.25922380416235741</v>
      </c>
      <c r="BP195" s="469">
        <f t="shared" si="311"/>
        <v>254.096249984461</v>
      </c>
      <c r="BQ195" s="538">
        <f t="shared" si="355"/>
        <v>0.62377405747271586</v>
      </c>
      <c r="BT195" s="469">
        <f t="shared" si="312"/>
        <v>623.77405747271587</v>
      </c>
      <c r="BU195" s="538">
        <f t="shared" si="313"/>
        <v>2.5183071445290584E-2</v>
      </c>
      <c r="BV195" s="538">
        <f t="shared" si="314"/>
        <v>0.11743745712279417</v>
      </c>
      <c r="BW195" s="538">
        <f t="shared" si="315"/>
        <v>0</v>
      </c>
      <c r="BX195" s="538"/>
      <c r="BY195" s="538">
        <f t="shared" si="316"/>
        <v>6.4600000000000005E-2</v>
      </c>
      <c r="BZ195" s="469">
        <f t="shared" si="317"/>
        <v>207.22052856808477</v>
      </c>
      <c r="CA195" s="177">
        <f t="shared" si="318"/>
        <v>1.0850908360252616</v>
      </c>
      <c r="CB195" s="5">
        <f t="shared" si="319"/>
        <v>4.25</v>
      </c>
      <c r="CC195" s="177">
        <f t="shared" si="320"/>
        <v>0.79661249088803265</v>
      </c>
      <c r="CD195" s="5">
        <f t="shared" si="321"/>
        <v>79.66124908880326</v>
      </c>
      <c r="CG195" s="571">
        <f t="shared" si="356"/>
        <v>-50</v>
      </c>
      <c r="CH195">
        <f t="shared" si="357"/>
        <v>-50</v>
      </c>
    </row>
    <row r="196" spans="5:86" x14ac:dyDescent="0.2">
      <c r="E196" s="174">
        <v>86</v>
      </c>
      <c r="F196" s="221">
        <f t="shared" si="358"/>
        <v>0.86</v>
      </c>
      <c r="G196" s="221"/>
      <c r="H196" s="221">
        <f t="shared" si="322"/>
        <v>4.3</v>
      </c>
      <c r="I196" s="551">
        <f t="shared" si="323"/>
        <v>23</v>
      </c>
      <c r="J196" s="451">
        <f t="shared" si="324"/>
        <v>10.64</v>
      </c>
      <c r="K196" s="451">
        <f t="shared" si="325"/>
        <v>33.64</v>
      </c>
      <c r="L196" s="451"/>
      <c r="M196" s="221">
        <f t="shared" si="326"/>
        <v>0.31629013079667062</v>
      </c>
      <c r="N196" s="176">
        <f t="shared" si="327"/>
        <v>13.744455410225921</v>
      </c>
      <c r="O196" s="176">
        <f t="shared" si="262"/>
        <v>4.3</v>
      </c>
      <c r="P196" s="221">
        <f t="shared" si="328"/>
        <v>2.7488910820451844</v>
      </c>
      <c r="Q196" s="221">
        <f t="shared" si="329"/>
        <v>5</v>
      </c>
      <c r="R196" s="221"/>
      <c r="S196" s="176">
        <f t="shared" si="330"/>
        <v>37.939209247953798</v>
      </c>
      <c r="T196" s="546">
        <f t="shared" si="331"/>
        <v>5</v>
      </c>
      <c r="U196" s="221">
        <f t="shared" si="332"/>
        <v>1.3135374668555446</v>
      </c>
      <c r="V196" s="221">
        <f t="shared" si="333"/>
        <v>0.39977227252125269</v>
      </c>
      <c r="W196" s="221">
        <f t="shared" si="334"/>
        <v>0.86416938608917393</v>
      </c>
      <c r="X196" s="201">
        <f t="shared" si="335"/>
        <v>350</v>
      </c>
      <c r="Y196" s="451">
        <f t="shared" si="303"/>
        <v>350</v>
      </c>
      <c r="AA196" s="221">
        <f t="shared" si="336"/>
        <v>2.9692542891116021</v>
      </c>
      <c r="AB196" s="177">
        <f t="shared" si="337"/>
        <v>1.9534567691523697</v>
      </c>
      <c r="AC196" s="177">
        <f t="shared" si="338"/>
        <v>2.0301084616399181</v>
      </c>
      <c r="AD196" s="177"/>
      <c r="AE196" s="177">
        <f t="shared" si="339"/>
        <v>0.53947368421052622</v>
      </c>
      <c r="AF196" s="555">
        <f t="shared" si="340"/>
        <v>1944.0809042236767</v>
      </c>
      <c r="AG196" s="538">
        <f t="shared" si="341"/>
        <v>0.15482894736842101</v>
      </c>
      <c r="AI196" s="177">
        <f t="shared" si="342"/>
        <v>1.9325778491065098</v>
      </c>
      <c r="AJ196" s="177">
        <f t="shared" si="343"/>
        <v>1.9325778491065098</v>
      </c>
      <c r="AK196" s="177">
        <f t="shared" si="344"/>
        <v>1.9417185660710066</v>
      </c>
      <c r="AM196" s="555">
        <f t="shared" si="345"/>
        <v>860</v>
      </c>
      <c r="AN196" s="469">
        <f t="shared" si="346"/>
        <v>350</v>
      </c>
      <c r="AP196">
        <f t="shared" si="347"/>
        <v>860</v>
      </c>
      <c r="AQ196">
        <f t="shared" si="348"/>
        <v>350</v>
      </c>
      <c r="AS196" s="5">
        <f t="shared" si="263"/>
        <v>2.8571428571428572</v>
      </c>
      <c r="AT196" s="5">
        <f t="shared" si="349"/>
        <v>0.58817586711937253</v>
      </c>
      <c r="AU196" s="5">
        <f t="shared" si="304"/>
        <v>2.2689669900234848</v>
      </c>
      <c r="AV196" s="5"/>
      <c r="AW196" s="177">
        <f t="shared" si="305"/>
        <v>0.20586155349178037</v>
      </c>
      <c r="AX196" s="177">
        <f t="shared" si="259"/>
        <v>4.5752000000000006</v>
      </c>
      <c r="AY196" s="177">
        <f t="shared" si="260"/>
        <v>1.5347343708456402</v>
      </c>
      <c r="AZ196" s="177">
        <f t="shared" si="264"/>
        <v>2.9811021939119411</v>
      </c>
      <c r="BA196" s="469">
        <f t="shared" si="350"/>
        <v>101.93868054563885</v>
      </c>
      <c r="BB196" s="469">
        <f t="shared" si="351"/>
        <v>7.3772737714933818</v>
      </c>
      <c r="BC196" s="5">
        <f t="shared" si="359"/>
        <v>0.39277608925527308</v>
      </c>
      <c r="BD196" s="469">
        <f t="shared" si="352"/>
        <v>47.756319116429879</v>
      </c>
      <c r="BF196" s="177">
        <f t="shared" si="265"/>
        <v>0.50624878386633976</v>
      </c>
      <c r="BG196" s="177">
        <f t="shared" si="261"/>
        <v>1.9886322433132106</v>
      </c>
      <c r="BI196" s="538">
        <f t="shared" si="306"/>
        <v>2.8191661428276282E-2</v>
      </c>
      <c r="BJ196" s="538">
        <f t="shared" si="307"/>
        <v>0.11377085797690024</v>
      </c>
      <c r="BK196" s="538">
        <f t="shared" si="308"/>
        <v>1.7499999999999998E-2</v>
      </c>
      <c r="BL196" s="538">
        <f t="shared" si="309"/>
        <v>8.9117405999999996E-2</v>
      </c>
      <c r="BM196">
        <f t="shared" si="310"/>
        <v>6.6699999999999997E-3</v>
      </c>
      <c r="BN196">
        <f t="shared" si="353"/>
        <v>6.3E-5</v>
      </c>
      <c r="BO196" s="538">
        <f t="shared" si="354"/>
        <v>0.26047361715073775</v>
      </c>
      <c r="BP196" s="469">
        <f t="shared" si="311"/>
        <v>255.2499254051765</v>
      </c>
      <c r="BQ196" s="538">
        <f t="shared" si="355"/>
        <v>0.63065588641467296</v>
      </c>
      <c r="BT196" s="469">
        <f t="shared" si="312"/>
        <v>630.65588641467298</v>
      </c>
      <c r="BU196" s="538">
        <f t="shared" si="313"/>
        <v>2.5628783116614803E-2</v>
      </c>
      <c r="BV196" s="538">
        <f t="shared" si="314"/>
        <v>0.11863974597434798</v>
      </c>
      <c r="BW196" s="538">
        <f t="shared" si="315"/>
        <v>0</v>
      </c>
      <c r="BX196" s="538"/>
      <c r="BY196" s="538">
        <f t="shared" si="316"/>
        <v>6.5360000000000015E-2</v>
      </c>
      <c r="BZ196" s="469">
        <f t="shared" si="317"/>
        <v>209.62852909096281</v>
      </c>
      <c r="CA196" s="177">
        <f t="shared" si="318"/>
        <v>1.0955343409108123</v>
      </c>
      <c r="CB196" s="5">
        <f t="shared" si="319"/>
        <v>4.3</v>
      </c>
      <c r="CC196" s="177">
        <f t="shared" si="320"/>
        <v>0.79695535758078839</v>
      </c>
      <c r="CD196" s="5">
        <f t="shared" si="321"/>
        <v>79.695535758078833</v>
      </c>
      <c r="CG196" s="571">
        <f t="shared" si="356"/>
        <v>-50</v>
      </c>
      <c r="CH196">
        <f t="shared" si="357"/>
        <v>-50</v>
      </c>
    </row>
    <row r="197" spans="5:86" x14ac:dyDescent="0.2">
      <c r="E197" s="174">
        <v>87</v>
      </c>
      <c r="F197" s="221">
        <f t="shared" si="358"/>
        <v>0.87</v>
      </c>
      <c r="G197" s="221"/>
      <c r="H197" s="221">
        <f t="shared" si="322"/>
        <v>4.3499999999999996</v>
      </c>
      <c r="I197" s="551">
        <f t="shared" si="323"/>
        <v>23</v>
      </c>
      <c r="J197" s="451">
        <f t="shared" si="324"/>
        <v>10.64</v>
      </c>
      <c r="K197" s="451">
        <f t="shared" si="325"/>
        <v>33.64</v>
      </c>
      <c r="L197" s="451"/>
      <c r="M197" s="221">
        <f t="shared" si="326"/>
        <v>0.31629013079667062</v>
      </c>
      <c r="N197" s="176">
        <f t="shared" si="327"/>
        <v>13.744455410225921</v>
      </c>
      <c r="O197" s="176">
        <f t="shared" si="262"/>
        <v>4.3499999999999996</v>
      </c>
      <c r="P197" s="221">
        <f t="shared" si="328"/>
        <v>2.7488910820451844</v>
      </c>
      <c r="Q197" s="221">
        <f t="shared" si="329"/>
        <v>5</v>
      </c>
      <c r="R197" s="221"/>
      <c r="S197" s="176">
        <f t="shared" si="330"/>
        <v>37.373491655357974</v>
      </c>
      <c r="T197" s="546">
        <f t="shared" si="331"/>
        <v>5</v>
      </c>
      <c r="U197" s="221">
        <f t="shared" si="332"/>
        <v>1.328811158330609</v>
      </c>
      <c r="V197" s="221">
        <f t="shared" si="333"/>
        <v>0.40442078731801145</v>
      </c>
      <c r="W197" s="221">
        <f t="shared" si="334"/>
        <v>0.87421786732276907</v>
      </c>
      <c r="X197" s="201">
        <f t="shared" si="335"/>
        <v>350</v>
      </c>
      <c r="Y197" s="451">
        <f t="shared" si="303"/>
        <v>350</v>
      </c>
      <c r="AA197" s="221">
        <f t="shared" si="336"/>
        <v>2.9692542891116021</v>
      </c>
      <c r="AB197" s="177">
        <f t="shared" si="337"/>
        <v>1.9534567691523697</v>
      </c>
      <c r="AC197" s="177">
        <f t="shared" si="338"/>
        <v>2.0301084616399181</v>
      </c>
      <c r="AD197" s="177"/>
      <c r="AE197" s="177">
        <f t="shared" si="339"/>
        <v>0.53947368421052622</v>
      </c>
      <c r="AF197" s="555">
        <f t="shared" si="340"/>
        <v>1966.6864961332544</v>
      </c>
      <c r="AG197" s="538">
        <f t="shared" si="341"/>
        <v>0.15482894736842101</v>
      </c>
      <c r="AI197" s="177">
        <f t="shared" si="342"/>
        <v>1.9437812928119549</v>
      </c>
      <c r="AJ197" s="177">
        <f t="shared" si="343"/>
        <v>1.9437812928119549</v>
      </c>
      <c r="AK197" s="177">
        <f t="shared" si="344"/>
        <v>1.9491875285413032</v>
      </c>
      <c r="AM197" s="555">
        <f t="shared" si="345"/>
        <v>870</v>
      </c>
      <c r="AN197" s="469">
        <f t="shared" si="346"/>
        <v>350</v>
      </c>
      <c r="AP197">
        <f t="shared" si="347"/>
        <v>870</v>
      </c>
      <c r="AQ197">
        <f t="shared" si="348"/>
        <v>350</v>
      </c>
      <c r="AS197" s="5">
        <f t="shared" si="263"/>
        <v>2.8571428571428572</v>
      </c>
      <c r="AT197" s="5">
        <f t="shared" si="349"/>
        <v>0.59158561085581229</v>
      </c>
      <c r="AU197" s="5">
        <f t="shared" si="304"/>
        <v>2.2655572462870448</v>
      </c>
      <c r="AV197" s="5"/>
      <c r="AW197" s="177">
        <f t="shared" si="305"/>
        <v>0.20705496379953431</v>
      </c>
      <c r="AX197" s="177">
        <f t="shared" ref="AX197:AX210" si="360">0.5*L*AJ197^2*AN197*1000</f>
        <v>4.628400000000001</v>
      </c>
      <c r="AY197" s="177">
        <f t="shared" ref="AY197:AY210" si="361">AJ197*Nps/2*(1-AW197)</f>
        <v>1.5413117275945636</v>
      </c>
      <c r="AZ197" s="177">
        <f t="shared" si="264"/>
        <v>3.0028967645781028</v>
      </c>
      <c r="BA197" s="469">
        <f t="shared" si="350"/>
        <v>101.93868054563885</v>
      </c>
      <c r="BB197" s="469">
        <f t="shared" si="351"/>
        <v>7.5194869086578429</v>
      </c>
      <c r="BC197" s="5">
        <f t="shared" si="359"/>
        <v>0.39674613612514664</v>
      </c>
      <c r="BD197" s="469">
        <f t="shared" si="352"/>
        <v>48.239971117626297</v>
      </c>
      <c r="BF197" s="177">
        <f t="shared" si="265"/>
        <v>0.51065735798600032</v>
      </c>
      <c r="BG197" s="177">
        <f t="shared" ref="BG197:BG210" si="362">AJ197*Nps*SQRT((1-AW197)/3)</f>
        <v>1.9986571833742066</v>
      </c>
      <c r="BI197" s="538">
        <f t="shared" si="306"/>
        <v>2.868480309917663E-2</v>
      </c>
      <c r="BJ197" s="538">
        <f t="shared" si="307"/>
        <v>0.11443040470783979</v>
      </c>
      <c r="BK197" s="538">
        <f t="shared" si="308"/>
        <v>1.7499999999999998E-2</v>
      </c>
      <c r="BL197" s="538">
        <f t="shared" si="309"/>
        <v>8.9117405999999996E-2</v>
      </c>
      <c r="BM197">
        <f t="shared" si="310"/>
        <v>6.6699999999999997E-3</v>
      </c>
      <c r="BN197">
        <f t="shared" si="353"/>
        <v>6.3E-5</v>
      </c>
      <c r="BO197" s="538">
        <f t="shared" si="354"/>
        <v>0.2617231919584373</v>
      </c>
      <c r="BP197" s="469">
        <f t="shared" si="311"/>
        <v>256.40261380701639</v>
      </c>
      <c r="BQ197" s="538">
        <f t="shared" si="355"/>
        <v>0.63752977300031344</v>
      </c>
      <c r="BT197" s="469">
        <f t="shared" si="312"/>
        <v>637.52977300031341</v>
      </c>
      <c r="BU197" s="538">
        <f t="shared" si="313"/>
        <v>2.6077093726524211E-2</v>
      </c>
      <c r="BV197" s="538">
        <f t="shared" si="314"/>
        <v>0.1198389160995995</v>
      </c>
      <c r="BW197" s="538">
        <f t="shared" si="315"/>
        <v>0</v>
      </c>
      <c r="BX197" s="538"/>
      <c r="BY197" s="538">
        <f t="shared" si="316"/>
        <v>6.6120000000000012E-2</v>
      </c>
      <c r="BZ197" s="469">
        <f t="shared" si="317"/>
        <v>212.03600982612372</v>
      </c>
      <c r="CA197" s="177">
        <f t="shared" si="318"/>
        <v>1.1059683966334535</v>
      </c>
      <c r="CB197" s="5">
        <f t="shared" si="319"/>
        <v>4.3499999999999996</v>
      </c>
      <c r="CC197" s="177">
        <f t="shared" si="320"/>
        <v>0.79729200826825175</v>
      </c>
      <c r="CD197" s="5">
        <f t="shared" si="321"/>
        <v>79.729200826825178</v>
      </c>
      <c r="CG197" s="571">
        <f t="shared" si="356"/>
        <v>-50</v>
      </c>
      <c r="CH197">
        <f t="shared" si="357"/>
        <v>-50</v>
      </c>
    </row>
    <row r="198" spans="5:86" x14ac:dyDescent="0.2">
      <c r="E198" s="174">
        <v>88</v>
      </c>
      <c r="F198" s="221">
        <f t="shared" si="358"/>
        <v>0.88</v>
      </c>
      <c r="G198" s="221"/>
      <c r="H198" s="221">
        <f t="shared" si="322"/>
        <v>4.4000000000000004</v>
      </c>
      <c r="I198" s="551">
        <f t="shared" si="323"/>
        <v>23</v>
      </c>
      <c r="J198" s="451">
        <f t="shared" si="324"/>
        <v>10.64</v>
      </c>
      <c r="K198" s="451">
        <f t="shared" si="325"/>
        <v>33.64</v>
      </c>
      <c r="L198" s="451"/>
      <c r="M198" s="221">
        <f t="shared" si="326"/>
        <v>0.31629013079667062</v>
      </c>
      <c r="N198" s="176">
        <f t="shared" si="327"/>
        <v>13.744455410225921</v>
      </c>
      <c r="O198" s="176">
        <f t="shared" ref="O198:O261" si="363">T198*F198</f>
        <v>4.4000000000000004</v>
      </c>
      <c r="P198" s="221">
        <f t="shared" si="328"/>
        <v>2.7488910820451844</v>
      </c>
      <c r="Q198" s="221">
        <f t="shared" si="329"/>
        <v>5</v>
      </c>
      <c r="R198" s="221"/>
      <c r="S198" s="176">
        <f t="shared" si="330"/>
        <v>36.820673656862233</v>
      </c>
      <c r="T198" s="546">
        <f t="shared" si="331"/>
        <v>5</v>
      </c>
      <c r="U198" s="221">
        <f t="shared" si="332"/>
        <v>1.3440848498056739</v>
      </c>
      <c r="V198" s="221">
        <f t="shared" si="333"/>
        <v>0.40906930211477033</v>
      </c>
      <c r="W198" s="221">
        <f t="shared" si="334"/>
        <v>0.88426634855636432</v>
      </c>
      <c r="X198" s="201">
        <f t="shared" si="335"/>
        <v>350</v>
      </c>
      <c r="Y198" s="451">
        <f t="shared" si="303"/>
        <v>350</v>
      </c>
      <c r="AA198" s="221">
        <f t="shared" si="336"/>
        <v>2.9692542891116021</v>
      </c>
      <c r="AB198" s="177">
        <f t="shared" si="337"/>
        <v>1.9534567691523697</v>
      </c>
      <c r="AC198" s="177">
        <f t="shared" si="338"/>
        <v>2.0301084616399181</v>
      </c>
      <c r="AD198" s="177"/>
      <c r="AE198" s="177">
        <f t="shared" si="339"/>
        <v>0.53947368421052622</v>
      </c>
      <c r="AF198" s="555">
        <f t="shared" si="340"/>
        <v>1989.2920880428319</v>
      </c>
      <c r="AG198" s="538">
        <f t="shared" si="341"/>
        <v>0.15482894736842101</v>
      </c>
      <c r="AI198" s="177">
        <f t="shared" si="342"/>
        <v>1.9549205318156251</v>
      </c>
      <c r="AJ198" s="177">
        <f t="shared" si="343"/>
        <v>1.9549205318156251</v>
      </c>
      <c r="AK198" s="177">
        <f t="shared" si="344"/>
        <v>1.9566136878770835</v>
      </c>
      <c r="AM198" s="555">
        <f t="shared" si="345"/>
        <v>880</v>
      </c>
      <c r="AN198" s="469">
        <f t="shared" si="346"/>
        <v>350</v>
      </c>
      <c r="AP198">
        <f t="shared" si="347"/>
        <v>880</v>
      </c>
      <c r="AQ198">
        <f t="shared" si="348"/>
        <v>350</v>
      </c>
      <c r="AS198" s="5">
        <f t="shared" ref="AS198:AS262" si="364">1/AN198*1000</f>
        <v>2.8571428571428572</v>
      </c>
      <c r="AT198" s="5">
        <f t="shared" si="349"/>
        <v>0.59497581403084232</v>
      </c>
      <c r="AU198" s="5">
        <f t="shared" si="304"/>
        <v>2.2621670431120151</v>
      </c>
      <c r="AV198" s="5"/>
      <c r="AW198" s="177">
        <f t="shared" si="305"/>
        <v>0.20824153491079481</v>
      </c>
      <c r="AX198" s="177">
        <f t="shared" si="360"/>
        <v>4.6816000000000013</v>
      </c>
      <c r="AY198" s="177">
        <f t="shared" si="361"/>
        <v>1.547824879641712</v>
      </c>
      <c r="AZ198" s="177">
        <f t="shared" ref="AZ198:AZ210" si="365">AX198/AY198</f>
        <v>3.0246315727162174</v>
      </c>
      <c r="BA198" s="469">
        <f t="shared" si="350"/>
        <v>101.93868054563885</v>
      </c>
      <c r="BB198" s="469">
        <f t="shared" si="351"/>
        <v>7.6629973075236286</v>
      </c>
      <c r="BC198" s="5">
        <f t="shared" si="359"/>
        <v>0.40070591745945516</v>
      </c>
      <c r="BD198" s="469">
        <f t="shared" si="352"/>
        <v>48.722391254554907</v>
      </c>
      <c r="BF198" s="177">
        <f t="shared" ref="BF198:BF210" si="366">AJ198*SQRT(AW198/3)</f>
        <v>0.51505328166046893</v>
      </c>
      <c r="BG198" s="177">
        <f t="shared" si="362"/>
        <v>2.0086063615905867</v>
      </c>
      <c r="BI198" s="538">
        <f t="shared" si="306"/>
        <v>2.9180787124414017E-2</v>
      </c>
      <c r="BJ198" s="538">
        <f t="shared" si="307"/>
        <v>0.11508617170798585</v>
      </c>
      <c r="BK198" s="538">
        <f t="shared" si="308"/>
        <v>1.7499999999999998E-2</v>
      </c>
      <c r="BL198" s="538">
        <f t="shared" si="309"/>
        <v>8.9117405999999996E-2</v>
      </c>
      <c r="BM198">
        <f t="shared" si="310"/>
        <v>6.6699999999999997E-3</v>
      </c>
      <c r="BN198">
        <f t="shared" si="353"/>
        <v>6.3E-5</v>
      </c>
      <c r="BO198" s="538">
        <f t="shared" si="354"/>
        <v>0.26297257737880486</v>
      </c>
      <c r="BP198" s="469">
        <f t="shared" si="311"/>
        <v>257.55436483239987</v>
      </c>
      <c r="BQ198" s="538">
        <f t="shared" si="355"/>
        <v>0.64439576300881418</v>
      </c>
      <c r="BT198" s="469">
        <f t="shared" si="312"/>
        <v>644.39576300881413</v>
      </c>
      <c r="BU198" s="538">
        <f t="shared" si="313"/>
        <v>2.6527988294921836E-2</v>
      </c>
      <c r="BV198" s="538">
        <f t="shared" si="314"/>
        <v>0.12103498547466524</v>
      </c>
      <c r="BW198" s="538">
        <f t="shared" si="315"/>
        <v>0</v>
      </c>
      <c r="BX198" s="538"/>
      <c r="BY198" s="538">
        <f t="shared" si="316"/>
        <v>6.6880000000000023E-2</v>
      </c>
      <c r="BZ198" s="469">
        <f t="shared" si="317"/>
        <v>214.4429737695871</v>
      </c>
      <c r="CA198" s="177">
        <f t="shared" si="318"/>
        <v>1.1163931016108013</v>
      </c>
      <c r="CB198" s="5">
        <f t="shared" si="319"/>
        <v>4.4000000000000004</v>
      </c>
      <c r="CC198" s="177">
        <f t="shared" si="320"/>
        <v>0.79762263474573425</v>
      </c>
      <c r="CD198" s="5">
        <f t="shared" si="321"/>
        <v>79.76226347457343</v>
      </c>
      <c r="CG198" s="571">
        <f t="shared" si="356"/>
        <v>-50</v>
      </c>
      <c r="CH198">
        <f t="shared" si="357"/>
        <v>-50</v>
      </c>
    </row>
    <row r="199" spans="5:86" x14ac:dyDescent="0.2">
      <c r="E199" s="174">
        <v>89</v>
      </c>
      <c r="F199" s="221">
        <f t="shared" si="358"/>
        <v>0.89</v>
      </c>
      <c r="G199" s="221"/>
      <c r="H199" s="221">
        <f t="shared" si="322"/>
        <v>4.45</v>
      </c>
      <c r="I199" s="551">
        <f t="shared" si="323"/>
        <v>23</v>
      </c>
      <c r="J199" s="451">
        <f t="shared" si="324"/>
        <v>10.64</v>
      </c>
      <c r="K199" s="451">
        <f t="shared" si="325"/>
        <v>33.64</v>
      </c>
      <c r="L199" s="451"/>
      <c r="M199" s="221">
        <f t="shared" si="326"/>
        <v>0.31629013079667062</v>
      </c>
      <c r="N199" s="176">
        <f t="shared" si="327"/>
        <v>13.744455410225921</v>
      </c>
      <c r="O199" s="176">
        <f t="shared" si="363"/>
        <v>4.45</v>
      </c>
      <c r="P199" s="221">
        <f t="shared" si="328"/>
        <v>2.7488910820451844</v>
      </c>
      <c r="Q199" s="221">
        <f t="shared" si="329"/>
        <v>5</v>
      </c>
      <c r="R199" s="221"/>
      <c r="S199" s="176">
        <f t="shared" si="330"/>
        <v>36.280320847570984</v>
      </c>
      <c r="T199" s="546">
        <f t="shared" si="331"/>
        <v>5</v>
      </c>
      <c r="U199" s="221">
        <f t="shared" si="332"/>
        <v>1.3593585412807383</v>
      </c>
      <c r="V199" s="221">
        <f t="shared" si="333"/>
        <v>0.41371781691152903</v>
      </c>
      <c r="W199" s="221">
        <f t="shared" si="334"/>
        <v>0.89431482978995924</v>
      </c>
      <c r="X199" s="201">
        <f t="shared" si="335"/>
        <v>350</v>
      </c>
      <c r="Y199" s="451">
        <f t="shared" si="303"/>
        <v>350</v>
      </c>
      <c r="AA199" s="221">
        <f t="shared" si="336"/>
        <v>2.9692542891116021</v>
      </c>
      <c r="AB199" s="177">
        <f t="shared" si="337"/>
        <v>1.9534567691523697</v>
      </c>
      <c r="AC199" s="177">
        <f t="shared" si="338"/>
        <v>2.0301084616399181</v>
      </c>
      <c r="AD199" s="177"/>
      <c r="AE199" s="177">
        <f t="shared" si="339"/>
        <v>0.53947368421052622</v>
      </c>
      <c r="AF199" s="555">
        <f t="shared" si="340"/>
        <v>2011.8976799524096</v>
      </c>
      <c r="AG199" s="538">
        <f t="shared" si="341"/>
        <v>0.15482894736842101</v>
      </c>
      <c r="AI199" s="177">
        <f t="shared" si="342"/>
        <v>1.9659966574597367</v>
      </c>
      <c r="AJ199" s="177">
        <f t="shared" si="343"/>
        <v>1.9659966574597367</v>
      </c>
      <c r="AK199" s="177">
        <f t="shared" si="344"/>
        <v>1.9639977716398245</v>
      </c>
      <c r="AM199" s="555">
        <f t="shared" si="345"/>
        <v>890</v>
      </c>
      <c r="AN199" s="469">
        <f t="shared" si="346"/>
        <v>350</v>
      </c>
      <c r="AP199">
        <f t="shared" si="347"/>
        <v>890</v>
      </c>
      <c r="AQ199">
        <f t="shared" si="348"/>
        <v>350</v>
      </c>
      <c r="AS199" s="5">
        <f t="shared" si="364"/>
        <v>2.8571428571428572</v>
      </c>
      <c r="AT199" s="5">
        <f t="shared" si="349"/>
        <v>0.59834680879209379</v>
      </c>
      <c r="AU199" s="5">
        <f t="shared" si="304"/>
        <v>2.2587960483507636</v>
      </c>
      <c r="AV199" s="5"/>
      <c r="AW199" s="177">
        <f t="shared" si="305"/>
        <v>0.20942138307723282</v>
      </c>
      <c r="AX199" s="177">
        <f t="shared" si="360"/>
        <v>4.7347999999999999</v>
      </c>
      <c r="AY199" s="177">
        <f t="shared" si="361"/>
        <v>1.5542749183293021</v>
      </c>
      <c r="AZ199" s="177">
        <f t="shared" si="365"/>
        <v>3.0463079241408981</v>
      </c>
      <c r="BA199" s="469">
        <f t="shared" si="350"/>
        <v>101.93868054563885</v>
      </c>
      <c r="BB199" s="469">
        <f t="shared" si="351"/>
        <v>7.8078049680907364</v>
      </c>
      <c r="BC199" s="5">
        <f t="shared" si="359"/>
        <v>0.40465549175365934</v>
      </c>
      <c r="BD199" s="469">
        <f t="shared" si="352"/>
        <v>49.203586546671005</v>
      </c>
      <c r="BF199" s="177">
        <f t="shared" si="366"/>
        <v>0.51943673433632087</v>
      </c>
      <c r="BG199" s="177">
        <f t="shared" si="362"/>
        <v>2.0184810441547092</v>
      </c>
      <c r="BI199" s="538">
        <f t="shared" si="306"/>
        <v>2.9679597307577976E-2</v>
      </c>
      <c r="BJ199" s="538">
        <f t="shared" si="307"/>
        <v>0.11573822322465468</v>
      </c>
      <c r="BK199" s="538">
        <f t="shared" si="308"/>
        <v>1.7499999999999998E-2</v>
      </c>
      <c r="BL199" s="538">
        <f t="shared" si="309"/>
        <v>8.9117405999999996E-2</v>
      </c>
      <c r="BM199">
        <f t="shared" si="310"/>
        <v>6.6699999999999997E-3</v>
      </c>
      <c r="BN199">
        <f t="shared" si="353"/>
        <v>6.3E-5</v>
      </c>
      <c r="BO199" s="538">
        <f t="shared" si="354"/>
        <v>0.26422182065898842</v>
      </c>
      <c r="BP199" s="469">
        <f t="shared" si="311"/>
        <v>258.70522653223264</v>
      </c>
      <c r="BQ199" s="538">
        <f t="shared" si="355"/>
        <v>0.65125390143674811</v>
      </c>
      <c r="BT199" s="469">
        <f t="shared" si="312"/>
        <v>651.25390143674815</v>
      </c>
      <c r="BU199" s="538">
        <f t="shared" si="313"/>
        <v>2.6981452097798161E-2</v>
      </c>
      <c r="BV199" s="538">
        <f t="shared" si="314"/>
        <v>0.12222797176835654</v>
      </c>
      <c r="BW199" s="538">
        <f t="shared" si="315"/>
        <v>0</v>
      </c>
      <c r="BX199" s="538"/>
      <c r="BY199" s="538">
        <f t="shared" si="316"/>
        <v>6.7640000000000006E-2</v>
      </c>
      <c r="BZ199" s="469">
        <f t="shared" si="317"/>
        <v>216.84942386615472</v>
      </c>
      <c r="CA199" s="177">
        <f t="shared" si="318"/>
        <v>1.1268085518351354</v>
      </c>
      <c r="CB199" s="5">
        <f t="shared" si="319"/>
        <v>4.45</v>
      </c>
      <c r="CC199" s="177">
        <f t="shared" si="320"/>
        <v>0.79794742075835801</v>
      </c>
      <c r="CD199" s="5">
        <f t="shared" si="321"/>
        <v>79.794742075835799</v>
      </c>
      <c r="CG199" s="571">
        <f t="shared" si="356"/>
        <v>-50</v>
      </c>
      <c r="CH199">
        <f t="shared" si="357"/>
        <v>-50</v>
      </c>
    </row>
    <row r="200" spans="5:86" x14ac:dyDescent="0.2">
      <c r="E200" s="174">
        <v>90</v>
      </c>
      <c r="F200" s="221">
        <f t="shared" si="358"/>
        <v>0.9</v>
      </c>
      <c r="G200" s="221"/>
      <c r="H200" s="221">
        <f t="shared" si="322"/>
        <v>4.5</v>
      </c>
      <c r="I200" s="551">
        <f t="shared" si="323"/>
        <v>23</v>
      </c>
      <c r="J200" s="451">
        <f t="shared" si="324"/>
        <v>10.64</v>
      </c>
      <c r="K200" s="451">
        <f t="shared" si="325"/>
        <v>33.64</v>
      </c>
      <c r="L200" s="451"/>
      <c r="M200" s="221">
        <f t="shared" si="326"/>
        <v>0.31629013079667062</v>
      </c>
      <c r="N200" s="176">
        <f t="shared" si="327"/>
        <v>13.744455410225921</v>
      </c>
      <c r="O200" s="176">
        <f t="shared" si="363"/>
        <v>4.5</v>
      </c>
      <c r="P200" s="221">
        <f t="shared" si="328"/>
        <v>2.7488910820451844</v>
      </c>
      <c r="Q200" s="221">
        <f t="shared" si="329"/>
        <v>5</v>
      </c>
      <c r="R200" s="221"/>
      <c r="S200" s="176">
        <f t="shared" si="330"/>
        <v>35.752018134562704</v>
      </c>
      <c r="T200" s="546">
        <f t="shared" si="331"/>
        <v>5</v>
      </c>
      <c r="U200" s="221">
        <f t="shared" si="332"/>
        <v>1.3746322327558027</v>
      </c>
      <c r="V200" s="221">
        <f t="shared" si="333"/>
        <v>0.4183663317082878</v>
      </c>
      <c r="W200" s="221">
        <f t="shared" si="334"/>
        <v>0.90436331102355438</v>
      </c>
      <c r="X200" s="201">
        <f t="shared" si="335"/>
        <v>350</v>
      </c>
      <c r="Y200" s="451">
        <f t="shared" si="303"/>
        <v>350</v>
      </c>
      <c r="AA200" s="221">
        <f t="shared" si="336"/>
        <v>2.9692542891116021</v>
      </c>
      <c r="AB200" s="177">
        <f t="shared" si="337"/>
        <v>1.9534567691523697</v>
      </c>
      <c r="AC200" s="177">
        <f t="shared" si="338"/>
        <v>2.0301084616399181</v>
      </c>
      <c r="AD200" s="177"/>
      <c r="AE200" s="177">
        <f t="shared" si="339"/>
        <v>0.53947368421052622</v>
      </c>
      <c r="AF200" s="555">
        <f t="shared" si="340"/>
        <v>2034.5032718619875</v>
      </c>
      <c r="AG200" s="538">
        <f t="shared" si="341"/>
        <v>0.15482894736842101</v>
      </c>
      <c r="AI200" s="177">
        <f t="shared" si="342"/>
        <v>1.9770107305149938</v>
      </c>
      <c r="AJ200" s="177">
        <f t="shared" si="343"/>
        <v>1.9770107305149938</v>
      </c>
      <c r="AK200" s="177">
        <f t="shared" si="344"/>
        <v>1.971340487009996</v>
      </c>
      <c r="AM200" s="555">
        <f t="shared" si="345"/>
        <v>900</v>
      </c>
      <c r="AN200" s="469">
        <f t="shared" si="346"/>
        <v>350</v>
      </c>
      <c r="AP200">
        <f t="shared" si="347"/>
        <v>900</v>
      </c>
      <c r="AQ200">
        <f t="shared" si="348"/>
        <v>350</v>
      </c>
      <c r="AS200" s="5">
        <f t="shared" si="364"/>
        <v>2.8571428571428572</v>
      </c>
      <c r="AT200" s="5">
        <f t="shared" si="349"/>
        <v>0.60169891798282416</v>
      </c>
      <c r="AU200" s="5">
        <f t="shared" si="304"/>
        <v>2.2554439391600329</v>
      </c>
      <c r="AV200" s="5"/>
      <c r="AW200" s="177">
        <f t="shared" si="305"/>
        <v>0.21059462129398845</v>
      </c>
      <c r="AX200" s="177">
        <f t="shared" si="360"/>
        <v>4.7880000000000003</v>
      </c>
      <c r="AY200" s="177">
        <f t="shared" si="361"/>
        <v>1.5606629044280373</v>
      </c>
      <c r="AZ200" s="177">
        <f t="shared" si="365"/>
        <v>3.0679270881720226</v>
      </c>
      <c r="BA200" s="469">
        <f t="shared" si="350"/>
        <v>101.93868054563885</v>
      </c>
      <c r="BB200" s="469">
        <f t="shared" si="351"/>
        <v>7.9539098903591672</v>
      </c>
      <c r="BC200" s="5">
        <f t="shared" si="359"/>
        <v>0.40859491651449864</v>
      </c>
      <c r="BD200" s="469">
        <f t="shared" si="352"/>
        <v>49.683563894783326</v>
      </c>
      <c r="BF200" s="177">
        <f t="shared" si="366"/>
        <v>0.52380789092964974</v>
      </c>
      <c r="BG200" s="177">
        <f t="shared" si="362"/>
        <v>2.028282461844972</v>
      </c>
      <c r="BI200" s="538">
        <f t="shared" si="306"/>
        <v>3.018121772601846E-2</v>
      </c>
      <c r="BJ200" s="538">
        <f t="shared" si="307"/>
        <v>0.11638662170541768</v>
      </c>
      <c r="BK200" s="538">
        <f t="shared" si="308"/>
        <v>1.7499999999999998E-2</v>
      </c>
      <c r="BL200" s="538">
        <f t="shared" si="309"/>
        <v>8.9117405999999996E-2</v>
      </c>
      <c r="BM200">
        <f t="shared" si="310"/>
        <v>6.6699999999999997E-3</v>
      </c>
      <c r="BN200">
        <f t="shared" si="353"/>
        <v>6.3E-5</v>
      </c>
      <c r="BO200" s="538">
        <f t="shared" si="354"/>
        <v>0.26547096756423127</v>
      </c>
      <c r="BP200" s="469">
        <f t="shared" si="311"/>
        <v>259.85524543143612</v>
      </c>
      <c r="BQ200" s="538">
        <f t="shared" si="355"/>
        <v>0.65810423252013162</v>
      </c>
      <c r="BT200" s="469">
        <f t="shared" si="312"/>
        <v>658.10423252013163</v>
      </c>
      <c r="BU200" s="538">
        <f t="shared" si="313"/>
        <v>2.7437470660016783E-2</v>
      </c>
      <c r="BV200" s="538">
        <f t="shared" si="314"/>
        <v>0.12341789235083701</v>
      </c>
      <c r="BW200" s="538">
        <f t="shared" si="315"/>
        <v>0</v>
      </c>
      <c r="BX200" s="538"/>
      <c r="BY200" s="538">
        <f t="shared" si="316"/>
        <v>6.8400000000000016E-2</v>
      </c>
      <c r="BZ200" s="469">
        <f t="shared" si="317"/>
        <v>219.25536301085378</v>
      </c>
      <c r="CA200" s="177">
        <f t="shared" si="318"/>
        <v>1.1372148409624216</v>
      </c>
      <c r="CB200" s="5">
        <f t="shared" si="319"/>
        <v>4.5</v>
      </c>
      <c r="CC200" s="177">
        <f t="shared" si="320"/>
        <v>0.79826654242465078</v>
      </c>
      <c r="CD200" s="5">
        <f t="shared" si="321"/>
        <v>79.826654242465082</v>
      </c>
      <c r="CG200" s="571">
        <f t="shared" si="356"/>
        <v>-50</v>
      </c>
      <c r="CH200">
        <f t="shared" si="357"/>
        <v>-50</v>
      </c>
    </row>
    <row r="201" spans="5:86" x14ac:dyDescent="0.2">
      <c r="E201" s="174">
        <v>91</v>
      </c>
      <c r="F201" s="221">
        <f t="shared" si="358"/>
        <v>0.91</v>
      </c>
      <c r="G201" s="221"/>
      <c r="H201" s="221">
        <f t="shared" si="322"/>
        <v>4.55</v>
      </c>
      <c r="I201" s="551">
        <f t="shared" si="323"/>
        <v>23</v>
      </c>
      <c r="J201" s="451">
        <f t="shared" si="324"/>
        <v>10.64</v>
      </c>
      <c r="K201" s="451">
        <f t="shared" si="325"/>
        <v>33.64</v>
      </c>
      <c r="L201" s="451"/>
      <c r="M201" s="221">
        <f t="shared" si="326"/>
        <v>0.31629013079667062</v>
      </c>
      <c r="N201" s="176">
        <f t="shared" si="327"/>
        <v>13.744455410225921</v>
      </c>
      <c r="O201" s="176">
        <f t="shared" si="363"/>
        <v>4.55</v>
      </c>
      <c r="P201" s="221">
        <f t="shared" si="328"/>
        <v>2.7488910820451844</v>
      </c>
      <c r="Q201" s="221">
        <f t="shared" si="329"/>
        <v>5</v>
      </c>
      <c r="R201" s="221"/>
      <c r="S201" s="176">
        <f t="shared" si="330"/>
        <v>35.235368675866084</v>
      </c>
      <c r="T201" s="546">
        <f t="shared" si="331"/>
        <v>5</v>
      </c>
      <c r="U201" s="221">
        <f t="shared" si="332"/>
        <v>1.3899059242308671</v>
      </c>
      <c r="V201" s="221">
        <f t="shared" si="333"/>
        <v>0.4230148465050465</v>
      </c>
      <c r="W201" s="221">
        <f t="shared" si="334"/>
        <v>0.9144117922571493</v>
      </c>
      <c r="X201" s="201">
        <f t="shared" si="335"/>
        <v>350</v>
      </c>
      <c r="Y201" s="451">
        <f t="shared" si="303"/>
        <v>350</v>
      </c>
      <c r="AA201" s="221">
        <f t="shared" si="336"/>
        <v>2.9692542891116021</v>
      </c>
      <c r="AB201" s="177">
        <f t="shared" si="337"/>
        <v>1.9534567691523697</v>
      </c>
      <c r="AC201" s="177">
        <f t="shared" si="338"/>
        <v>2.0301084616399181</v>
      </c>
      <c r="AD201" s="177"/>
      <c r="AE201" s="177">
        <f t="shared" si="339"/>
        <v>0.53947368421052622</v>
      </c>
      <c r="AF201" s="555">
        <f t="shared" si="340"/>
        <v>2057.1088637715652</v>
      </c>
      <c r="AG201" s="538">
        <f t="shared" si="341"/>
        <v>0.15482894736842101</v>
      </c>
      <c r="AI201" s="177">
        <f t="shared" si="342"/>
        <v>1.9879637823662686</v>
      </c>
      <c r="AJ201" s="177">
        <f t="shared" si="343"/>
        <v>1.9879637823662686</v>
      </c>
      <c r="AK201" s="177">
        <f t="shared" si="344"/>
        <v>1.9786425215775123</v>
      </c>
      <c r="AM201" s="555">
        <f t="shared" si="345"/>
        <v>910</v>
      </c>
      <c r="AN201" s="469">
        <f t="shared" si="346"/>
        <v>350</v>
      </c>
      <c r="AP201">
        <f t="shared" si="347"/>
        <v>910</v>
      </c>
      <c r="AQ201">
        <f t="shared" si="348"/>
        <v>350</v>
      </c>
      <c r="AS201" s="5">
        <f t="shared" si="364"/>
        <v>2.8571428571428572</v>
      </c>
      <c r="AT201" s="5">
        <f t="shared" si="349"/>
        <v>0.6050324555027774</v>
      </c>
      <c r="AU201" s="5">
        <f t="shared" si="304"/>
        <v>2.2521104016400799</v>
      </c>
      <c r="AV201" s="5"/>
      <c r="AW201" s="177">
        <f t="shared" si="305"/>
        <v>0.21176135942597207</v>
      </c>
      <c r="AX201" s="177">
        <f t="shared" si="360"/>
        <v>4.8412000000000015</v>
      </c>
      <c r="AY201" s="177">
        <f t="shared" si="361"/>
        <v>1.5669898693227902</v>
      </c>
      <c r="AZ201" s="177">
        <f t="shared" si="365"/>
        <v>3.0894902990612407</v>
      </c>
      <c r="BA201" s="469">
        <f t="shared" si="350"/>
        <v>101.93868054563885</v>
      </c>
      <c r="BB201" s="469">
        <f t="shared" si="351"/>
        <v>8.1013120743289218</v>
      </c>
      <c r="BC201" s="5">
        <f t="shared" si="359"/>
        <v>0.4125242482875347</v>
      </c>
      <c r="BD201" s="469">
        <f t="shared" si="352"/>
        <v>50.16233008435924</v>
      </c>
      <c r="BF201" s="177">
        <f t="shared" si="366"/>
        <v>0.52816692198945392</v>
      </c>
      <c r="BG201" s="177">
        <f t="shared" si="362"/>
        <v>2.038011811398079</v>
      </c>
      <c r="BI201" s="538">
        <f t="shared" si="306"/>
        <v>3.068563272321953E-2</v>
      </c>
      <c r="BJ201" s="538">
        <f t="shared" si="307"/>
        <v>0.11703142786790224</v>
      </c>
      <c r="BK201" s="538">
        <f t="shared" si="308"/>
        <v>1.7499999999999998E-2</v>
      </c>
      <c r="BL201" s="538">
        <f t="shared" si="309"/>
        <v>8.9117405999999996E-2</v>
      </c>
      <c r="BM201">
        <f t="shared" si="310"/>
        <v>6.6699999999999997E-3</v>
      </c>
      <c r="BN201">
        <f t="shared" si="353"/>
        <v>6.3E-5</v>
      </c>
      <c r="BO201" s="538">
        <f t="shared" si="354"/>
        <v>0.26672006243886237</v>
      </c>
      <c r="BP201" s="469">
        <f t="shared" si="311"/>
        <v>261.00446659112174</v>
      </c>
      <c r="BQ201" s="538">
        <f t="shared" si="355"/>
        <v>0.66494679975561333</v>
      </c>
      <c r="BT201" s="469">
        <f t="shared" si="312"/>
        <v>664.94679975561337</v>
      </c>
      <c r="BU201" s="538">
        <f t="shared" si="313"/>
        <v>2.7896029748381391E-2</v>
      </c>
      <c r="BV201" s="538">
        <f t="shared" si="314"/>
        <v>0.12460476430194237</v>
      </c>
      <c r="BW201" s="538">
        <f t="shared" si="315"/>
        <v>0</v>
      </c>
      <c r="BX201" s="538"/>
      <c r="BY201" s="538">
        <f t="shared" si="316"/>
        <v>6.9160000000000027E-2</v>
      </c>
      <c r="BZ201" s="469">
        <f t="shared" si="317"/>
        <v>221.6607940503238</v>
      </c>
      <c r="CA201" s="177">
        <f t="shared" si="318"/>
        <v>1.147612060397059</v>
      </c>
      <c r="CB201" s="5">
        <f t="shared" si="319"/>
        <v>4.55</v>
      </c>
      <c r="CC201" s="177">
        <f t="shared" si="320"/>
        <v>0.79858016863347414</v>
      </c>
      <c r="CD201" s="5">
        <f t="shared" si="321"/>
        <v>79.858016863347416</v>
      </c>
      <c r="CG201" s="571">
        <f t="shared" si="356"/>
        <v>-50</v>
      </c>
      <c r="CH201">
        <f t="shared" si="357"/>
        <v>-50</v>
      </c>
    </row>
    <row r="202" spans="5:86" x14ac:dyDescent="0.2">
      <c r="E202" s="174">
        <v>92</v>
      </c>
      <c r="F202" s="221">
        <f t="shared" si="358"/>
        <v>0.92</v>
      </c>
      <c r="G202" s="221"/>
      <c r="H202" s="221">
        <f t="shared" si="322"/>
        <v>4.6000000000000005</v>
      </c>
      <c r="I202" s="551">
        <f t="shared" si="323"/>
        <v>23</v>
      </c>
      <c r="J202" s="451">
        <f t="shared" si="324"/>
        <v>10.64</v>
      </c>
      <c r="K202" s="451">
        <f t="shared" si="325"/>
        <v>33.64</v>
      </c>
      <c r="L202" s="451"/>
      <c r="M202" s="221">
        <f t="shared" si="326"/>
        <v>0.31629013079667062</v>
      </c>
      <c r="N202" s="176">
        <f t="shared" si="327"/>
        <v>13.744455410225921</v>
      </c>
      <c r="O202" s="176">
        <f t="shared" si="363"/>
        <v>4.6000000000000005</v>
      </c>
      <c r="P202" s="221">
        <f t="shared" si="328"/>
        <v>2.7488910820451844</v>
      </c>
      <c r="Q202" s="221">
        <f t="shared" si="329"/>
        <v>5</v>
      </c>
      <c r="R202" s="221"/>
      <c r="S202" s="176">
        <f t="shared" si="330"/>
        <v>34.729992888634605</v>
      </c>
      <c r="T202" s="546">
        <f t="shared" si="331"/>
        <v>5</v>
      </c>
      <c r="U202" s="221">
        <f t="shared" si="332"/>
        <v>1.4051796157059318</v>
      </c>
      <c r="V202" s="221">
        <f t="shared" si="333"/>
        <v>0.42766336130180532</v>
      </c>
      <c r="W202" s="221">
        <f t="shared" si="334"/>
        <v>0.92446027349074456</v>
      </c>
      <c r="X202" s="201">
        <f t="shared" si="335"/>
        <v>350</v>
      </c>
      <c r="Y202" s="451">
        <f t="shared" si="303"/>
        <v>350</v>
      </c>
      <c r="AA202" s="221">
        <f t="shared" si="336"/>
        <v>2.9692542891116021</v>
      </c>
      <c r="AB202" s="177">
        <f t="shared" si="337"/>
        <v>1.9534567691523697</v>
      </c>
      <c r="AC202" s="177">
        <f t="shared" si="338"/>
        <v>2.0301084616399181</v>
      </c>
      <c r="AD202" s="177"/>
      <c r="AE202" s="177">
        <f t="shared" si="339"/>
        <v>0.53947368421052622</v>
      </c>
      <c r="AF202" s="555">
        <f t="shared" si="340"/>
        <v>2079.7144556811427</v>
      </c>
      <c r="AG202" s="538">
        <f t="shared" si="341"/>
        <v>0.15482894736842101</v>
      </c>
      <c r="AI202" s="177">
        <f t="shared" si="342"/>
        <v>1.9988568161398084</v>
      </c>
      <c r="AJ202" s="177">
        <f t="shared" si="343"/>
        <v>1.9988568161398084</v>
      </c>
      <c r="AK202" s="177">
        <f t="shared" si="344"/>
        <v>1.9859045440932055</v>
      </c>
      <c r="AM202" s="555">
        <f t="shared" si="345"/>
        <v>920</v>
      </c>
      <c r="AN202" s="469">
        <f t="shared" si="346"/>
        <v>350</v>
      </c>
      <c r="AP202">
        <f t="shared" si="347"/>
        <v>920</v>
      </c>
      <c r="AQ202">
        <f t="shared" si="348"/>
        <v>350</v>
      </c>
      <c r="AS202" s="5">
        <f t="shared" si="364"/>
        <v>2.8571428571428572</v>
      </c>
      <c r="AT202" s="5">
        <f t="shared" si="349"/>
        <v>0.60834772665124603</v>
      </c>
      <c r="AU202" s="5">
        <f t="shared" si="304"/>
        <v>2.2487951304916112</v>
      </c>
      <c r="AV202" s="5"/>
      <c r="AW202" s="177">
        <f t="shared" si="305"/>
        <v>0.21292170432793611</v>
      </c>
      <c r="AX202" s="177">
        <f t="shared" si="360"/>
        <v>4.8944000000000001</v>
      </c>
      <c r="AY202" s="177">
        <f t="shared" si="361"/>
        <v>1.5732568161398084</v>
      </c>
      <c r="AZ202" s="177">
        <f t="shared" si="365"/>
        <v>3.1109987573478635</v>
      </c>
      <c r="BA202" s="469">
        <f t="shared" si="350"/>
        <v>101.93868054563885</v>
      </c>
      <c r="BB202" s="469">
        <f t="shared" si="351"/>
        <v>8.2500115199999993</v>
      </c>
      <c r="BC202" s="5">
        <f t="shared" si="359"/>
        <v>0.41644354268363165</v>
      </c>
      <c r="BD202" s="469">
        <f t="shared" si="352"/>
        <v>50.639891788702478</v>
      </c>
      <c r="BF202" s="177">
        <f t="shared" si="366"/>
        <v>0.53251399385340181</v>
      </c>
      <c r="BG202" s="177">
        <f t="shared" si="362"/>
        <v>2.0476702568136531</v>
      </c>
      <c r="BI202" s="538">
        <f t="shared" si="306"/>
        <v>3.1192826901467095E-2</v>
      </c>
      <c r="BJ202" s="538">
        <f t="shared" si="307"/>
        <v>0.11767270076615052</v>
      </c>
      <c r="BK202" s="538">
        <f t="shared" si="308"/>
        <v>1.7499999999999998E-2</v>
      </c>
      <c r="BL202" s="538">
        <f t="shared" si="309"/>
        <v>8.9117405999999996E-2</v>
      </c>
      <c r="BM202">
        <f t="shared" si="310"/>
        <v>6.6699999999999997E-3</v>
      </c>
      <c r="BN202">
        <f t="shared" si="353"/>
        <v>6.3E-5</v>
      </c>
      <c r="BO202" s="538">
        <f t="shared" si="354"/>
        <v>0.26796914826418389</v>
      </c>
      <c r="BP202" s="469">
        <f t="shared" si="311"/>
        <v>262.15293366761762</v>
      </c>
      <c r="BQ202" s="538">
        <f t="shared" si="355"/>
        <v>0.671781645920842</v>
      </c>
      <c r="BT202" s="469">
        <f t="shared" si="312"/>
        <v>671.78164592084204</v>
      </c>
      <c r="BU202" s="538">
        <f t="shared" si="313"/>
        <v>2.8357115364970088E-2</v>
      </c>
      <c r="BV202" s="538">
        <f t="shared" si="314"/>
        <v>0.12578860441917875</v>
      </c>
      <c r="BW202" s="538">
        <f t="shared" si="315"/>
        <v>0</v>
      </c>
      <c r="BX202" s="538"/>
      <c r="BY202" s="538">
        <f t="shared" si="316"/>
        <v>6.992000000000001E-2</v>
      </c>
      <c r="BZ202" s="469">
        <f t="shared" si="317"/>
        <v>224.06571978414885</v>
      </c>
      <c r="CA202" s="177">
        <f t="shared" si="318"/>
        <v>1.1580002993726084</v>
      </c>
      <c r="CB202" s="5">
        <f t="shared" si="319"/>
        <v>4.6000000000000005</v>
      </c>
      <c r="CC202" s="177">
        <f t="shared" si="320"/>
        <v>0.79888846141623437</v>
      </c>
      <c r="CD202" s="5">
        <f t="shared" si="321"/>
        <v>79.888846141623432</v>
      </c>
      <c r="CG202" s="571">
        <f t="shared" si="356"/>
        <v>-50</v>
      </c>
      <c r="CH202">
        <f t="shared" si="357"/>
        <v>-50</v>
      </c>
    </row>
    <row r="203" spans="5:86" x14ac:dyDescent="0.2">
      <c r="E203" s="174">
        <v>93</v>
      </c>
      <c r="F203" s="221">
        <f t="shared" si="358"/>
        <v>0.93</v>
      </c>
      <c r="G203" s="221"/>
      <c r="H203" s="221">
        <f t="shared" si="322"/>
        <v>4.6500000000000004</v>
      </c>
      <c r="I203" s="551">
        <f t="shared" si="323"/>
        <v>23</v>
      </c>
      <c r="J203" s="451">
        <f t="shared" si="324"/>
        <v>10.64</v>
      </c>
      <c r="K203" s="451">
        <f t="shared" si="325"/>
        <v>33.64</v>
      </c>
      <c r="L203" s="451"/>
      <c r="M203" s="221">
        <f t="shared" si="326"/>
        <v>0.31629013079667062</v>
      </c>
      <c r="N203" s="176">
        <f t="shared" si="327"/>
        <v>13.744455410225921</v>
      </c>
      <c r="O203" s="176">
        <f t="shared" si="363"/>
        <v>4.6500000000000004</v>
      </c>
      <c r="P203" s="221">
        <f t="shared" si="328"/>
        <v>2.7488910820451844</v>
      </c>
      <c r="Q203" s="221">
        <f t="shared" si="329"/>
        <v>5</v>
      </c>
      <c r="R203" s="221"/>
      <c r="S203" s="176">
        <f t="shared" si="330"/>
        <v>34.235527521310907</v>
      </c>
      <c r="T203" s="546">
        <f t="shared" si="331"/>
        <v>5</v>
      </c>
      <c r="U203" s="221">
        <f t="shared" si="332"/>
        <v>1.4204533071809962</v>
      </c>
      <c r="V203" s="221">
        <f t="shared" si="333"/>
        <v>0.43231187609856403</v>
      </c>
      <c r="W203" s="221">
        <f t="shared" si="334"/>
        <v>0.93450875472433947</v>
      </c>
      <c r="X203" s="201">
        <f t="shared" si="335"/>
        <v>350</v>
      </c>
      <c r="Y203" s="451">
        <f t="shared" si="303"/>
        <v>350</v>
      </c>
      <c r="AA203" s="221">
        <f t="shared" si="336"/>
        <v>2.9692542891116021</v>
      </c>
      <c r="AB203" s="177">
        <f t="shared" si="337"/>
        <v>1.9534567691523697</v>
      </c>
      <c r="AC203" s="177">
        <f t="shared" si="338"/>
        <v>2.0301084616399181</v>
      </c>
      <c r="AD203" s="177"/>
      <c r="AE203" s="177">
        <f t="shared" si="339"/>
        <v>0.53947368421052622</v>
      </c>
      <c r="AF203" s="555">
        <f t="shared" si="340"/>
        <v>2102.3200475907206</v>
      </c>
      <c r="AG203" s="538">
        <f t="shared" si="341"/>
        <v>0.15482894736842101</v>
      </c>
      <c r="AI203" s="177">
        <f t="shared" si="342"/>
        <v>2.0096908077754509</v>
      </c>
      <c r="AJ203" s="177">
        <f t="shared" si="343"/>
        <v>2.0096908077754509</v>
      </c>
      <c r="AK203" s="177">
        <f t="shared" si="344"/>
        <v>1.9931272051836342</v>
      </c>
      <c r="AM203" s="555">
        <f t="shared" si="345"/>
        <v>930</v>
      </c>
      <c r="AN203" s="469">
        <f t="shared" si="346"/>
        <v>350</v>
      </c>
      <c r="AP203">
        <f t="shared" si="347"/>
        <v>930</v>
      </c>
      <c r="AQ203">
        <f t="shared" si="348"/>
        <v>350</v>
      </c>
      <c r="AS203" s="5">
        <f t="shared" si="364"/>
        <v>2.8571428571428572</v>
      </c>
      <c r="AT203" s="5">
        <f t="shared" si="349"/>
        <v>0.61164502845339808</v>
      </c>
      <c r="AU203" s="5">
        <f t="shared" si="304"/>
        <v>2.2454978286894591</v>
      </c>
      <c r="AV203" s="5"/>
      <c r="AW203" s="177">
        <f t="shared" si="305"/>
        <v>0.21407575995868933</v>
      </c>
      <c r="AX203" s="177">
        <f t="shared" si="360"/>
        <v>4.9476000000000022</v>
      </c>
      <c r="AY203" s="177">
        <f t="shared" si="361"/>
        <v>1.579464720818929</v>
      </c>
      <c r="AZ203" s="177">
        <f t="shared" si="365"/>
        <v>3.1324536311483713</v>
      </c>
      <c r="BA203" s="469">
        <f t="shared" si="350"/>
        <v>101.93868054563885</v>
      </c>
      <c r="BB203" s="469">
        <f t="shared" si="351"/>
        <v>8.4000082273723997</v>
      </c>
      <c r="BC203" s="5">
        <f t="shared" si="359"/>
        <v>0.42035285440442777</v>
      </c>
      <c r="BD203" s="469">
        <f t="shared" si="352"/>
        <v>51.116255572009599</v>
      </c>
      <c r="BF203" s="177">
        <f t="shared" si="366"/>
        <v>0.53684926879641115</v>
      </c>
      <c r="BG203" s="177">
        <f t="shared" si="362"/>
        <v>2.0572589305952462</v>
      </c>
      <c r="BI203" s="538">
        <f t="shared" si="306"/>
        <v>3.1702785114796544E-2</v>
      </c>
      <c r="BJ203" s="538">
        <f t="shared" si="307"/>
        <v>0.11831049785374081</v>
      </c>
      <c r="BK203" s="538">
        <f t="shared" si="308"/>
        <v>1.7499999999999998E-2</v>
      </c>
      <c r="BL203" s="538">
        <f t="shared" si="309"/>
        <v>8.9117405999999996E-2</v>
      </c>
      <c r="BM203">
        <f t="shared" si="310"/>
        <v>6.6699999999999997E-3</v>
      </c>
      <c r="BN203">
        <f t="shared" si="353"/>
        <v>6.3E-5</v>
      </c>
      <c r="BO203" s="538">
        <f t="shared" si="354"/>
        <v>0.26921826671344551</v>
      </c>
      <c r="BP203" s="469">
        <f t="shared" si="311"/>
        <v>263.30068896853737</v>
      </c>
      <c r="BQ203" s="538">
        <f t="shared" si="355"/>
        <v>0.67860881309406174</v>
      </c>
      <c r="BT203" s="469">
        <f t="shared" si="312"/>
        <v>678.6088130940617</v>
      </c>
      <c r="BU203" s="538">
        <f t="shared" si="313"/>
        <v>2.8820713740724133E-2</v>
      </c>
      <c r="BV203" s="538">
        <f t="shared" si="314"/>
        <v>0.12696942922541687</v>
      </c>
      <c r="BW203" s="538">
        <f t="shared" si="315"/>
        <v>0</v>
      </c>
      <c r="BX203" s="538"/>
      <c r="BY203" s="538">
        <f t="shared" si="316"/>
        <v>7.0680000000000048E-2</v>
      </c>
      <c r="BZ203" s="469">
        <f t="shared" si="317"/>
        <v>226.47014296614108</v>
      </c>
      <c r="CA203" s="177">
        <f t="shared" si="318"/>
        <v>1.1683796450287403</v>
      </c>
      <c r="CB203" s="5">
        <f t="shared" si="319"/>
        <v>4.6500000000000004</v>
      </c>
      <c r="CC203" s="177">
        <f t="shared" si="320"/>
        <v>0.79919157629615811</v>
      </c>
      <c r="CD203" s="5">
        <f t="shared" si="321"/>
        <v>79.91915762961581</v>
      </c>
      <c r="CG203" s="571">
        <f t="shared" si="356"/>
        <v>-50</v>
      </c>
      <c r="CH203">
        <f t="shared" si="357"/>
        <v>-50</v>
      </c>
    </row>
    <row r="204" spans="5:86" x14ac:dyDescent="0.2">
      <c r="E204" s="174">
        <v>94</v>
      </c>
      <c r="F204" s="221">
        <f t="shared" si="358"/>
        <v>0.94</v>
      </c>
      <c r="G204" s="221"/>
      <c r="H204" s="221">
        <f t="shared" si="322"/>
        <v>4.6999999999999993</v>
      </c>
      <c r="I204" s="551">
        <f t="shared" si="323"/>
        <v>23</v>
      </c>
      <c r="J204" s="451">
        <f t="shared" si="324"/>
        <v>10.64</v>
      </c>
      <c r="K204" s="451">
        <f t="shared" si="325"/>
        <v>33.64</v>
      </c>
      <c r="L204" s="451"/>
      <c r="M204" s="221">
        <f t="shared" si="326"/>
        <v>0.31629013079667062</v>
      </c>
      <c r="N204" s="176">
        <f t="shared" si="327"/>
        <v>13.744455410225921</v>
      </c>
      <c r="O204" s="176">
        <f t="shared" si="363"/>
        <v>4.6999999999999993</v>
      </c>
      <c r="P204" s="221">
        <f t="shared" si="328"/>
        <v>2.7488910820451844</v>
      </c>
      <c r="Q204" s="221">
        <f t="shared" si="329"/>
        <v>5</v>
      </c>
      <c r="R204" s="221"/>
      <c r="S204" s="176">
        <f t="shared" si="330"/>
        <v>33.75162478501607</v>
      </c>
      <c r="T204" s="546">
        <f t="shared" si="331"/>
        <v>5</v>
      </c>
      <c r="U204" s="221">
        <f t="shared" si="332"/>
        <v>1.4357269986560603</v>
      </c>
      <c r="V204" s="221">
        <f t="shared" si="333"/>
        <v>0.43696039089532274</v>
      </c>
      <c r="W204" s="221">
        <f t="shared" si="334"/>
        <v>0.94455723595793439</v>
      </c>
      <c r="X204" s="201">
        <f t="shared" si="335"/>
        <v>350</v>
      </c>
      <c r="Y204" s="451">
        <f t="shared" si="303"/>
        <v>350</v>
      </c>
      <c r="AA204" s="221">
        <f t="shared" si="336"/>
        <v>2.9692542891116021</v>
      </c>
      <c r="AB204" s="177">
        <f t="shared" si="337"/>
        <v>1.9534567691523697</v>
      </c>
      <c r="AC204" s="177">
        <f t="shared" si="338"/>
        <v>2.0301084616399181</v>
      </c>
      <c r="AD204" s="177"/>
      <c r="AE204" s="177">
        <f t="shared" si="339"/>
        <v>0.53947368421052622</v>
      </c>
      <c r="AF204" s="555">
        <f t="shared" si="340"/>
        <v>2124.9256395002976</v>
      </c>
      <c r="AG204" s="538">
        <f t="shared" si="341"/>
        <v>0.15482894736842101</v>
      </c>
      <c r="AI204" s="177">
        <f t="shared" si="342"/>
        <v>2.020466707047091</v>
      </c>
      <c r="AJ204" s="177">
        <f t="shared" si="343"/>
        <v>2.020466707047091</v>
      </c>
      <c r="AK204" s="177">
        <f t="shared" si="344"/>
        <v>2.0003111380313943</v>
      </c>
      <c r="AM204" s="555">
        <f t="shared" si="345"/>
        <v>940</v>
      </c>
      <c r="AN204" s="469">
        <f t="shared" si="346"/>
        <v>350</v>
      </c>
      <c r="AP204">
        <f t="shared" si="347"/>
        <v>940</v>
      </c>
      <c r="AQ204">
        <f t="shared" si="348"/>
        <v>350</v>
      </c>
      <c r="AS204" s="5">
        <f t="shared" si="364"/>
        <v>2.8571428571428572</v>
      </c>
      <c r="AT204" s="5">
        <f t="shared" si="349"/>
        <v>0.61492464997085383</v>
      </c>
      <c r="AU204" s="5">
        <f t="shared" si="304"/>
        <v>2.2422182071720034</v>
      </c>
      <c r="AV204" s="5"/>
      <c r="AW204" s="177">
        <f t="shared" si="305"/>
        <v>0.21522362748979884</v>
      </c>
      <c r="AX204" s="177">
        <f t="shared" si="360"/>
        <v>5.0008000000000017</v>
      </c>
      <c r="AY204" s="177">
        <f t="shared" si="361"/>
        <v>1.5856145331340474</v>
      </c>
      <c r="AZ204" s="177">
        <f t="shared" si="365"/>
        <v>3.1538560573834218</v>
      </c>
      <c r="BA204" s="469">
        <f t="shared" si="350"/>
        <v>101.93868054563885</v>
      </c>
      <c r="BB204" s="469">
        <f t="shared" si="351"/>
        <v>8.5513021964461231</v>
      </c>
      <c r="BC204" s="5">
        <f t="shared" si="359"/>
        <v>0.4242522372668443</v>
      </c>
      <c r="BD204" s="469">
        <f t="shared" si="352"/>
        <v>51.591427892311181</v>
      </c>
      <c r="BF204" s="177">
        <f t="shared" si="366"/>
        <v>0.54117290517244621</v>
      </c>
      <c r="BG204" s="177">
        <f t="shared" si="362"/>
        <v>2.0667789349314742</v>
      </c>
      <c r="BI204" s="538">
        <f t="shared" si="306"/>
        <v>3.2215492462206397E-2</v>
      </c>
      <c r="BJ204" s="538">
        <f t="shared" si="307"/>
        <v>0.11894487504386227</v>
      </c>
      <c r="BK204" s="538">
        <f t="shared" si="308"/>
        <v>1.7499999999999998E-2</v>
      </c>
      <c r="BL204" s="538">
        <f t="shared" si="309"/>
        <v>8.9117405999999996E-2</v>
      </c>
      <c r="BM204">
        <f t="shared" si="310"/>
        <v>6.6699999999999997E-3</v>
      </c>
      <c r="BN204">
        <f t="shared" si="353"/>
        <v>6.3E-5</v>
      </c>
      <c r="BO204" s="538">
        <f t="shared" si="354"/>
        <v>0.27046745820407947</v>
      </c>
      <c r="BP204" s="469">
        <f t="shared" si="311"/>
        <v>264.44777350606864</v>
      </c>
      <c r="BQ204" s="538">
        <f t="shared" si="355"/>
        <v>0.68542834267296304</v>
      </c>
      <c r="BT204" s="469">
        <f t="shared" si="312"/>
        <v>685.42834267296303</v>
      </c>
      <c r="BU204" s="538">
        <f t="shared" si="313"/>
        <v>2.9286811329278545E-2</v>
      </c>
      <c r="BV204" s="538">
        <f t="shared" si="314"/>
        <v>0.12814725497629437</v>
      </c>
      <c r="BW204" s="538">
        <f t="shared" si="315"/>
        <v>0</v>
      </c>
      <c r="BX204" s="538"/>
      <c r="BY204" s="538">
        <f t="shared" si="316"/>
        <v>7.1440000000000031E-2</v>
      </c>
      <c r="BZ204" s="469">
        <f t="shared" si="317"/>
        <v>228.87406630557294</v>
      </c>
      <c r="CA204" s="177">
        <f t="shared" si="318"/>
        <v>1.1787501824846045</v>
      </c>
      <c r="CB204" s="5">
        <f t="shared" si="319"/>
        <v>4.6999999999999993</v>
      </c>
      <c r="CC204" s="177">
        <f t="shared" si="320"/>
        <v>0.79948966261627818</v>
      </c>
      <c r="CD204" s="5">
        <f t="shared" si="321"/>
        <v>79.948966261627817</v>
      </c>
      <c r="CG204" s="571">
        <f t="shared" si="356"/>
        <v>-50</v>
      </c>
      <c r="CH204">
        <f t="shared" si="357"/>
        <v>-50</v>
      </c>
    </row>
    <row r="205" spans="5:86" x14ac:dyDescent="0.2">
      <c r="E205" s="174">
        <v>95</v>
      </c>
      <c r="F205" s="221">
        <f t="shared" si="358"/>
        <v>0.95</v>
      </c>
      <c r="G205" s="221"/>
      <c r="H205" s="221">
        <f t="shared" si="322"/>
        <v>4.75</v>
      </c>
      <c r="I205" s="551">
        <f t="shared" si="323"/>
        <v>23</v>
      </c>
      <c r="J205" s="451">
        <f t="shared" si="324"/>
        <v>10.64</v>
      </c>
      <c r="K205" s="451">
        <f t="shared" si="325"/>
        <v>33.64</v>
      </c>
      <c r="L205" s="451"/>
      <c r="M205" s="221">
        <f t="shared" si="326"/>
        <v>0.31629013079667062</v>
      </c>
      <c r="N205" s="176">
        <f t="shared" si="327"/>
        <v>13.744455410225921</v>
      </c>
      <c r="O205" s="176">
        <f t="shared" si="363"/>
        <v>4.75</v>
      </c>
      <c r="P205" s="221">
        <f t="shared" si="328"/>
        <v>2.7488910820451844</v>
      </c>
      <c r="Q205" s="221">
        <f t="shared" si="329"/>
        <v>5</v>
      </c>
      <c r="R205" s="221"/>
      <c r="S205" s="176">
        <f t="shared" si="330"/>
        <v>33.277951539799545</v>
      </c>
      <c r="T205" s="546">
        <f t="shared" si="331"/>
        <v>5</v>
      </c>
      <c r="U205" s="221">
        <f t="shared" si="332"/>
        <v>1.451000690131125</v>
      </c>
      <c r="V205" s="221">
        <f t="shared" si="333"/>
        <v>0.4416089056920815</v>
      </c>
      <c r="W205" s="221">
        <f t="shared" si="334"/>
        <v>0.95460571719152965</v>
      </c>
      <c r="X205" s="201">
        <f t="shared" si="335"/>
        <v>350</v>
      </c>
      <c r="Y205" s="451">
        <f t="shared" si="303"/>
        <v>350</v>
      </c>
      <c r="AA205" s="221">
        <f t="shared" si="336"/>
        <v>2.9692542891116021</v>
      </c>
      <c r="AB205" s="177">
        <f t="shared" si="337"/>
        <v>1.9534567691523697</v>
      </c>
      <c r="AC205" s="177">
        <f t="shared" si="338"/>
        <v>2.0301084616399181</v>
      </c>
      <c r="AD205" s="177"/>
      <c r="AE205" s="177">
        <f t="shared" si="339"/>
        <v>0.53947368421052622</v>
      </c>
      <c r="AF205" s="555">
        <f t="shared" si="340"/>
        <v>2147.5312314098751</v>
      </c>
      <c r="AG205" s="538">
        <f t="shared" si="341"/>
        <v>0.15482894736842101</v>
      </c>
      <c r="AI205" s="177">
        <f t="shared" si="342"/>
        <v>2.0311854385344255</v>
      </c>
      <c r="AJ205" s="177">
        <f t="shared" si="343"/>
        <v>2.0311854385344255</v>
      </c>
      <c r="AK205" s="177">
        <f t="shared" si="344"/>
        <v>2.0074569590229503</v>
      </c>
      <c r="AM205" s="555">
        <f t="shared" si="345"/>
        <v>950</v>
      </c>
      <c r="AN205" s="469">
        <f t="shared" si="346"/>
        <v>350</v>
      </c>
      <c r="AP205">
        <f t="shared" si="347"/>
        <v>950</v>
      </c>
      <c r="AQ205">
        <f t="shared" si="348"/>
        <v>350</v>
      </c>
      <c r="AS205" s="5">
        <f t="shared" si="364"/>
        <v>2.8571428571428572</v>
      </c>
      <c r="AT205" s="5">
        <f t="shared" si="349"/>
        <v>0.61818687259743377</v>
      </c>
      <c r="AU205" s="5">
        <f t="shared" si="304"/>
        <v>2.2389559845454237</v>
      </c>
      <c r="AV205" s="5"/>
      <c r="AW205" s="177">
        <f t="shared" si="305"/>
        <v>0.21636540540910182</v>
      </c>
      <c r="AX205" s="177">
        <f t="shared" si="360"/>
        <v>5.0540000000000012</v>
      </c>
      <c r="AY205" s="177">
        <f t="shared" si="361"/>
        <v>1.5917071776648604</v>
      </c>
      <c r="AZ205" s="177">
        <f t="shared" si="365"/>
        <v>3.1752071429460744</v>
      </c>
      <c r="BA205" s="469">
        <f t="shared" si="350"/>
        <v>101.93868054563885</v>
      </c>
      <c r="BB205" s="469">
        <f t="shared" si="351"/>
        <v>8.7038934272211694</v>
      </c>
      <c r="BC205" s="5">
        <f t="shared" si="359"/>
        <v>0.42814174422668116</v>
      </c>
      <c r="BD205" s="469">
        <f t="shared" si="352"/>
        <v>52.065415104303199</v>
      </c>
      <c r="BF205" s="177">
        <f t="shared" si="366"/>
        <v>0.54548505754991272</v>
      </c>
      <c r="BG205" s="177">
        <f t="shared" si="362"/>
        <v>2.0762313428207984</v>
      </c>
      <c r="BI205" s="538">
        <f t="shared" si="306"/>
        <v>3.273093428112548E-2</v>
      </c>
      <c r="BJ205" s="538">
        <f t="shared" si="307"/>
        <v>0.11957588676652162</v>
      </c>
      <c r="BK205" s="538">
        <f t="shared" si="308"/>
        <v>1.7499999999999998E-2</v>
      </c>
      <c r="BL205" s="538">
        <f t="shared" si="309"/>
        <v>8.9117405999999996E-2</v>
      </c>
      <c r="BM205">
        <f t="shared" si="310"/>
        <v>6.6699999999999997E-3</v>
      </c>
      <c r="BN205">
        <f t="shared" si="353"/>
        <v>6.3E-5</v>
      </c>
      <c r="BO205" s="538">
        <f t="shared" si="354"/>
        <v>0.27171676194736</v>
      </c>
      <c r="BP205" s="469">
        <f t="shared" si="311"/>
        <v>265.59422704764705</v>
      </c>
      <c r="BQ205" s="538">
        <f t="shared" si="355"/>
        <v>0.69224027539283517</v>
      </c>
      <c r="BT205" s="469">
        <f t="shared" si="312"/>
        <v>692.2402753928352</v>
      </c>
      <c r="BU205" s="538">
        <f t="shared" si="313"/>
        <v>2.9755394801023162E-2</v>
      </c>
      <c r="BV205" s="538">
        <f t="shared" si="314"/>
        <v>0.12932209766734365</v>
      </c>
      <c r="BW205" s="538">
        <f t="shared" si="315"/>
        <v>0</v>
      </c>
      <c r="BX205" s="538"/>
      <c r="BY205" s="538">
        <f t="shared" si="316"/>
        <v>7.2200000000000014E-2</v>
      </c>
      <c r="BZ205" s="469">
        <f t="shared" si="317"/>
        <v>231.27749246836683</v>
      </c>
      <c r="CA205" s="177">
        <f t="shared" si="318"/>
        <v>1.1891119949088491</v>
      </c>
      <c r="CB205" s="5">
        <f t="shared" si="319"/>
        <v>4.75</v>
      </c>
      <c r="CC205" s="177">
        <f t="shared" si="320"/>
        <v>0.79978286384762831</v>
      </c>
      <c r="CD205" s="5">
        <f t="shared" si="321"/>
        <v>79.978286384762825</v>
      </c>
      <c r="CG205" s="571">
        <f t="shared" si="356"/>
        <v>-50</v>
      </c>
      <c r="CH205">
        <f t="shared" si="357"/>
        <v>-50</v>
      </c>
    </row>
    <row r="206" spans="5:86" x14ac:dyDescent="0.2">
      <c r="E206" s="174">
        <v>96</v>
      </c>
      <c r="F206" s="221">
        <f t="shared" si="358"/>
        <v>0.96</v>
      </c>
      <c r="G206" s="221"/>
      <c r="H206" s="221">
        <f t="shared" ref="H206:H210" si="367">F206*Vout</f>
        <v>4.8</v>
      </c>
      <c r="I206" s="551">
        <f t="shared" si="323"/>
        <v>23</v>
      </c>
      <c r="J206" s="451">
        <f t="shared" si="324"/>
        <v>10.64</v>
      </c>
      <c r="K206" s="451">
        <f t="shared" si="325"/>
        <v>33.64</v>
      </c>
      <c r="L206" s="451"/>
      <c r="M206" s="221">
        <f t="shared" si="326"/>
        <v>0.31629013079667062</v>
      </c>
      <c r="N206" s="176">
        <f t="shared" ref="N206:N210" si="368">M206*I206*(Isw_max+VIN_min/Lmag*ILIM_delay)*0.5*Efficiency</f>
        <v>13.744455410225921</v>
      </c>
      <c r="O206" s="176">
        <f t="shared" si="363"/>
        <v>4.8</v>
      </c>
      <c r="P206" s="221">
        <f t="shared" ref="P206:P210" si="369">N206/Vout</f>
        <v>2.7488910820451844</v>
      </c>
      <c r="Q206" s="221">
        <f t="shared" si="329"/>
        <v>5</v>
      </c>
      <c r="R206" s="221"/>
      <c r="S206" s="176">
        <f t="shared" si="330"/>
        <v>32.814188531749799</v>
      </c>
      <c r="T206" s="546">
        <f t="shared" ref="T206:T210" si="370">MIN(Vout, S206)</f>
        <v>5</v>
      </c>
      <c r="U206" s="221">
        <f t="shared" si="332"/>
        <v>1.4662743816061894</v>
      </c>
      <c r="V206" s="221">
        <f t="shared" ref="V206:V210" si="371">L*U206/I206*1000000</f>
        <v>0.44625742048884021</v>
      </c>
      <c r="W206" s="221">
        <f t="shared" si="334"/>
        <v>0.96465419842512445</v>
      </c>
      <c r="X206" s="201">
        <f t="shared" si="335"/>
        <v>350</v>
      </c>
      <c r="Y206" s="451">
        <f t="shared" si="303"/>
        <v>350</v>
      </c>
      <c r="AA206" s="221">
        <f t="shared" si="336"/>
        <v>2.9692542891116021</v>
      </c>
      <c r="AB206" s="177">
        <f t="shared" ref="AB206:AB210" si="372">L*AA206/J206*1000000</f>
        <v>1.9534567691523697</v>
      </c>
      <c r="AC206" s="177">
        <f t="shared" ref="AC206:AC210" si="373">0.5*AB206*AA206*Nps*X206/1000</f>
        <v>2.0301084616399181</v>
      </c>
      <c r="AD206" s="177"/>
      <c r="AE206" s="177">
        <f t="shared" si="339"/>
        <v>0.53947368421052622</v>
      </c>
      <c r="AF206" s="555">
        <f t="shared" ref="AF206:AF210" si="374">MAX(12000,F206/(0.5*AE206/1000000*Isw_min*Nps))/1000</f>
        <v>2170.136823319453</v>
      </c>
      <c r="AG206" s="538">
        <f t="shared" si="341"/>
        <v>0.15482894736842101</v>
      </c>
      <c r="AI206" s="177">
        <f t="shared" si="342"/>
        <v>2.0418479025487812</v>
      </c>
      <c r="AJ206" s="177">
        <f t="shared" ref="AJ206:AJ210" si="375">MAX(IF(F206&gt;AC206,U206,AI206),Isw_min)</f>
        <v>2.0418479025487812</v>
      </c>
      <c r="AK206" s="177">
        <f t="shared" ref="AK206:AK210" si="376">IF(F206&gt;AG206, (AJ206-Isw_min)/1.2*0.8+1.2, AF206*0.2/350+1)</f>
        <v>2.0145652683658541</v>
      </c>
      <c r="AM206" s="555">
        <f t="shared" si="345"/>
        <v>960</v>
      </c>
      <c r="AN206" s="469">
        <f t="shared" si="346"/>
        <v>350</v>
      </c>
      <c r="AP206">
        <f t="shared" si="347"/>
        <v>960</v>
      </c>
      <c r="AQ206">
        <f t="shared" si="348"/>
        <v>350</v>
      </c>
      <c r="AS206" s="5">
        <f t="shared" si="364"/>
        <v>2.8571428571428572</v>
      </c>
      <c r="AT206" s="5">
        <f t="shared" si="349"/>
        <v>0.62143197034093345</v>
      </c>
      <c r="AU206" s="5">
        <f t="shared" si="304"/>
        <v>2.2357108868019235</v>
      </c>
      <c r="AV206" s="5"/>
      <c r="AW206" s="177">
        <f t="shared" si="305"/>
        <v>0.21750118961932671</v>
      </c>
      <c r="AX206" s="177">
        <f t="shared" si="360"/>
        <v>5.1071999999999997</v>
      </c>
      <c r="AY206" s="177">
        <f t="shared" si="361"/>
        <v>1.5977435547226941</v>
      </c>
      <c r="AZ206" s="177">
        <f t="shared" si="365"/>
        <v>3.196507965814583</v>
      </c>
      <c r="BA206" s="469">
        <f t="shared" si="350"/>
        <v>101.93868054563885</v>
      </c>
      <c r="BB206" s="469">
        <f t="shared" si="351"/>
        <v>8.8577819196975405</v>
      </c>
      <c r="BC206" s="5">
        <f t="shared" si="359"/>
        <v>0.43202142740133781</v>
      </c>
      <c r="BD206" s="469">
        <f t="shared" si="352"/>
        <v>52.538223462073582</v>
      </c>
      <c r="BF206" s="177">
        <f t="shared" si="366"/>
        <v>0.54978587684100255</v>
      </c>
      <c r="BG206" s="177">
        <f t="shared" si="362"/>
        <v>2.0856171991431753</v>
      </c>
      <c r="BI206" s="538">
        <f t="shared" si="306"/>
        <v>3.3249096141121301E-2</v>
      </c>
      <c r="BJ206" s="538">
        <f t="shared" si="307"/>
        <v>0.12020358602304675</v>
      </c>
      <c r="BK206" s="538">
        <f t="shared" si="308"/>
        <v>1.7499999999999998E-2</v>
      </c>
      <c r="BL206" s="538">
        <f t="shared" si="309"/>
        <v>8.9117405999999996E-2</v>
      </c>
      <c r="BM206">
        <f t="shared" si="310"/>
        <v>6.6699999999999997E-3</v>
      </c>
      <c r="BN206">
        <f t="shared" si="353"/>
        <v>6.3E-5</v>
      </c>
      <c r="BO206" s="538">
        <f t="shared" ref="BO206:BO210" si="377">(BJ206+BK206+BL206+BM206+BN206+BI206*(1+RdsonTC*(Ta-25)))/(1-BI206*RdsonTC*ThetaJA)</f>
        <v>0.27296621599563969</v>
      </c>
      <c r="BP206" s="469">
        <f t="shared" si="311"/>
        <v>266.74008816416807</v>
      </c>
      <c r="BQ206" s="538">
        <f t="shared" si="355"/>
        <v>0.69904465134404337</v>
      </c>
      <c r="BT206" s="469">
        <f t="shared" si="312"/>
        <v>699.04465134404336</v>
      </c>
      <c r="BU206" s="538">
        <f t="shared" si="313"/>
        <v>3.0226451037383001E-2</v>
      </c>
      <c r="BV206" s="538">
        <f t="shared" si="314"/>
        <v>0.13049397304085472</v>
      </c>
      <c r="BW206" s="538">
        <f t="shared" si="315"/>
        <v>0</v>
      </c>
      <c r="BX206" s="538"/>
      <c r="BY206" s="538">
        <f t="shared" si="316"/>
        <v>7.2960000000000011E-2</v>
      </c>
      <c r="BZ206" s="469">
        <f t="shared" si="317"/>
        <v>233.68042407823773</v>
      </c>
      <c r="CA206" s="177">
        <f t="shared" si="318"/>
        <v>1.1994651635864491</v>
      </c>
      <c r="CB206" s="5">
        <f t="shared" si="319"/>
        <v>4.8</v>
      </c>
      <c r="CC206" s="177">
        <f t="shared" si="320"/>
        <v>0.80007131787903984</v>
      </c>
      <c r="CD206" s="5">
        <f t="shared" si="321"/>
        <v>80.007131787903987</v>
      </c>
      <c r="CG206" s="571">
        <f t="shared" si="356"/>
        <v>-50</v>
      </c>
      <c r="CH206">
        <f t="shared" si="357"/>
        <v>-50</v>
      </c>
    </row>
    <row r="207" spans="5:86" x14ac:dyDescent="0.2">
      <c r="E207" s="174">
        <v>97</v>
      </c>
      <c r="F207" s="221">
        <f t="shared" ref="F207:F210" si="378">IF(PLOT_TYPE=1, E207/100*Iout_max, min_I*EXP(N207*rr/100))</f>
        <v>0.97</v>
      </c>
      <c r="G207" s="221"/>
      <c r="H207" s="221">
        <f t="shared" si="367"/>
        <v>4.8499999999999996</v>
      </c>
      <c r="I207" s="551">
        <f t="shared" si="323"/>
        <v>23</v>
      </c>
      <c r="J207" s="451">
        <f t="shared" si="324"/>
        <v>10.64</v>
      </c>
      <c r="K207" s="451">
        <f t="shared" si="325"/>
        <v>33.64</v>
      </c>
      <c r="L207" s="451"/>
      <c r="M207" s="221">
        <f t="shared" si="326"/>
        <v>0.31629013079667062</v>
      </c>
      <c r="N207" s="176">
        <f t="shared" si="368"/>
        <v>13.744455410225921</v>
      </c>
      <c r="O207" s="176">
        <f t="shared" si="363"/>
        <v>4.8499999999999996</v>
      </c>
      <c r="P207" s="221">
        <f t="shared" si="369"/>
        <v>2.7488910820451844</v>
      </c>
      <c r="Q207" s="221">
        <f t="shared" si="329"/>
        <v>5</v>
      </c>
      <c r="R207" s="221"/>
      <c r="S207" s="176">
        <f t="shared" si="330"/>
        <v>32.360029677295145</v>
      </c>
      <c r="T207" s="546">
        <f t="shared" si="370"/>
        <v>5</v>
      </c>
      <c r="U207" s="221">
        <f t="shared" si="332"/>
        <v>1.4815480730812538</v>
      </c>
      <c r="V207" s="221">
        <f t="shared" si="371"/>
        <v>0.45090593528559902</v>
      </c>
      <c r="W207" s="221">
        <f t="shared" si="334"/>
        <v>0.9747026796587196</v>
      </c>
      <c r="X207" s="201">
        <f t="shared" si="335"/>
        <v>350</v>
      </c>
      <c r="Y207" s="451">
        <f t="shared" si="303"/>
        <v>350</v>
      </c>
      <c r="AA207" s="221">
        <f t="shared" si="336"/>
        <v>2.9692542891116021</v>
      </c>
      <c r="AB207" s="177">
        <f t="shared" si="372"/>
        <v>1.9534567691523697</v>
      </c>
      <c r="AC207" s="177">
        <f t="shared" si="373"/>
        <v>2.0301084616399181</v>
      </c>
      <c r="AD207" s="177"/>
      <c r="AE207" s="177">
        <f t="shared" si="339"/>
        <v>0.53947368421052622</v>
      </c>
      <c r="AF207" s="555">
        <f t="shared" si="374"/>
        <v>2192.7424152290309</v>
      </c>
      <c r="AG207" s="538">
        <f t="shared" si="341"/>
        <v>0.15482894736842101</v>
      </c>
      <c r="AI207" s="177">
        <f t="shared" si="342"/>
        <v>2.0524549760156563</v>
      </c>
      <c r="AJ207" s="177">
        <f t="shared" si="375"/>
        <v>2.0524549760156563</v>
      </c>
      <c r="AK207" s="177">
        <f t="shared" si="376"/>
        <v>2.0216366506771042</v>
      </c>
      <c r="AM207" s="555">
        <f t="shared" si="345"/>
        <v>970</v>
      </c>
      <c r="AN207" s="469">
        <f t="shared" si="346"/>
        <v>350</v>
      </c>
      <c r="AP207">
        <f t="shared" si="347"/>
        <v>970</v>
      </c>
      <c r="AQ207">
        <f t="shared" si="348"/>
        <v>350</v>
      </c>
      <c r="AS207" s="5">
        <f t="shared" si="364"/>
        <v>2.8571428571428572</v>
      </c>
      <c r="AT207" s="5">
        <f t="shared" si="349"/>
        <v>0.62466021009172146</v>
      </c>
      <c r="AU207" s="5">
        <f t="shared" si="304"/>
        <v>2.2324826470511359</v>
      </c>
      <c r="AV207" s="5"/>
      <c r="AW207" s="177">
        <f t="shared" si="305"/>
        <v>0.21863107353210251</v>
      </c>
      <c r="AX207" s="177">
        <f t="shared" si="360"/>
        <v>5.1604000000000001</v>
      </c>
      <c r="AY207" s="177">
        <f t="shared" si="361"/>
        <v>1.6037245412330476</v>
      </c>
      <c r="AZ207" s="177">
        <f t="shared" si="365"/>
        <v>3.2177595761129583</v>
      </c>
      <c r="BA207" s="469">
        <f t="shared" si="350"/>
        <v>101.93868054563885</v>
      </c>
      <c r="BB207" s="469">
        <f t="shared" si="351"/>
        <v>9.0129676738752345</v>
      </c>
      <c r="BC207" s="5">
        <f t="shared" si="359"/>
        <v>0.43589133809170716</v>
      </c>
      <c r="BD207" s="469">
        <f t="shared" si="352"/>
        <v>53.009859121729505</v>
      </c>
      <c r="BF207" s="177">
        <f t="shared" si="366"/>
        <v>0.55407551042531922</v>
      </c>
      <c r="BG207" s="177">
        <f t="shared" si="362"/>
        <v>2.0949375216816355</v>
      </c>
      <c r="BI207" s="538">
        <f t="shared" si="306"/>
        <v>3.3769963837838583E-2</v>
      </c>
      <c r="BJ207" s="538">
        <f t="shared" si="307"/>
        <v>0.12082802443804171</v>
      </c>
      <c r="BK207" s="538">
        <f t="shared" si="308"/>
        <v>1.7499999999999998E-2</v>
      </c>
      <c r="BL207" s="538">
        <f t="shared" si="309"/>
        <v>8.9117405999999996E-2</v>
      </c>
      <c r="BM207">
        <f t="shared" si="310"/>
        <v>6.6699999999999997E-3</v>
      </c>
      <c r="BN207">
        <f t="shared" si="353"/>
        <v>6.3E-5</v>
      </c>
      <c r="BO207" s="538">
        <f t="shared" si="377"/>
        <v>0.27421585728730186</v>
      </c>
      <c r="BP207" s="469">
        <f t="shared" si="311"/>
        <v>267.88539427588029</v>
      </c>
      <c r="BQ207" s="538">
        <f t="shared" si="355"/>
        <v>0.70584150998886885</v>
      </c>
      <c r="BT207" s="469">
        <f t="shared" si="312"/>
        <v>705.84150998886889</v>
      </c>
      <c r="BU207" s="538">
        <f t="shared" si="313"/>
        <v>3.0699967125307804E-2</v>
      </c>
      <c r="BV207" s="538">
        <f t="shared" si="314"/>
        <v>0.13166289659248778</v>
      </c>
      <c r="BW207" s="538">
        <f t="shared" si="315"/>
        <v>0</v>
      </c>
      <c r="BX207" s="538"/>
      <c r="BY207" s="538">
        <f t="shared" si="316"/>
        <v>7.3720000000000008E-2</v>
      </c>
      <c r="BZ207" s="469">
        <f t="shared" si="317"/>
        <v>236.08286371779562</v>
      </c>
      <c r="CA207" s="177">
        <f t="shared" si="318"/>
        <v>1.2098097679825448</v>
      </c>
      <c r="CB207" s="5">
        <f t="shared" si="319"/>
        <v>4.8499999999999996</v>
      </c>
      <c r="CC207" s="177">
        <f t="shared" si="320"/>
        <v>0.80035515728981055</v>
      </c>
      <c r="CD207" s="5">
        <f t="shared" si="321"/>
        <v>80.035515728981053</v>
      </c>
      <c r="CG207" s="571">
        <f t="shared" si="356"/>
        <v>-50</v>
      </c>
      <c r="CH207">
        <f t="shared" si="357"/>
        <v>-50</v>
      </c>
    </row>
    <row r="208" spans="5:86" x14ac:dyDescent="0.2">
      <c r="E208" s="174">
        <v>98</v>
      </c>
      <c r="F208" s="221">
        <f t="shared" si="378"/>
        <v>0.98</v>
      </c>
      <c r="G208" s="221"/>
      <c r="H208" s="221">
        <f t="shared" si="367"/>
        <v>4.9000000000000004</v>
      </c>
      <c r="I208" s="551">
        <f t="shared" si="323"/>
        <v>23</v>
      </c>
      <c r="J208" s="451">
        <f t="shared" si="324"/>
        <v>10.64</v>
      </c>
      <c r="K208" s="451">
        <f t="shared" si="325"/>
        <v>33.64</v>
      </c>
      <c r="L208" s="451"/>
      <c r="M208" s="221">
        <f t="shared" si="326"/>
        <v>0.31629013079667062</v>
      </c>
      <c r="N208" s="176">
        <f t="shared" si="368"/>
        <v>13.744455410225921</v>
      </c>
      <c r="O208" s="176">
        <f t="shared" si="363"/>
        <v>4.9000000000000004</v>
      </c>
      <c r="P208" s="221">
        <f t="shared" si="369"/>
        <v>2.7488910820451844</v>
      </c>
      <c r="Q208" s="221">
        <f t="shared" si="329"/>
        <v>5</v>
      </c>
      <c r="R208" s="221"/>
      <c r="S208" s="176">
        <f t="shared" si="330"/>
        <v>31.915181391324062</v>
      </c>
      <c r="T208" s="546">
        <f t="shared" si="370"/>
        <v>5</v>
      </c>
      <c r="U208" s="221">
        <f t="shared" si="332"/>
        <v>1.4968217645563184</v>
      </c>
      <c r="V208" s="221">
        <f t="shared" si="371"/>
        <v>0.45555445008235779</v>
      </c>
      <c r="W208" s="221">
        <f t="shared" si="334"/>
        <v>0.98475116089231463</v>
      </c>
      <c r="X208" s="201">
        <f t="shared" si="335"/>
        <v>350</v>
      </c>
      <c r="Y208" s="451">
        <f t="shared" si="303"/>
        <v>350</v>
      </c>
      <c r="AA208" s="221">
        <f t="shared" si="336"/>
        <v>2.9692542891116021</v>
      </c>
      <c r="AB208" s="177">
        <f t="shared" si="372"/>
        <v>1.9534567691523697</v>
      </c>
      <c r="AC208" s="177">
        <f t="shared" si="373"/>
        <v>2.0301084616399181</v>
      </c>
      <c r="AD208" s="177"/>
      <c r="AE208" s="177">
        <f t="shared" si="339"/>
        <v>0.53947368421052622</v>
      </c>
      <c r="AF208" s="555">
        <f t="shared" si="374"/>
        <v>2215.3480071386084</v>
      </c>
      <c r="AG208" s="538">
        <f t="shared" si="341"/>
        <v>0.15482894736842101</v>
      </c>
      <c r="AI208" s="177">
        <f t="shared" si="342"/>
        <v>2.0630075133164203</v>
      </c>
      <c r="AJ208" s="177">
        <f t="shared" si="375"/>
        <v>2.0630075133164203</v>
      </c>
      <c r="AK208" s="177">
        <f t="shared" si="376"/>
        <v>2.0286716755442802</v>
      </c>
      <c r="AM208" s="555">
        <f t="shared" si="345"/>
        <v>980</v>
      </c>
      <c r="AN208" s="469">
        <f t="shared" si="346"/>
        <v>350</v>
      </c>
      <c r="AP208">
        <f t="shared" si="347"/>
        <v>980</v>
      </c>
      <c r="AQ208">
        <f t="shared" si="348"/>
        <v>350</v>
      </c>
      <c r="AS208" s="5">
        <f t="shared" si="364"/>
        <v>2.8571428571428572</v>
      </c>
      <c r="AT208" s="5">
        <f t="shared" si="349"/>
        <v>0.62787185187891048</v>
      </c>
      <c r="AU208" s="5">
        <f t="shared" si="304"/>
        <v>2.2292710052639468</v>
      </c>
      <c r="AV208" s="5"/>
      <c r="AW208" s="177">
        <f t="shared" si="305"/>
        <v>0.21975514815761865</v>
      </c>
      <c r="AX208" s="177">
        <f t="shared" si="360"/>
        <v>5.2136000000000005</v>
      </c>
      <c r="AY208" s="177">
        <f t="shared" si="361"/>
        <v>1.6096509915772899</v>
      </c>
      <c r="AZ208" s="177">
        <f t="shared" si="365"/>
        <v>3.2389629971222624</v>
      </c>
      <c r="BA208" s="469">
        <f t="shared" si="350"/>
        <v>101.93868054563885</v>
      </c>
      <c r="BB208" s="469">
        <f t="shared" si="351"/>
        <v>9.1694506897542514</v>
      </c>
      <c r="BC208" s="5">
        <f t="shared" si="359"/>
        <v>0.43975152680327445</v>
      </c>
      <c r="BD208" s="469">
        <f t="shared" si="352"/>
        <v>53.480328143929185</v>
      </c>
      <c r="BF208" s="177">
        <f t="shared" si="366"/>
        <v>0.55835410226809323</v>
      </c>
      <c r="BG208" s="177">
        <f t="shared" si="362"/>
        <v>2.1041933020966095</v>
      </c>
      <c r="BI208" s="538">
        <f t="shared" si="306"/>
        <v>3.4293523387156917E-2</v>
      </c>
      <c r="BJ208" s="538">
        <f t="shared" si="307"/>
        <v>0.12144925230893766</v>
      </c>
      <c r="BK208" s="538">
        <f t="shared" si="308"/>
        <v>1.7499999999999998E-2</v>
      </c>
      <c r="BL208" s="538">
        <f t="shared" si="309"/>
        <v>8.9117405999999996E-2</v>
      </c>
      <c r="BM208">
        <f t="shared" si="310"/>
        <v>6.6699999999999997E-3</v>
      </c>
      <c r="BN208">
        <f t="shared" si="353"/>
        <v>6.3E-5</v>
      </c>
      <c r="BO208" s="538">
        <f t="shared" si="377"/>
        <v>0.27546572168956357</v>
      </c>
      <c r="BP208" s="469">
        <f t="shared" si="311"/>
        <v>269.03018169609453</v>
      </c>
      <c r="BQ208" s="538">
        <f t="shared" si="355"/>
        <v>0.71263089017774106</v>
      </c>
      <c r="BT208" s="469">
        <f t="shared" si="312"/>
        <v>712.63089017774109</v>
      </c>
      <c r="BU208" s="538">
        <f t="shared" si="313"/>
        <v>3.1175930351960836E-2</v>
      </c>
      <c r="BV208" s="538">
        <f t="shared" si="314"/>
        <v>0.13282888357764699</v>
      </c>
      <c r="BW208" s="538">
        <f t="shared" si="315"/>
        <v>0</v>
      </c>
      <c r="BX208" s="538"/>
      <c r="BY208" s="538">
        <f t="shared" si="316"/>
        <v>7.4480000000000005E-2</v>
      </c>
      <c r="BZ208" s="469">
        <f t="shared" si="317"/>
        <v>238.48481392960787</v>
      </c>
      <c r="CA208" s="177">
        <f t="shared" si="318"/>
        <v>1.2201458858034435</v>
      </c>
      <c r="CB208" s="5">
        <f t="shared" si="319"/>
        <v>4.9000000000000004</v>
      </c>
      <c r="CC208" s="177">
        <f t="shared" si="320"/>
        <v>0.8006345096064218</v>
      </c>
      <c r="CD208" s="5">
        <f t="shared" si="321"/>
        <v>80.063450960642186</v>
      </c>
      <c r="CG208" s="571">
        <f t="shared" si="356"/>
        <v>-50</v>
      </c>
      <c r="CH208">
        <f t="shared" si="357"/>
        <v>-50</v>
      </c>
    </row>
    <row r="209" spans="5:88" x14ac:dyDescent="0.2">
      <c r="E209" s="174">
        <v>99</v>
      </c>
      <c r="F209" s="221">
        <f t="shared" si="378"/>
        <v>0.99</v>
      </c>
      <c r="G209" s="221"/>
      <c r="H209" s="221">
        <f t="shared" si="367"/>
        <v>4.95</v>
      </c>
      <c r="I209" s="551">
        <f t="shared" si="323"/>
        <v>23</v>
      </c>
      <c r="J209" s="451">
        <f t="shared" si="324"/>
        <v>10.64</v>
      </c>
      <c r="K209" s="451">
        <f t="shared" si="325"/>
        <v>33.64</v>
      </c>
      <c r="L209" s="451"/>
      <c r="M209" s="221">
        <f t="shared" si="326"/>
        <v>0.31629013079667062</v>
      </c>
      <c r="N209" s="176">
        <f t="shared" si="368"/>
        <v>13.744455410225921</v>
      </c>
      <c r="O209" s="176">
        <f t="shared" si="363"/>
        <v>4.95</v>
      </c>
      <c r="P209" s="221">
        <f t="shared" si="369"/>
        <v>2.7488910820451844</v>
      </c>
      <c r="Q209" s="221">
        <f t="shared" si="329"/>
        <v>5</v>
      </c>
      <c r="R209" s="221"/>
      <c r="S209" s="176">
        <f t="shared" si="330"/>
        <v>31.479361956026832</v>
      </c>
      <c r="T209" s="546">
        <f t="shared" si="370"/>
        <v>5</v>
      </c>
      <c r="U209" s="221">
        <f t="shared" si="332"/>
        <v>1.5120954560313828</v>
      </c>
      <c r="V209" s="221">
        <f t="shared" si="371"/>
        <v>0.46020296487911649</v>
      </c>
      <c r="W209" s="221">
        <f t="shared" si="334"/>
        <v>0.99479964212590977</v>
      </c>
      <c r="X209" s="201">
        <f t="shared" si="335"/>
        <v>350</v>
      </c>
      <c r="Y209" s="451">
        <f t="shared" si="303"/>
        <v>350</v>
      </c>
      <c r="AA209" s="221">
        <f t="shared" si="336"/>
        <v>2.9692542891116021</v>
      </c>
      <c r="AB209" s="177">
        <f t="shared" si="372"/>
        <v>1.9534567691523697</v>
      </c>
      <c r="AC209" s="177">
        <f t="shared" si="373"/>
        <v>2.0301084616399181</v>
      </c>
      <c r="AD209" s="177"/>
      <c r="AE209" s="177">
        <f t="shared" si="339"/>
        <v>0.53947368421052622</v>
      </c>
      <c r="AF209" s="555">
        <f t="shared" si="374"/>
        <v>2237.9535990481859</v>
      </c>
      <c r="AG209" s="538">
        <f t="shared" si="341"/>
        <v>0.15482894736842101</v>
      </c>
      <c r="AI209" s="177">
        <f t="shared" si="342"/>
        <v>2.0735063470914605</v>
      </c>
      <c r="AJ209" s="177">
        <f t="shared" si="375"/>
        <v>2.0735063470914605</v>
      </c>
      <c r="AK209" s="177">
        <f t="shared" si="376"/>
        <v>2.0356708980609737</v>
      </c>
      <c r="AM209" s="555">
        <f t="shared" si="345"/>
        <v>990</v>
      </c>
      <c r="AN209" s="469">
        <f t="shared" si="346"/>
        <v>350</v>
      </c>
      <c r="AP209">
        <f t="shared" si="347"/>
        <v>990</v>
      </c>
      <c r="AQ209">
        <f t="shared" si="348"/>
        <v>350</v>
      </c>
      <c r="AS209" s="5">
        <f t="shared" si="364"/>
        <v>2.8571428571428572</v>
      </c>
      <c r="AT209" s="5">
        <f t="shared" si="349"/>
        <v>0.63106714911479234</v>
      </c>
      <c r="AU209" s="5">
        <f t="shared" si="304"/>
        <v>2.2260757080280649</v>
      </c>
      <c r="AV209" s="5"/>
      <c r="AW209" s="177">
        <f t="shared" si="305"/>
        <v>0.22087350219017732</v>
      </c>
      <c r="AX209" s="177">
        <f t="shared" si="360"/>
        <v>5.2668000000000008</v>
      </c>
      <c r="AY209" s="177">
        <f t="shared" si="361"/>
        <v>1.6155237383958083</v>
      </c>
      <c r="AZ209" s="177">
        <f t="shared" si="365"/>
        <v>3.2601192262453891</v>
      </c>
      <c r="BA209" s="469">
        <f t="shared" si="350"/>
        <v>101.93868054563885</v>
      </c>
      <c r="BB209" s="469">
        <f t="shared" si="351"/>
        <v>9.3272309673345912</v>
      </c>
      <c r="BC209" s="5">
        <f t="shared" si="359"/>
        <v>0.44360204326646219</v>
      </c>
      <c r="BD209" s="469">
        <f t="shared" si="352"/>
        <v>53.949636496323301</v>
      </c>
      <c r="BF209" s="177">
        <f t="shared" si="366"/>
        <v>0.56262179303327731</v>
      </c>
      <c r="BG209" s="177">
        <f t="shared" si="362"/>
        <v>2.1133855068556495</v>
      </c>
      <c r="BI209" s="538">
        <f t="shared" si="306"/>
        <v>3.4819761019557791E-2</v>
      </c>
      <c r="BJ209" s="538">
        <f t="shared" si="307"/>
        <v>0.12206731865327428</v>
      </c>
      <c r="BK209" s="538">
        <f t="shared" si="308"/>
        <v>1.7499999999999998E-2</v>
      </c>
      <c r="BL209" s="538">
        <f t="shared" si="309"/>
        <v>8.9117405999999996E-2</v>
      </c>
      <c r="BM209">
        <f t="shared" si="310"/>
        <v>6.6699999999999997E-3</v>
      </c>
      <c r="BN209">
        <f t="shared" si="353"/>
        <v>6.3E-5</v>
      </c>
      <c r="BO209" s="538">
        <f t="shared" si="377"/>
        <v>0.27671584403925031</v>
      </c>
      <c r="BP209" s="469">
        <f t="shared" si="311"/>
        <v>270.17448567283202</v>
      </c>
      <c r="BQ209" s="538">
        <f t="shared" si="355"/>
        <v>0.71941283016488577</v>
      </c>
      <c r="BT209" s="469">
        <f t="shared" si="312"/>
        <v>719.4128301648858</v>
      </c>
      <c r="BU209" s="538">
        <f t="shared" si="313"/>
        <v>3.1654328199597993E-2</v>
      </c>
      <c r="BV209" s="538">
        <f t="shared" si="314"/>
        <v>0.13399194901762532</v>
      </c>
      <c r="BW209" s="538">
        <f t="shared" si="315"/>
        <v>0</v>
      </c>
      <c r="BX209" s="538"/>
      <c r="BY209" s="538">
        <f t="shared" si="316"/>
        <v>7.5240000000000029E-2</v>
      </c>
      <c r="BZ209" s="469">
        <f t="shared" si="317"/>
        <v>240.88627721722332</v>
      </c>
      <c r="CA209" s="177">
        <f t="shared" si="318"/>
        <v>1.2304735930549411</v>
      </c>
      <c r="CB209" s="5">
        <f t="shared" si="319"/>
        <v>4.95</v>
      </c>
      <c r="CC209" s="177">
        <f t="shared" si="320"/>
        <v>0.80090949754438945</v>
      </c>
      <c r="CD209" s="5">
        <f t="shared" si="321"/>
        <v>80.090949754438938</v>
      </c>
      <c r="CG209" s="571">
        <f t="shared" si="356"/>
        <v>-50</v>
      </c>
      <c r="CH209">
        <f t="shared" si="357"/>
        <v>-50</v>
      </c>
    </row>
    <row r="210" spans="5:88" x14ac:dyDescent="0.2">
      <c r="E210" s="174">
        <v>100</v>
      </c>
      <c r="F210" s="221">
        <f t="shared" si="378"/>
        <v>1</v>
      </c>
      <c r="G210" s="221"/>
      <c r="H210" s="221">
        <f t="shared" si="367"/>
        <v>5</v>
      </c>
      <c r="I210" s="551">
        <f t="shared" si="323"/>
        <v>23</v>
      </c>
      <c r="J210" s="451">
        <f t="shared" si="324"/>
        <v>10.64</v>
      </c>
      <c r="K210" s="451">
        <f t="shared" si="325"/>
        <v>33.64</v>
      </c>
      <c r="L210" s="451"/>
      <c r="M210" s="221">
        <f t="shared" si="326"/>
        <v>0.31629013079667062</v>
      </c>
      <c r="N210" s="176">
        <f t="shared" si="368"/>
        <v>13.744455410225921</v>
      </c>
      <c r="O210" s="176">
        <f t="shared" si="363"/>
        <v>5</v>
      </c>
      <c r="P210" s="221">
        <f t="shared" si="369"/>
        <v>2.7488910820451844</v>
      </c>
      <c r="Q210" s="221">
        <f t="shared" si="329"/>
        <v>5</v>
      </c>
      <c r="R210" s="221"/>
      <c r="S210" s="176">
        <f t="shared" si="330"/>
        <v>31.052300927607817</v>
      </c>
      <c r="T210" s="546">
        <f t="shared" si="370"/>
        <v>5</v>
      </c>
      <c r="U210" s="221">
        <f t="shared" si="332"/>
        <v>1.5273691475064475</v>
      </c>
      <c r="V210" s="221">
        <f t="shared" si="371"/>
        <v>0.46485147967587531</v>
      </c>
      <c r="W210" s="221">
        <f t="shared" si="334"/>
        <v>1.0048481233595048</v>
      </c>
      <c r="X210" s="201">
        <f t="shared" si="335"/>
        <v>350</v>
      </c>
      <c r="Y210" s="451">
        <f t="shared" si="303"/>
        <v>350</v>
      </c>
      <c r="AA210" s="221">
        <f t="shared" si="336"/>
        <v>2.9692542891116021</v>
      </c>
      <c r="AB210" s="177">
        <f t="shared" si="372"/>
        <v>1.9534567691523697</v>
      </c>
      <c r="AC210" s="177">
        <f t="shared" si="373"/>
        <v>2.0301084616399181</v>
      </c>
      <c r="AD210" s="177"/>
      <c r="AE210" s="177">
        <f t="shared" si="339"/>
        <v>0.53947368421052622</v>
      </c>
      <c r="AF210" s="555">
        <f t="shared" si="374"/>
        <v>2260.5591909577638</v>
      </c>
      <c r="AG210" s="538">
        <f t="shared" si="341"/>
        <v>0.15482894736842101</v>
      </c>
      <c r="AI210" s="177">
        <f t="shared" si="342"/>
        <v>2.0839522890069109</v>
      </c>
      <c r="AJ210" s="177">
        <f t="shared" si="375"/>
        <v>2.0839522890069109</v>
      </c>
      <c r="AK210" s="177">
        <f t="shared" si="376"/>
        <v>2.0426348593379409</v>
      </c>
      <c r="AM210" s="555">
        <f t="shared" si="345"/>
        <v>1000</v>
      </c>
      <c r="AN210" s="469">
        <f t="shared" si="346"/>
        <v>350</v>
      </c>
      <c r="AP210">
        <f t="shared" si="347"/>
        <v>1000</v>
      </c>
      <c r="AQ210">
        <f t="shared" si="348"/>
        <v>350</v>
      </c>
      <c r="AS210" s="5">
        <f t="shared" si="364"/>
        <v>2.8571428571428572</v>
      </c>
      <c r="AT210" s="5">
        <f t="shared" si="349"/>
        <v>0.63424634882819031</v>
      </c>
      <c r="AU210" s="5">
        <f t="shared" si="304"/>
        <v>2.2228965083146668</v>
      </c>
      <c r="AV210" s="5"/>
      <c r="AW210" s="177">
        <f t="shared" si="305"/>
        <v>0.2219862220898666</v>
      </c>
      <c r="AX210" s="177">
        <f t="shared" si="360"/>
        <v>5.3200000000000012</v>
      </c>
      <c r="AY210" s="177">
        <f t="shared" si="361"/>
        <v>1.6213435933547369</v>
      </c>
      <c r="AZ210" s="177">
        <f t="shared" si="365"/>
        <v>3.2812292359279258</v>
      </c>
      <c r="BA210" s="469">
        <f t="shared" si="350"/>
        <v>101.93868054563885</v>
      </c>
      <c r="BB210" s="469">
        <f t="shared" si="351"/>
        <v>9.486308506616254</v>
      </c>
      <c r="BC210" s="5">
        <f t="shared" si="359"/>
        <v>0.44744293645625333</v>
      </c>
      <c r="BD210" s="469">
        <f t="shared" si="352"/>
        <v>54.417790055909826</v>
      </c>
      <c r="BF210" s="177">
        <f t="shared" si="366"/>
        <v>0.5668787201917912</v>
      </c>
      <c r="BG210" s="177">
        <f t="shared" si="362"/>
        <v>2.1225150781210154</v>
      </c>
      <c r="BI210" s="538">
        <f t="shared" si="306"/>
        <v>3.5348663174691146E-2</v>
      </c>
      <c r="BJ210" s="538">
        <f t="shared" si="307"/>
        <v>0.12268227125383685</v>
      </c>
      <c r="BK210" s="538">
        <f t="shared" si="308"/>
        <v>1.7499999999999998E-2</v>
      </c>
      <c r="BL210" s="538">
        <f t="shared" si="309"/>
        <v>8.9117405999999996E-2</v>
      </c>
      <c r="BM210">
        <f t="shared" si="310"/>
        <v>6.6699999999999997E-3</v>
      </c>
      <c r="BN210">
        <f t="shared" si="353"/>
        <v>6.3E-5</v>
      </c>
      <c r="BO210" s="538">
        <f t="shared" si="377"/>
        <v>0.27796625818165677</v>
      </c>
      <c r="BP210" s="469">
        <f t="shared" si="311"/>
        <v>271.31834042852796</v>
      </c>
      <c r="BQ210" s="538">
        <f t="shared" si="355"/>
        <v>0.72618736762342107</v>
      </c>
      <c r="BT210" s="469">
        <f t="shared" si="312"/>
        <v>726.1873676234211</v>
      </c>
      <c r="BU210" s="538">
        <f t="shared" si="313"/>
        <v>3.2135148340628313E-2</v>
      </c>
      <c r="BV210" s="538">
        <f t="shared" si="314"/>
        <v>0.13515210770553179</v>
      </c>
      <c r="BW210" s="538">
        <f t="shared" si="315"/>
        <v>0</v>
      </c>
      <c r="BX210" s="538"/>
      <c r="BY210" s="538">
        <f t="shared" si="316"/>
        <v>7.6000000000000012E-2</v>
      </c>
      <c r="BZ210" s="469">
        <f t="shared" si="317"/>
        <v>243.28725604616011</v>
      </c>
      <c r="CA210" s="177">
        <f t="shared" si="318"/>
        <v>1.2407929640981092</v>
      </c>
      <c r="CB210" s="5">
        <f t="shared" si="319"/>
        <v>5</v>
      </c>
      <c r="CC210" s="177">
        <f t="shared" si="320"/>
        <v>0.80118023923624537</v>
      </c>
      <c r="CD210" s="5">
        <f t="shared" si="321"/>
        <v>80.118023923624534</v>
      </c>
      <c r="CG210" s="571">
        <f t="shared" si="356"/>
        <v>-50</v>
      </c>
      <c r="CH210">
        <f t="shared" si="357"/>
        <v>-50</v>
      </c>
    </row>
    <row r="211" spans="5:88" x14ac:dyDescent="0.2">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
      <c r="E212" s="647">
        <v>101</v>
      </c>
      <c r="F212" s="648">
        <f>Ioutmax_Vinmin</f>
        <v>2.7488910820451844</v>
      </c>
      <c r="H212" s="221">
        <f t="shared" ref="H212" si="379">F212*Vout</f>
        <v>13.744455410225921</v>
      </c>
      <c r="I212" s="551">
        <f t="shared" si="323"/>
        <v>23</v>
      </c>
      <c r="J212" s="451">
        <f t="shared" ref="J212" si="380">(T212+Vfwd1)*Nps</f>
        <v>9.9880318357166438</v>
      </c>
      <c r="K212" s="451">
        <f t="shared" ref="K212" si="381">(Vout+Vfwd1)*Nps+I212</f>
        <v>33.64</v>
      </c>
      <c r="L212" s="451"/>
      <c r="M212" s="221">
        <f t="shared" ref="M212" si="382">(Vout+Vfwd1)*Nps/((Vout+Vfwd1)*Nps+I212)</f>
        <v>0.31629013079667062</v>
      </c>
      <c r="N212" s="176">
        <f>M212*I212*(Isw_max+VIN_min/Lmag*ILIM_delay)*0.5*Efficiency</f>
        <v>13.744455410225921</v>
      </c>
      <c r="O212" s="176">
        <f t="shared" ref="O212" si="383">T212*F212</f>
        <v>12.848360673937977</v>
      </c>
      <c r="P212" s="221">
        <f t="shared" ref="P212" si="384">N212/Vout</f>
        <v>2.7488910820451844</v>
      </c>
      <c r="Q212" s="221">
        <f t="shared" ref="Q212" si="385">MIN(Vout,N212/F212)</f>
        <v>5</v>
      </c>
      <c r="R212" s="221"/>
      <c r="S212" s="176">
        <f t="shared" ref="S212" si="386">(SQRT(Isw_max^2*Nps^2*I212^2+4*Isw_max*F212/Efficiency*(Nps^2*Vfwd1*I212-Nps*I212^2)+4*(F212/Efficiency)^2*Nps^2*Vfwd1^2+8*(F212/Efficiency)^2*Nps*Vfwd1*I212+4*(F212/Efficiency)^2*I212^2)-2*F212/Efficiency*I212-2*F212/Efficiency*Nps*Vfwd1+Isw_max*Nps*I212)/(4*F212/Efficiency*Nps)</f>
        <v>4.6740159178583216</v>
      </c>
      <c r="T212" s="546">
        <f t="shared" ref="T212" si="387">MIN(Vout, S212)</f>
        <v>4.6740159178583216</v>
      </c>
      <c r="U212" s="221">
        <f>MIN(2*Vout*F212/(Efficiency*I212*M212), Isw_max)</f>
        <v>4.0999999999999996</v>
      </c>
      <c r="V212" s="221">
        <f t="shared" ref="V212" si="388">L*U212/I212*1000000</f>
        <v>1.2478260869565216</v>
      </c>
      <c r="W212" s="221">
        <f t="shared" ref="W212" si="389">L*U212/J212*1000000</f>
        <v>2.8734389789758579</v>
      </c>
      <c r="X212" s="201">
        <f t="shared" ref="X212" si="390">IF(1/((350000*L)*(1/I212+1/J212))&gt;Isw_min, 350, 0.001/((Isw_min*L)*(1/I212+1/J212)))</f>
        <v>350</v>
      </c>
      <c r="Y212" s="451">
        <f t="shared" ref="Y212" si="391">MIN(1/(V212+W212)*1000, 350)</f>
        <v>242.64394160577095</v>
      </c>
      <c r="AA212" s="221">
        <f t="shared" ref="AA212" si="392">1/((X212*1000*L)*(1/I212+1/J212))</f>
        <v>2.842400458810459</v>
      </c>
      <c r="AB212" s="177">
        <f t="shared" ref="AB212" si="393">L*AA212/J212*1000000</f>
        <v>1.9920644566353258</v>
      </c>
      <c r="AC212" s="177">
        <f t="shared" ref="AC212" si="394">0.5*AB212*AA212*Nps*X212/1000</f>
        <v>1.9817857239320904</v>
      </c>
      <c r="AD212" s="177"/>
      <c r="AE212" s="177">
        <f t="shared" ref="AE212" si="395">L*Isw_min/J212*1000000</f>
        <v>0.5746877957951716</v>
      </c>
      <c r="AF212" s="555">
        <f>MAX(12000,F212/(0.5*AE212/1000000*Isw_min*Nps))/1000</f>
        <v>5833.2649869093393</v>
      </c>
      <c r="AG212" s="538">
        <f t="shared" ref="AG212" si="396">0.5*AE212/1000000*Isw_min*Nps*X212*1000</f>
        <v>0.16493539739321422</v>
      </c>
      <c r="AI212" s="177">
        <f t="shared" ref="AI212" si="397">SQRT(F212/(0.5*L/J212*Fsw_DCM*Nps))</f>
        <v>3.3476163704078159</v>
      </c>
      <c r="AJ212" s="177">
        <f t="shared" ref="AJ212" si="398">MAX(IF(F212&gt;AC212,U212,AI212),Isw_min)</f>
        <v>4.0999999999999996</v>
      </c>
      <c r="AK212" s="177">
        <f t="shared" ref="AK212" si="399">IF(F212&gt;AG212, (AJ212-Isw_min)/1.08*0.8+1.2, AF212*0.2/350+1)</f>
        <v>3.6296296296296298</v>
      </c>
      <c r="AM212" s="555">
        <f t="shared" ref="AM212" si="400">F212*1000</f>
        <v>2748.8910820451842</v>
      </c>
      <c r="AN212" s="469">
        <f t="shared" ref="AN212" si="401">IF(F212&gt;AG212, Y212, AF212)</f>
        <v>242.64394160577095</v>
      </c>
      <c r="AS212" s="5">
        <f t="shared" ref="AS212" si="402">1/AN212*1000</f>
        <v>4.1212650659323788</v>
      </c>
      <c r="AT212" s="5">
        <f t="shared" ref="AT212" si="403">L*AJ212/I212*1000000</f>
        <v>1.2478260869565216</v>
      </c>
      <c r="AU212" s="5">
        <f t="shared" si="304"/>
        <v>2.873438978975857</v>
      </c>
      <c r="AV212" s="5"/>
      <c r="AW212" s="177"/>
      <c r="AX212" s="177"/>
      <c r="BA212" s="469">
        <f>L*Isw_max^2/(2*Vout_ripple*Vout)*1000000000*((1+M212)/2)^2</f>
        <v>101.93868054563885</v>
      </c>
      <c r="BB212" s="469">
        <f>L*F212^2/(2*Cout*Vout*Nps^2)*1000000000*((1+M212)/(1-M212))^2+F212*RCoutEsr</f>
        <v>57.259828991829224</v>
      </c>
      <c r="BC212" s="5">
        <f t="shared" si="359"/>
        <v>1.5899297069460048</v>
      </c>
      <c r="BD212" s="469">
        <f>((CB212/I212/Efficiency)*AU212/Cin+(CB212/I212/Efficiency)*RCinEsr)*1000</f>
        <v>180.21464346208714</v>
      </c>
      <c r="BQ212" s="538">
        <f>(Vfwd2*F212+BG212^2*Rdiode)*(1+Diode_TC/1000*(Ta-25))</f>
        <v>1.0500763933412605</v>
      </c>
      <c r="CB212" s="5">
        <f t="shared" si="319"/>
        <v>12.848360673937977</v>
      </c>
      <c r="CG212" s="571"/>
    </row>
    <row r="213" spans="5:88" x14ac:dyDescent="0.2">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x14ac:dyDescent="0.2">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25">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
      <c r="E216" s="174">
        <v>0.1</v>
      </c>
      <c r="F216" s="221">
        <v>1.0000000000000001E-9</v>
      </c>
      <c r="G216" s="221"/>
      <c r="H216" s="221">
        <f t="shared" ref="H216:H247" si="404">F216*Vout</f>
        <v>5.0000000000000001E-9</v>
      </c>
      <c r="I216" s="551">
        <f t="shared" ref="I216:I247" si="405">VIN_max</f>
        <v>25</v>
      </c>
      <c r="J216" s="451">
        <f t="shared" ref="J216:J247" si="406">(T216+Vfwd1)*Nps</f>
        <v>10.64</v>
      </c>
      <c r="K216" s="451">
        <f t="shared" ref="K216:K247" si="407">(Vout+Vfwd1)*Nps+I216</f>
        <v>35.64</v>
      </c>
      <c r="L216" s="451"/>
      <c r="M216" s="221">
        <f t="shared" ref="M216:M247" si="408">(Vout+Vfwd1)*Nps/((Vout+Vfwd1)*Nps+I216)</f>
        <v>0.2985409652076319</v>
      </c>
      <c r="N216" s="176">
        <f t="shared" ref="N216:N247" si="409">M216*I216*(Isw_max+VIN_max/Lmag*ILIM_delay)*0.5*Efficiency</f>
        <v>14.130050505050503</v>
      </c>
      <c r="O216" s="176">
        <f t="shared" si="363"/>
        <v>5.0000000000000001E-9</v>
      </c>
      <c r="P216" s="221">
        <f t="shared" ref="P216:P247" si="410">N216/Vout</f>
        <v>2.8260101010101009</v>
      </c>
      <c r="Q216" s="221">
        <f t="shared" ref="Q216:Q247" si="411">MIN(Vout,N216/F216)</f>
        <v>5</v>
      </c>
      <c r="R216" s="221"/>
      <c r="S216" s="176">
        <f t="shared" ref="S216:S247" si="412">(SQRT(Isw_max^2*Nps^2*I216^2+4*Isw_max*F216/Efficiency*(Nps^2*Vfwd1*I216-Nps*I216^2)+4*(F216/Efficiency)^2*Nps^2*Vfwd1^2+8*(F216/Efficiency)^2*Nps*Vfwd1*I216+4*(F216/Efficiency)^2*I216^2)-2*F216/Efficiency*I216-2*F216/Efficiency*Nps*Vfwd1+Isw_max*Nps*I216)/(4*F216/Efficiency*Nps)</f>
        <v>46124999987.5</v>
      </c>
      <c r="T216" s="176">
        <f t="shared" ref="T216:T247" si="413">MIN(Vout, S216)</f>
        <v>5</v>
      </c>
      <c r="U216" s="221">
        <f t="shared" ref="U216:U247" si="414">MIN(2*Vout*F216/(Efficiency*I216*M216), Isw_max)</f>
        <v>1.488721804511278E-9</v>
      </c>
      <c r="V216" s="221">
        <f t="shared" ref="V216:V247" si="415">L*U216/I216*1000000</f>
        <v>4.1684210526315784E-10</v>
      </c>
      <c r="W216" s="221">
        <f t="shared" ref="W216:W247" si="416">L*U216/J216*1000000</f>
        <v>9.7942223981005117E-10</v>
      </c>
      <c r="X216" s="201">
        <f t="shared" ref="X216:X247" si="417">IF(1/((350000*L)*(1/I216+1/J216))&gt;Isw_min, 350, 0.001/((Isw_min*L)*(1/I216+1/J216)))</f>
        <v>350</v>
      </c>
      <c r="Y216" s="451">
        <f t="shared" ref="Y216:Y275" si="418">MIN(1/(V216+W216)*1000, 350)</f>
        <v>350</v>
      </c>
      <c r="AA216" s="221">
        <f t="shared" ref="AA216:AA247" si="419">1/((X216*1000*L)*(1/I216+1/J216))</f>
        <v>3.0463363796697127</v>
      </c>
      <c r="AB216" s="177">
        <f t="shared" ref="AB216:AB247" si="420">L*AA216/J216*1000000</f>
        <v>2.004168670835337</v>
      </c>
      <c r="AC216" s="177">
        <f t="shared" ref="AC216:AC247" si="421">0.5*AB216*AA216*Nps*X216/1000</f>
        <v>2.136880176535993</v>
      </c>
      <c r="AD216" s="177"/>
      <c r="AE216" s="177">
        <f t="shared" ref="AE216:AE247" si="422">L*Isw_min/J216*1000000</f>
        <v>0.53947368421052622</v>
      </c>
      <c r="AF216" s="555">
        <f t="shared" ref="AF216:AF247" si="423">MAX(12000,F216/(0.5*AE216/1000000*Isw_min*Nps))/1000</f>
        <v>12</v>
      </c>
      <c r="AG216" s="538">
        <f t="shared" ref="AG216:AG247" si="424">0.5*AE216/1000000*Isw_min*Nps*X216*1000</f>
        <v>0.15482894736842101</v>
      </c>
      <c r="AI216" s="177">
        <f t="shared" ref="AI216:AI247" si="425">SQRT(F216/(0.5*L/J216*Fsw_DCM*Nps))</f>
        <v>6.590035768383313E-5</v>
      </c>
      <c r="AJ216" s="177">
        <f t="shared" ref="AJ216:AJ247" si="426">MAX(IF(F216&gt;AC216,U216,AI216),Isw_min)</f>
        <v>0.82</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0.22959999999999997</v>
      </c>
      <c r="AU216" s="5">
        <f t="shared" si="304"/>
        <v>83.103733333333324</v>
      </c>
      <c r="AV216" s="5"/>
      <c r="AW216" s="177">
        <f t="shared" si="305"/>
        <v>2.7551999999999997E-3</v>
      </c>
      <c r="AX216" s="177"/>
      <c r="BA216" s="469">
        <f t="shared" ref="BA216:BA247" si="433">L*Isw_max^2/(2*Vout_ripple*Vout)*1000000000*((1+M216)/2)^2</f>
        <v>99.208085235696529</v>
      </c>
      <c r="BB216" s="469">
        <f t="shared" ref="BB216:BB247" si="434">L*F216^2/(2*Cout*Vout*Nps^2)*1000000000*((1+M216)/(1-M216))^2+F216*RCoutEsr</f>
        <v>3.0000000059971479E-9</v>
      </c>
      <c r="BC216" s="5">
        <f t="shared" si="359"/>
        <v>1.5389580246913578E-8</v>
      </c>
      <c r="BD216" s="469">
        <f t="shared" ref="BD216:BD247" si="435">((CB216/I216/Efficiency)*AU216/Cin+(CB216/I216/Efficiency)*RCinEsr)*1000</f>
        <v>0</v>
      </c>
      <c r="BQ216" s="538">
        <f t="shared" ref="BQ216:BQ247" si="436">(Vfwd2*F216+BG216^2*Rdiode)*(1+Diode_TC/1000*(Ta-25))</f>
        <v>3.8200000000000003E-10</v>
      </c>
      <c r="CG216" s="571">
        <f t="shared" ref="CG216:CG247" si="437">IF(ABS(F216-Ioutmax_Vinmax)&lt;Iout/200, AN216, -50)</f>
        <v>-50</v>
      </c>
      <c r="CH216">
        <f t="shared" ref="CH216:CH247" si="438">IF(ABS(F216-Ioutmax_Vinmin)&lt;Iout/200, N216*CC216, -50)</f>
        <v>-50</v>
      </c>
    </row>
    <row r="217" spans="5:88" x14ac:dyDescent="0.2">
      <c r="E217" s="174">
        <v>1</v>
      </c>
      <c r="F217" s="221">
        <f t="shared" ref="F217:F248" si="439">IF(PLOT_TYPE=1, E217/100*Iout_max, min_I*EXP(N217*rr/100))</f>
        <v>0.01</v>
      </c>
      <c r="G217" s="221"/>
      <c r="H217" s="221">
        <f t="shared" si="404"/>
        <v>0.05</v>
      </c>
      <c r="I217" s="551">
        <f t="shared" si="405"/>
        <v>25</v>
      </c>
      <c r="J217" s="451">
        <f t="shared" si="406"/>
        <v>10.64</v>
      </c>
      <c r="K217" s="451">
        <f t="shared" si="407"/>
        <v>35.64</v>
      </c>
      <c r="L217" s="451"/>
      <c r="M217" s="221">
        <f t="shared" si="408"/>
        <v>0.2985409652076319</v>
      </c>
      <c r="N217" s="176">
        <f t="shared" si="409"/>
        <v>14.130050505050503</v>
      </c>
      <c r="O217" s="176">
        <f t="shared" si="363"/>
        <v>0.05</v>
      </c>
      <c r="P217" s="221">
        <f t="shared" si="410"/>
        <v>2.8260101010101009</v>
      </c>
      <c r="Q217" s="221">
        <f t="shared" si="411"/>
        <v>5</v>
      </c>
      <c r="R217" s="221"/>
      <c r="S217" s="176">
        <f t="shared" si="412"/>
        <v>4600.0008695045653</v>
      </c>
      <c r="T217" s="176">
        <f t="shared" si="413"/>
        <v>5</v>
      </c>
      <c r="U217" s="221">
        <f t="shared" si="414"/>
        <v>1.4887218045112781E-2</v>
      </c>
      <c r="V217" s="221">
        <f t="shared" si="415"/>
        <v>4.1684210526315791E-3</v>
      </c>
      <c r="W217" s="221">
        <f t="shared" si="416"/>
        <v>9.7942223981005126E-3</v>
      </c>
      <c r="X217" s="201">
        <f t="shared" si="417"/>
        <v>350</v>
      </c>
      <c r="Y217" s="451">
        <f t="shared" si="418"/>
        <v>350</v>
      </c>
      <c r="AA217" s="221">
        <f t="shared" si="419"/>
        <v>3.0463363796697127</v>
      </c>
      <c r="AB217" s="177">
        <f t="shared" si="420"/>
        <v>2.004168670835337</v>
      </c>
      <c r="AC217" s="177">
        <f t="shared" si="421"/>
        <v>2.136880176535993</v>
      </c>
      <c r="AD217" s="177"/>
      <c r="AE217" s="177">
        <f t="shared" si="422"/>
        <v>0.53947368421052622</v>
      </c>
      <c r="AF217" s="555">
        <f t="shared" si="423"/>
        <v>22.605591909577637</v>
      </c>
      <c r="AG217" s="538">
        <f t="shared" si="424"/>
        <v>0.15482894736842101</v>
      </c>
      <c r="AI217" s="177">
        <f t="shared" si="425"/>
        <v>0.20839522890069109</v>
      </c>
      <c r="AJ217" s="177">
        <f t="shared" si="426"/>
        <v>0.82</v>
      </c>
      <c r="AK217" s="177">
        <f t="shared" si="427"/>
        <v>1.0129174810911872</v>
      </c>
      <c r="AM217" s="555">
        <f t="shared" si="428"/>
        <v>10</v>
      </c>
      <c r="AN217" s="469">
        <f t="shared" si="429"/>
        <v>22.605591909577637</v>
      </c>
      <c r="AP217">
        <f t="shared" si="430"/>
        <v>10</v>
      </c>
      <c r="AQ217">
        <f t="shared" si="431"/>
        <v>22.605591909577637</v>
      </c>
      <c r="AS217" s="5">
        <f t="shared" si="364"/>
        <v>44.23684210526315</v>
      </c>
      <c r="AT217" s="5">
        <f t="shared" si="432"/>
        <v>0.22959999999999997</v>
      </c>
      <c r="AU217" s="5">
        <f t="shared" si="304"/>
        <v>44.007242105263153</v>
      </c>
      <c r="AV217" s="5"/>
      <c r="AW217" s="177">
        <f t="shared" si="305"/>
        <v>5.1902439024390243E-3</v>
      </c>
      <c r="AX217" s="177"/>
      <c r="BA217" s="469">
        <f t="shared" si="433"/>
        <v>99.208085235696529</v>
      </c>
      <c r="BB217" s="469">
        <f t="shared" si="434"/>
        <v>3.0599714751999997E-2</v>
      </c>
      <c r="BC217" s="5">
        <f t="shared" si="359"/>
        <v>8.1494892787524351E-2</v>
      </c>
      <c r="BD217" s="469">
        <f t="shared" si="435"/>
        <v>0</v>
      </c>
      <c r="BQ217" s="538">
        <f t="shared" si="436"/>
        <v>3.82E-3</v>
      </c>
      <c r="CG217" s="571">
        <f t="shared" si="437"/>
        <v>-50</v>
      </c>
      <c r="CH217">
        <f t="shared" si="438"/>
        <v>-50</v>
      </c>
    </row>
    <row r="218" spans="5:88" x14ac:dyDescent="0.2">
      <c r="E218" s="174">
        <v>2</v>
      </c>
      <c r="F218" s="221">
        <f t="shared" si="439"/>
        <v>0.02</v>
      </c>
      <c r="G218" s="221"/>
      <c r="H218" s="221">
        <f t="shared" si="404"/>
        <v>0.1</v>
      </c>
      <c r="I218" s="551">
        <f t="shared" si="405"/>
        <v>25</v>
      </c>
      <c r="J218" s="451">
        <f t="shared" si="406"/>
        <v>10.64</v>
      </c>
      <c r="K218" s="451">
        <f t="shared" si="407"/>
        <v>35.64</v>
      </c>
      <c r="L218" s="451"/>
      <c r="M218" s="221">
        <f t="shared" si="408"/>
        <v>0.2985409652076319</v>
      </c>
      <c r="N218" s="176">
        <f t="shared" si="409"/>
        <v>14.130050505050503</v>
      </c>
      <c r="O218" s="176">
        <f t="shared" si="363"/>
        <v>0.1</v>
      </c>
      <c r="P218" s="221">
        <f t="shared" si="410"/>
        <v>2.8260101010101009</v>
      </c>
      <c r="Q218" s="221">
        <f t="shared" si="411"/>
        <v>5</v>
      </c>
      <c r="R218" s="221"/>
      <c r="S218" s="176">
        <f t="shared" si="412"/>
        <v>2293.7517436246317</v>
      </c>
      <c r="T218" s="176">
        <f t="shared" si="413"/>
        <v>5</v>
      </c>
      <c r="U218" s="221">
        <f t="shared" si="414"/>
        <v>2.9774436090225561E-2</v>
      </c>
      <c r="V218" s="221">
        <f t="shared" si="415"/>
        <v>8.3368421052631581E-3</v>
      </c>
      <c r="W218" s="221">
        <f t="shared" si="416"/>
        <v>1.9588444796201025E-2</v>
      </c>
      <c r="X218" s="201">
        <f t="shared" si="417"/>
        <v>350</v>
      </c>
      <c r="Y218" s="451">
        <f t="shared" si="418"/>
        <v>350</v>
      </c>
      <c r="AA218" s="221">
        <f t="shared" si="419"/>
        <v>3.0463363796697127</v>
      </c>
      <c r="AB218" s="177">
        <f t="shared" si="420"/>
        <v>2.004168670835337</v>
      </c>
      <c r="AC218" s="177">
        <f t="shared" si="421"/>
        <v>2.136880176535993</v>
      </c>
      <c r="AD218" s="177"/>
      <c r="AE218" s="177">
        <f t="shared" si="422"/>
        <v>0.53947368421052622</v>
      </c>
      <c r="AF218" s="555">
        <f t="shared" si="423"/>
        <v>45.211183819155274</v>
      </c>
      <c r="AG218" s="538">
        <f t="shared" si="424"/>
        <v>0.15482894736842101</v>
      </c>
      <c r="AI218" s="177">
        <f t="shared" si="425"/>
        <v>0.29471535904520291</v>
      </c>
      <c r="AJ218" s="177">
        <f t="shared" si="426"/>
        <v>0.82</v>
      </c>
      <c r="AK218" s="177">
        <f t="shared" si="427"/>
        <v>1.0258349621823744</v>
      </c>
      <c r="AM218" s="555">
        <f t="shared" si="428"/>
        <v>20</v>
      </c>
      <c r="AN218" s="469">
        <f t="shared" si="429"/>
        <v>45.211183819155274</v>
      </c>
      <c r="AP218">
        <f t="shared" si="430"/>
        <v>20</v>
      </c>
      <c r="AQ218">
        <f t="shared" si="431"/>
        <v>45.211183819155274</v>
      </c>
      <c r="AS218" s="5">
        <f t="shared" si="364"/>
        <v>22.118421052631575</v>
      </c>
      <c r="AT218" s="5">
        <f t="shared" si="432"/>
        <v>0.22959999999999997</v>
      </c>
      <c r="AU218" s="5">
        <f t="shared" si="304"/>
        <v>21.888821052631574</v>
      </c>
      <c r="AV218" s="5"/>
      <c r="AW218" s="177">
        <f t="shared" si="305"/>
        <v>1.0380487804878049E-2</v>
      </c>
      <c r="AX218" s="177"/>
      <c r="BA218" s="469">
        <f t="shared" si="433"/>
        <v>99.208085235696529</v>
      </c>
      <c r="BB218" s="469">
        <f t="shared" si="434"/>
        <v>6.2398859007999997E-2</v>
      </c>
      <c r="BC218" s="5">
        <f t="shared" si="359"/>
        <v>8.1069707602339156E-2</v>
      </c>
      <c r="BD218" s="469">
        <f t="shared" si="435"/>
        <v>0</v>
      </c>
      <c r="BQ218" s="538">
        <f t="shared" si="436"/>
        <v>7.6400000000000001E-3</v>
      </c>
      <c r="CG218" s="571">
        <f t="shared" si="437"/>
        <v>-50</v>
      </c>
      <c r="CH218">
        <f t="shared" si="438"/>
        <v>-50</v>
      </c>
    </row>
    <row r="219" spans="5:88" x14ac:dyDescent="0.2">
      <c r="E219" s="174">
        <v>3</v>
      </c>
      <c r="F219" s="221">
        <f t="shared" si="439"/>
        <v>0.03</v>
      </c>
      <c r="G219" s="221"/>
      <c r="H219" s="221">
        <f t="shared" si="404"/>
        <v>0.15</v>
      </c>
      <c r="I219" s="551">
        <f t="shared" si="405"/>
        <v>25</v>
      </c>
      <c r="J219" s="451">
        <f t="shared" si="406"/>
        <v>10.64</v>
      </c>
      <c r="K219" s="451">
        <f t="shared" si="407"/>
        <v>35.64</v>
      </c>
      <c r="L219" s="451"/>
      <c r="M219" s="221">
        <f t="shared" si="408"/>
        <v>0.2985409652076319</v>
      </c>
      <c r="N219" s="176">
        <f t="shared" si="409"/>
        <v>14.130050505050503</v>
      </c>
      <c r="O219" s="176">
        <f t="shared" si="363"/>
        <v>0.15</v>
      </c>
      <c r="P219" s="221">
        <f t="shared" si="410"/>
        <v>2.8260101010101009</v>
      </c>
      <c r="Q219" s="221">
        <f t="shared" si="411"/>
        <v>5</v>
      </c>
      <c r="R219" s="221"/>
      <c r="S219" s="176">
        <f t="shared" si="412"/>
        <v>1525.0026223960369</v>
      </c>
      <c r="T219" s="176">
        <f t="shared" si="413"/>
        <v>5</v>
      </c>
      <c r="U219" s="221">
        <f t="shared" si="414"/>
        <v>4.466165413533834E-2</v>
      </c>
      <c r="V219" s="221">
        <f t="shared" si="415"/>
        <v>1.2505263157894735E-2</v>
      </c>
      <c r="W219" s="221">
        <f t="shared" si="416"/>
        <v>2.9382667194301534E-2</v>
      </c>
      <c r="X219" s="201">
        <f t="shared" si="417"/>
        <v>350</v>
      </c>
      <c r="Y219" s="451">
        <f t="shared" si="418"/>
        <v>350</v>
      </c>
      <c r="AA219" s="221">
        <f t="shared" si="419"/>
        <v>3.0463363796697127</v>
      </c>
      <c r="AB219" s="177">
        <f t="shared" si="420"/>
        <v>2.004168670835337</v>
      </c>
      <c r="AC219" s="177">
        <f t="shared" si="421"/>
        <v>2.136880176535993</v>
      </c>
      <c r="AD219" s="177"/>
      <c r="AE219" s="177">
        <f t="shared" si="422"/>
        <v>0.53947368421052622</v>
      </c>
      <c r="AF219" s="555">
        <f t="shared" si="423"/>
        <v>67.816775728732907</v>
      </c>
      <c r="AG219" s="538">
        <f t="shared" si="424"/>
        <v>0.15482894736842101</v>
      </c>
      <c r="AI219" s="177">
        <f t="shared" si="425"/>
        <v>0.36095112451094302</v>
      </c>
      <c r="AJ219" s="177">
        <f t="shared" si="426"/>
        <v>0.82</v>
      </c>
      <c r="AK219" s="177">
        <f t="shared" si="427"/>
        <v>1.0387524432735618</v>
      </c>
      <c r="AM219" s="555">
        <f t="shared" si="428"/>
        <v>30</v>
      </c>
      <c r="AN219" s="469">
        <f t="shared" si="429"/>
        <v>67.816775728732907</v>
      </c>
      <c r="AP219">
        <f t="shared" si="430"/>
        <v>30</v>
      </c>
      <c r="AQ219">
        <f t="shared" si="431"/>
        <v>67.816775728732907</v>
      </c>
      <c r="AS219" s="5">
        <f t="shared" si="364"/>
        <v>14.745614035087716</v>
      </c>
      <c r="AT219" s="5">
        <f t="shared" si="432"/>
        <v>0.22959999999999997</v>
      </c>
      <c r="AU219" s="5">
        <f t="shared" si="304"/>
        <v>14.516014035087716</v>
      </c>
      <c r="AV219" s="5"/>
      <c r="AW219" s="177">
        <f t="shared" si="305"/>
        <v>1.5570731707317076E-2</v>
      </c>
      <c r="AX219" s="177"/>
      <c r="BA219" s="469">
        <f t="shared" si="433"/>
        <v>99.208085235696529</v>
      </c>
      <c r="BB219" s="469">
        <f t="shared" si="434"/>
        <v>9.5397432768000001E-2</v>
      </c>
      <c r="BC219" s="5">
        <f t="shared" si="359"/>
        <v>8.064452241715396E-2</v>
      </c>
      <c r="BD219" s="469">
        <f t="shared" si="435"/>
        <v>0</v>
      </c>
      <c r="BQ219" s="538">
        <f t="shared" si="436"/>
        <v>1.146E-2</v>
      </c>
      <c r="CG219" s="571">
        <f t="shared" si="437"/>
        <v>-50</v>
      </c>
      <c r="CH219">
        <f t="shared" si="438"/>
        <v>-50</v>
      </c>
    </row>
    <row r="220" spans="5:88" x14ac:dyDescent="0.2">
      <c r="E220" s="174">
        <v>4</v>
      </c>
      <c r="F220" s="221">
        <f t="shared" si="439"/>
        <v>0.04</v>
      </c>
      <c r="G220" s="221"/>
      <c r="H220" s="221">
        <f t="shared" si="404"/>
        <v>0.2</v>
      </c>
      <c r="I220" s="551">
        <f t="shared" si="405"/>
        <v>25</v>
      </c>
      <c r="J220" s="451">
        <f t="shared" si="406"/>
        <v>10.64</v>
      </c>
      <c r="K220" s="451">
        <f t="shared" si="407"/>
        <v>35.64</v>
      </c>
      <c r="L220" s="451"/>
      <c r="M220" s="221">
        <f t="shared" si="408"/>
        <v>0.2985409652076319</v>
      </c>
      <c r="N220" s="176">
        <f t="shared" si="409"/>
        <v>14.130050505050503</v>
      </c>
      <c r="O220" s="176">
        <f t="shared" si="363"/>
        <v>0.2</v>
      </c>
      <c r="P220" s="221">
        <f t="shared" si="410"/>
        <v>2.8260101010101009</v>
      </c>
      <c r="Q220" s="221">
        <f t="shared" si="411"/>
        <v>5</v>
      </c>
      <c r="R220" s="221"/>
      <c r="S220" s="176">
        <f t="shared" si="412"/>
        <v>1140.6285058549788</v>
      </c>
      <c r="T220" s="176">
        <f t="shared" si="413"/>
        <v>5</v>
      </c>
      <c r="U220" s="221">
        <f t="shared" si="414"/>
        <v>5.9548872180451122E-2</v>
      </c>
      <c r="V220" s="221">
        <f t="shared" si="415"/>
        <v>1.6673684210526316E-2</v>
      </c>
      <c r="W220" s="221">
        <f t="shared" si="416"/>
        <v>3.917688959240205E-2</v>
      </c>
      <c r="X220" s="201">
        <f t="shared" si="417"/>
        <v>350</v>
      </c>
      <c r="Y220" s="451">
        <f t="shared" si="418"/>
        <v>350</v>
      </c>
      <c r="AA220" s="221">
        <f t="shared" si="419"/>
        <v>3.0463363796697127</v>
      </c>
      <c r="AB220" s="177">
        <f t="shared" si="420"/>
        <v>2.004168670835337</v>
      </c>
      <c r="AC220" s="177">
        <f t="shared" si="421"/>
        <v>2.136880176535993</v>
      </c>
      <c r="AD220" s="177"/>
      <c r="AE220" s="177">
        <f t="shared" si="422"/>
        <v>0.53947368421052622</v>
      </c>
      <c r="AF220" s="555">
        <f t="shared" si="423"/>
        <v>90.422367638310547</v>
      </c>
      <c r="AG220" s="538">
        <f t="shared" si="424"/>
        <v>0.15482894736842101</v>
      </c>
      <c r="AI220" s="177">
        <f t="shared" si="425"/>
        <v>0.41679045780138219</v>
      </c>
      <c r="AJ220" s="177">
        <f t="shared" si="426"/>
        <v>0.82</v>
      </c>
      <c r="AK220" s="177">
        <f t="shared" si="427"/>
        <v>1.0516699243647489</v>
      </c>
      <c r="AM220" s="555">
        <f t="shared" si="428"/>
        <v>40</v>
      </c>
      <c r="AN220" s="469">
        <f t="shared" si="429"/>
        <v>90.422367638310547</v>
      </c>
      <c r="AP220">
        <f t="shared" si="430"/>
        <v>40</v>
      </c>
      <c r="AQ220">
        <f t="shared" si="431"/>
        <v>90.422367638310547</v>
      </c>
      <c r="AS220" s="5">
        <f t="shared" si="364"/>
        <v>11.059210526315788</v>
      </c>
      <c r="AT220" s="5">
        <f t="shared" si="432"/>
        <v>0.22959999999999997</v>
      </c>
      <c r="AU220" s="5">
        <f t="shared" si="304"/>
        <v>10.829610526315788</v>
      </c>
      <c r="AV220" s="5"/>
      <c r="AW220" s="177">
        <f t="shared" si="305"/>
        <v>2.0760975609756097E-2</v>
      </c>
      <c r="AX220" s="177"/>
      <c r="BA220" s="469">
        <f t="shared" si="433"/>
        <v>99.208085235696529</v>
      </c>
      <c r="BB220" s="469">
        <f t="shared" si="434"/>
        <v>0.12959543603199999</v>
      </c>
      <c r="BC220" s="5">
        <f t="shared" si="359"/>
        <v>8.0219337231968793E-2</v>
      </c>
      <c r="BD220" s="469">
        <f t="shared" si="435"/>
        <v>0</v>
      </c>
      <c r="BQ220" s="538">
        <f t="shared" si="436"/>
        <v>1.528E-2</v>
      </c>
      <c r="CG220" s="571">
        <f t="shared" si="437"/>
        <v>-50</v>
      </c>
      <c r="CH220">
        <f t="shared" si="438"/>
        <v>-50</v>
      </c>
    </row>
    <row r="221" spans="5:88" x14ac:dyDescent="0.2">
      <c r="E221" s="174">
        <v>5</v>
      </c>
      <c r="F221" s="221">
        <f t="shared" si="439"/>
        <v>0.05</v>
      </c>
      <c r="G221" s="221"/>
      <c r="H221" s="221">
        <f t="shared" si="404"/>
        <v>0.25</v>
      </c>
      <c r="I221" s="551">
        <f t="shared" si="405"/>
        <v>25</v>
      </c>
      <c r="J221" s="451">
        <f t="shared" si="406"/>
        <v>10.64</v>
      </c>
      <c r="K221" s="451">
        <f t="shared" si="407"/>
        <v>35.64</v>
      </c>
      <c r="L221" s="451"/>
      <c r="M221" s="221">
        <f t="shared" si="408"/>
        <v>0.2985409652076319</v>
      </c>
      <c r="N221" s="176">
        <f t="shared" si="409"/>
        <v>14.130050505050503</v>
      </c>
      <c r="O221" s="176">
        <f t="shared" si="363"/>
        <v>0.25</v>
      </c>
      <c r="P221" s="221">
        <f t="shared" si="410"/>
        <v>2.8260101010101009</v>
      </c>
      <c r="Q221" s="221">
        <f t="shared" si="411"/>
        <v>5</v>
      </c>
      <c r="R221" s="221"/>
      <c r="S221" s="176">
        <f t="shared" si="412"/>
        <v>910.00439403802216</v>
      </c>
      <c r="T221" s="176">
        <f t="shared" si="413"/>
        <v>5</v>
      </c>
      <c r="U221" s="221">
        <f t="shared" si="414"/>
        <v>7.4436090225563897E-2</v>
      </c>
      <c r="V221" s="221">
        <f t="shared" si="415"/>
        <v>2.0842105263157894E-2</v>
      </c>
      <c r="W221" s="221">
        <f t="shared" si="416"/>
        <v>4.8971111990502567E-2</v>
      </c>
      <c r="X221" s="201">
        <f t="shared" si="417"/>
        <v>350</v>
      </c>
      <c r="Y221" s="451">
        <f t="shared" si="418"/>
        <v>350</v>
      </c>
      <c r="AA221" s="221">
        <f t="shared" si="419"/>
        <v>3.0463363796697127</v>
      </c>
      <c r="AB221" s="177">
        <f t="shared" si="420"/>
        <v>2.004168670835337</v>
      </c>
      <c r="AC221" s="177">
        <f t="shared" si="421"/>
        <v>2.136880176535993</v>
      </c>
      <c r="AD221" s="177"/>
      <c r="AE221" s="177">
        <f t="shared" si="422"/>
        <v>0.53947368421052622</v>
      </c>
      <c r="AF221" s="555">
        <f t="shared" si="423"/>
        <v>113.02795954788819</v>
      </c>
      <c r="AG221" s="538">
        <f t="shared" si="424"/>
        <v>0.15482894736842101</v>
      </c>
      <c r="AI221" s="177">
        <f t="shared" si="425"/>
        <v>0.46598589800857404</v>
      </c>
      <c r="AJ221" s="177">
        <f t="shared" si="426"/>
        <v>0.82</v>
      </c>
      <c r="AK221" s="177">
        <f t="shared" si="427"/>
        <v>1.0645874054559361</v>
      </c>
      <c r="AM221" s="555">
        <f t="shared" si="428"/>
        <v>50</v>
      </c>
      <c r="AN221" s="469">
        <f t="shared" si="429"/>
        <v>113.02795954788819</v>
      </c>
      <c r="AP221">
        <f t="shared" si="430"/>
        <v>50</v>
      </c>
      <c r="AQ221">
        <f t="shared" si="431"/>
        <v>113.02795954788819</v>
      </c>
      <c r="AS221" s="5">
        <f t="shared" si="364"/>
        <v>8.8473684210526304</v>
      </c>
      <c r="AT221" s="5">
        <f t="shared" si="432"/>
        <v>0.22959999999999997</v>
      </c>
      <c r="AU221" s="5">
        <f t="shared" si="304"/>
        <v>8.6177684210526309</v>
      </c>
      <c r="AV221" s="5"/>
      <c r="AW221" s="177">
        <f t="shared" si="305"/>
        <v>2.5951219512195121E-2</v>
      </c>
      <c r="AX221" s="177"/>
      <c r="BA221" s="469">
        <f t="shared" si="433"/>
        <v>99.208085235696529</v>
      </c>
      <c r="BB221" s="469">
        <f t="shared" si="434"/>
        <v>0.16499286880000003</v>
      </c>
      <c r="BC221" s="5">
        <f t="shared" si="359"/>
        <v>7.9794152046783612E-2</v>
      </c>
      <c r="BD221" s="469">
        <f t="shared" si="435"/>
        <v>0</v>
      </c>
      <c r="BQ221" s="538">
        <f t="shared" si="436"/>
        <v>1.9100000000000002E-2</v>
      </c>
      <c r="CG221" s="571">
        <f t="shared" si="437"/>
        <v>-50</v>
      </c>
      <c r="CH221">
        <f t="shared" si="438"/>
        <v>-50</v>
      </c>
    </row>
    <row r="222" spans="5:88" x14ac:dyDescent="0.2">
      <c r="E222" s="174">
        <v>6</v>
      </c>
      <c r="F222" s="221">
        <f t="shared" si="439"/>
        <v>0.06</v>
      </c>
      <c r="G222" s="221"/>
      <c r="H222" s="221">
        <f t="shared" si="404"/>
        <v>0.3</v>
      </c>
      <c r="I222" s="551">
        <f t="shared" si="405"/>
        <v>25</v>
      </c>
      <c r="J222" s="451">
        <f t="shared" si="406"/>
        <v>10.64</v>
      </c>
      <c r="K222" s="451">
        <f t="shared" si="407"/>
        <v>35.64</v>
      </c>
      <c r="L222" s="451"/>
      <c r="M222" s="221">
        <f t="shared" si="408"/>
        <v>0.2985409652076319</v>
      </c>
      <c r="N222" s="176">
        <f t="shared" si="409"/>
        <v>14.130050505050503</v>
      </c>
      <c r="O222" s="176">
        <f t="shared" si="363"/>
        <v>0.3</v>
      </c>
      <c r="P222" s="221">
        <f t="shared" si="410"/>
        <v>2.8260101010101009</v>
      </c>
      <c r="Q222" s="221">
        <f t="shared" si="411"/>
        <v>5</v>
      </c>
      <c r="R222" s="221"/>
      <c r="S222" s="176">
        <f t="shared" si="412"/>
        <v>756.25528698210053</v>
      </c>
      <c r="T222" s="176">
        <f t="shared" si="413"/>
        <v>5</v>
      </c>
      <c r="U222" s="221">
        <f t="shared" si="414"/>
        <v>8.932330827067668E-2</v>
      </c>
      <c r="V222" s="221">
        <f t="shared" si="415"/>
        <v>2.5010526315789469E-2</v>
      </c>
      <c r="W222" s="221">
        <f t="shared" si="416"/>
        <v>5.8765334388603069E-2</v>
      </c>
      <c r="X222" s="201">
        <f t="shared" si="417"/>
        <v>350</v>
      </c>
      <c r="Y222" s="451">
        <f t="shared" si="418"/>
        <v>350</v>
      </c>
      <c r="AA222" s="221">
        <f t="shared" si="419"/>
        <v>3.0463363796697127</v>
      </c>
      <c r="AB222" s="177">
        <f t="shared" si="420"/>
        <v>2.004168670835337</v>
      </c>
      <c r="AC222" s="177">
        <f t="shared" si="421"/>
        <v>2.136880176535993</v>
      </c>
      <c r="AD222" s="177"/>
      <c r="AE222" s="177">
        <f t="shared" si="422"/>
        <v>0.53947368421052622</v>
      </c>
      <c r="AF222" s="555">
        <f t="shared" si="423"/>
        <v>135.63355145746581</v>
      </c>
      <c r="AG222" s="538">
        <f t="shared" si="424"/>
        <v>0.15482894736842101</v>
      </c>
      <c r="AI222" s="177">
        <f t="shared" si="425"/>
        <v>0.51046197563719531</v>
      </c>
      <c r="AJ222" s="177">
        <f t="shared" si="426"/>
        <v>0.82</v>
      </c>
      <c r="AK222" s="177">
        <f t="shared" si="427"/>
        <v>1.0775048865471233</v>
      </c>
      <c r="AM222" s="555">
        <f t="shared" si="428"/>
        <v>60</v>
      </c>
      <c r="AN222" s="469">
        <f t="shared" si="429"/>
        <v>135.63355145746581</v>
      </c>
      <c r="AP222">
        <f t="shared" si="430"/>
        <v>60</v>
      </c>
      <c r="AQ222">
        <f t="shared" si="431"/>
        <v>135.63355145746581</v>
      </c>
      <c r="AS222" s="5">
        <f t="shared" si="364"/>
        <v>7.3728070175438578</v>
      </c>
      <c r="AT222" s="5">
        <f t="shared" si="432"/>
        <v>0.22959999999999997</v>
      </c>
      <c r="AU222" s="5">
        <f t="shared" si="304"/>
        <v>7.1432070175438582</v>
      </c>
      <c r="AV222" s="5"/>
      <c r="AW222" s="177">
        <f t="shared" si="305"/>
        <v>3.1141463414634151E-2</v>
      </c>
      <c r="AX222" s="177"/>
      <c r="BA222" s="469">
        <f t="shared" si="433"/>
        <v>99.208085235696529</v>
      </c>
      <c r="BB222" s="469">
        <f t="shared" si="434"/>
        <v>0.20158973107199998</v>
      </c>
      <c r="BC222" s="5">
        <f t="shared" si="359"/>
        <v>7.9368966861598403E-2</v>
      </c>
      <c r="BD222" s="469">
        <f t="shared" si="435"/>
        <v>0</v>
      </c>
      <c r="BQ222" s="538">
        <f t="shared" si="436"/>
        <v>2.2919999999999999E-2</v>
      </c>
      <c r="CG222" s="571">
        <f t="shared" si="437"/>
        <v>-50</v>
      </c>
      <c r="CH222">
        <f t="shared" si="438"/>
        <v>-50</v>
      </c>
    </row>
    <row r="223" spans="5:88" x14ac:dyDescent="0.2">
      <c r="E223" s="174">
        <v>7</v>
      </c>
      <c r="F223" s="221">
        <f t="shared" si="439"/>
        <v>7.0000000000000007E-2</v>
      </c>
      <c r="G223" s="221"/>
      <c r="H223" s="221">
        <f t="shared" si="404"/>
        <v>0.35000000000000003</v>
      </c>
      <c r="I223" s="551">
        <f t="shared" si="405"/>
        <v>25</v>
      </c>
      <c r="J223" s="451">
        <f t="shared" si="406"/>
        <v>10.64</v>
      </c>
      <c r="K223" s="451">
        <f t="shared" si="407"/>
        <v>35.64</v>
      </c>
      <c r="L223" s="451"/>
      <c r="M223" s="221">
        <f t="shared" si="408"/>
        <v>0.2985409652076319</v>
      </c>
      <c r="N223" s="176">
        <f t="shared" si="409"/>
        <v>14.130050505050503</v>
      </c>
      <c r="O223" s="176">
        <f t="shared" si="363"/>
        <v>0.35000000000000003</v>
      </c>
      <c r="P223" s="221">
        <f t="shared" si="410"/>
        <v>2.8260101010101009</v>
      </c>
      <c r="Q223" s="221">
        <f t="shared" si="411"/>
        <v>5</v>
      </c>
      <c r="R223" s="221"/>
      <c r="S223" s="176">
        <f t="shared" si="412"/>
        <v>646.43475615309319</v>
      </c>
      <c r="T223" s="176">
        <f t="shared" si="413"/>
        <v>5</v>
      </c>
      <c r="U223" s="221">
        <f t="shared" si="414"/>
        <v>0.10421052631578948</v>
      </c>
      <c r="V223" s="221">
        <f t="shared" si="415"/>
        <v>2.9178947368421051E-2</v>
      </c>
      <c r="W223" s="221">
        <f t="shared" si="416"/>
        <v>6.8559556786703599E-2</v>
      </c>
      <c r="X223" s="201">
        <f t="shared" si="417"/>
        <v>350</v>
      </c>
      <c r="Y223" s="451">
        <f t="shared" si="418"/>
        <v>350</v>
      </c>
      <c r="AA223" s="221">
        <f t="shared" si="419"/>
        <v>3.0463363796697127</v>
      </c>
      <c r="AB223" s="177">
        <f t="shared" si="420"/>
        <v>2.004168670835337</v>
      </c>
      <c r="AC223" s="177">
        <f t="shared" si="421"/>
        <v>2.136880176535993</v>
      </c>
      <c r="AD223" s="177"/>
      <c r="AE223" s="177">
        <f t="shared" si="422"/>
        <v>0.53947368421052622</v>
      </c>
      <c r="AF223" s="555">
        <f t="shared" si="423"/>
        <v>158.23914336704345</v>
      </c>
      <c r="AG223" s="538">
        <f t="shared" si="424"/>
        <v>0.15482894736842101</v>
      </c>
      <c r="AI223" s="177">
        <f t="shared" si="425"/>
        <v>0.55136195008360889</v>
      </c>
      <c r="AJ223" s="177">
        <f t="shared" si="426"/>
        <v>0.82</v>
      </c>
      <c r="AK223" s="177">
        <f t="shared" si="427"/>
        <v>1.0904223676383105</v>
      </c>
      <c r="AM223" s="555">
        <f t="shared" si="428"/>
        <v>70</v>
      </c>
      <c r="AN223" s="469">
        <f t="shared" si="429"/>
        <v>158.23914336704345</v>
      </c>
      <c r="AP223">
        <f t="shared" si="430"/>
        <v>70</v>
      </c>
      <c r="AQ223">
        <f t="shared" si="431"/>
        <v>158.23914336704345</v>
      </c>
      <c r="AS223" s="5">
        <f t="shared" si="364"/>
        <v>6.3195488721804498</v>
      </c>
      <c r="AT223" s="5">
        <f t="shared" si="432"/>
        <v>0.22959999999999997</v>
      </c>
      <c r="AU223" s="5">
        <f t="shared" si="304"/>
        <v>6.0899488721804502</v>
      </c>
      <c r="AV223" s="5"/>
      <c r="AW223" s="177">
        <f t="shared" si="305"/>
        <v>3.6331707317073171E-2</v>
      </c>
      <c r="AX223" s="177"/>
      <c r="BA223" s="469">
        <f t="shared" si="433"/>
        <v>99.208085235696529</v>
      </c>
      <c r="BB223" s="469">
        <f t="shared" si="434"/>
        <v>0.23938602284800001</v>
      </c>
      <c r="BC223" s="5">
        <f t="shared" si="359"/>
        <v>7.8943781676413222E-2</v>
      </c>
      <c r="BD223" s="469">
        <f t="shared" si="435"/>
        <v>0</v>
      </c>
      <c r="BQ223" s="538">
        <f t="shared" si="436"/>
        <v>2.6740000000000003E-2</v>
      </c>
      <c r="CG223" s="571">
        <f t="shared" si="437"/>
        <v>-50</v>
      </c>
      <c r="CH223">
        <f t="shared" si="438"/>
        <v>-50</v>
      </c>
    </row>
    <row r="224" spans="5:88" x14ac:dyDescent="0.2">
      <c r="E224" s="174">
        <v>8</v>
      </c>
      <c r="F224" s="221">
        <f t="shared" si="439"/>
        <v>0.08</v>
      </c>
      <c r="G224" s="221"/>
      <c r="H224" s="221">
        <f t="shared" si="404"/>
        <v>0.4</v>
      </c>
      <c r="I224" s="551">
        <f t="shared" si="405"/>
        <v>25</v>
      </c>
      <c r="J224" s="451">
        <f t="shared" si="406"/>
        <v>10.64</v>
      </c>
      <c r="K224" s="451">
        <f t="shared" si="407"/>
        <v>35.64</v>
      </c>
      <c r="L224" s="451"/>
      <c r="M224" s="221">
        <f t="shared" si="408"/>
        <v>0.2985409652076319</v>
      </c>
      <c r="N224" s="176">
        <f t="shared" si="409"/>
        <v>14.130050505050503</v>
      </c>
      <c r="O224" s="176">
        <f t="shared" si="363"/>
        <v>0.4</v>
      </c>
      <c r="P224" s="221">
        <f t="shared" si="410"/>
        <v>2.8260101010101009</v>
      </c>
      <c r="Q224" s="221">
        <f t="shared" si="411"/>
        <v>5</v>
      </c>
      <c r="R224" s="221"/>
      <c r="S224" s="176">
        <f t="shared" si="412"/>
        <v>564.06958730297288</v>
      </c>
      <c r="T224" s="176">
        <f t="shared" si="413"/>
        <v>5</v>
      </c>
      <c r="U224" s="221">
        <f t="shared" si="414"/>
        <v>0.11909774436090224</v>
      </c>
      <c r="V224" s="221">
        <f t="shared" si="415"/>
        <v>3.3347368421052632E-2</v>
      </c>
      <c r="W224" s="221">
        <f t="shared" si="416"/>
        <v>7.8353779184804101E-2</v>
      </c>
      <c r="X224" s="201">
        <f t="shared" si="417"/>
        <v>350</v>
      </c>
      <c r="Y224" s="451">
        <f t="shared" si="418"/>
        <v>350</v>
      </c>
      <c r="AA224" s="221">
        <f t="shared" si="419"/>
        <v>3.0463363796697127</v>
      </c>
      <c r="AB224" s="177">
        <f t="shared" si="420"/>
        <v>2.004168670835337</v>
      </c>
      <c r="AC224" s="177">
        <f t="shared" si="421"/>
        <v>2.136880176535993</v>
      </c>
      <c r="AD224" s="177"/>
      <c r="AE224" s="177">
        <f t="shared" si="422"/>
        <v>0.53947368421052622</v>
      </c>
      <c r="AF224" s="555">
        <f t="shared" si="423"/>
        <v>180.84473527662109</v>
      </c>
      <c r="AG224" s="538">
        <f t="shared" si="424"/>
        <v>0.15482894736842101</v>
      </c>
      <c r="AI224" s="177">
        <f t="shared" si="425"/>
        <v>0.58943071809040581</v>
      </c>
      <c r="AJ224" s="177">
        <f t="shared" si="426"/>
        <v>0.82</v>
      </c>
      <c r="AK224" s="177">
        <f t="shared" si="427"/>
        <v>1.1033398487294979</v>
      </c>
      <c r="AM224" s="555">
        <f t="shared" si="428"/>
        <v>80</v>
      </c>
      <c r="AN224" s="469">
        <f t="shared" si="429"/>
        <v>180.84473527662109</v>
      </c>
      <c r="AP224">
        <f t="shared" si="430"/>
        <v>80</v>
      </c>
      <c r="AQ224">
        <f t="shared" si="431"/>
        <v>180.84473527662109</v>
      </c>
      <c r="AS224" s="5">
        <f t="shared" si="364"/>
        <v>5.5296052631578938</v>
      </c>
      <c r="AT224" s="5">
        <f t="shared" si="432"/>
        <v>0.22959999999999997</v>
      </c>
      <c r="AU224" s="5">
        <f t="shared" si="304"/>
        <v>5.3000052631578942</v>
      </c>
      <c r="AV224" s="5"/>
      <c r="AW224" s="177">
        <f t="shared" si="305"/>
        <v>4.1521951219512195E-2</v>
      </c>
      <c r="AX224" s="177"/>
      <c r="BA224" s="469">
        <f t="shared" si="433"/>
        <v>99.208085235696529</v>
      </c>
      <c r="BB224" s="469">
        <f t="shared" si="434"/>
        <v>0.27838174412799999</v>
      </c>
      <c r="BC224" s="5">
        <f t="shared" si="359"/>
        <v>7.8518596491228054E-2</v>
      </c>
      <c r="BD224" s="469">
        <f t="shared" si="435"/>
        <v>0</v>
      </c>
      <c r="BQ224" s="538">
        <f t="shared" si="436"/>
        <v>3.056E-2</v>
      </c>
      <c r="CG224" s="571">
        <f t="shared" si="437"/>
        <v>-50</v>
      </c>
      <c r="CH224">
        <f t="shared" si="438"/>
        <v>-50</v>
      </c>
    </row>
    <row r="225" spans="5:86" x14ac:dyDescent="0.2">
      <c r="E225" s="174">
        <v>9</v>
      </c>
      <c r="F225" s="221">
        <f t="shared" si="439"/>
        <v>0.09</v>
      </c>
      <c r="G225" s="221"/>
      <c r="H225" s="221">
        <f t="shared" si="404"/>
        <v>0.44999999999999996</v>
      </c>
      <c r="I225" s="551">
        <f t="shared" si="405"/>
        <v>25</v>
      </c>
      <c r="J225" s="451">
        <f t="shared" si="406"/>
        <v>10.64</v>
      </c>
      <c r="K225" s="451">
        <f t="shared" si="407"/>
        <v>35.64</v>
      </c>
      <c r="L225" s="451"/>
      <c r="M225" s="221">
        <f t="shared" si="408"/>
        <v>0.2985409652076319</v>
      </c>
      <c r="N225" s="176">
        <f t="shared" si="409"/>
        <v>14.130050505050503</v>
      </c>
      <c r="O225" s="176">
        <f t="shared" si="363"/>
        <v>0.44999999999999996</v>
      </c>
      <c r="P225" s="221">
        <f t="shared" si="410"/>
        <v>2.8260101010101009</v>
      </c>
      <c r="Q225" s="221">
        <f t="shared" si="411"/>
        <v>5</v>
      </c>
      <c r="R225" s="221"/>
      <c r="S225" s="176">
        <f t="shared" si="412"/>
        <v>500.00799475552429</v>
      </c>
      <c r="T225" s="176">
        <f t="shared" si="413"/>
        <v>5</v>
      </c>
      <c r="U225" s="221">
        <f t="shared" si="414"/>
        <v>0.13398496240601501</v>
      </c>
      <c r="V225" s="221">
        <f t="shared" si="415"/>
        <v>3.7515789473684204E-2</v>
      </c>
      <c r="W225" s="221">
        <f t="shared" si="416"/>
        <v>8.8148001582904603E-2</v>
      </c>
      <c r="X225" s="201">
        <f t="shared" si="417"/>
        <v>350</v>
      </c>
      <c r="Y225" s="451">
        <f t="shared" si="418"/>
        <v>350</v>
      </c>
      <c r="AA225" s="221">
        <f t="shared" si="419"/>
        <v>3.0463363796697127</v>
      </c>
      <c r="AB225" s="177">
        <f t="shared" si="420"/>
        <v>2.004168670835337</v>
      </c>
      <c r="AC225" s="177">
        <f t="shared" si="421"/>
        <v>2.136880176535993</v>
      </c>
      <c r="AD225" s="177"/>
      <c r="AE225" s="177">
        <f t="shared" si="422"/>
        <v>0.53947368421052622</v>
      </c>
      <c r="AF225" s="555">
        <f t="shared" si="423"/>
        <v>203.45032718619873</v>
      </c>
      <c r="AG225" s="538">
        <f t="shared" si="424"/>
        <v>0.15482894736842101</v>
      </c>
      <c r="AI225" s="177">
        <f t="shared" si="425"/>
        <v>0.62518568670207331</v>
      </c>
      <c r="AJ225" s="177">
        <f t="shared" si="426"/>
        <v>0.82</v>
      </c>
      <c r="AK225" s="177">
        <f t="shared" si="427"/>
        <v>1.116257329820685</v>
      </c>
      <c r="AM225" s="555">
        <f t="shared" si="428"/>
        <v>90</v>
      </c>
      <c r="AN225" s="469">
        <f t="shared" si="429"/>
        <v>203.45032718619873</v>
      </c>
      <c r="AP225">
        <f t="shared" si="430"/>
        <v>90</v>
      </c>
      <c r="AQ225">
        <f t="shared" si="431"/>
        <v>203.45032718619873</v>
      </c>
      <c r="AS225" s="5">
        <f t="shared" si="364"/>
        <v>4.9152046783625725</v>
      </c>
      <c r="AT225" s="5">
        <f t="shared" si="432"/>
        <v>0.22959999999999997</v>
      </c>
      <c r="AU225" s="5">
        <f t="shared" si="304"/>
        <v>4.6856046783625729</v>
      </c>
      <c r="AV225" s="5"/>
      <c r="AW225" s="177">
        <f t="shared" si="305"/>
        <v>4.6712195121951218E-2</v>
      </c>
      <c r="AX225" s="177"/>
      <c r="BA225" s="469">
        <f t="shared" si="433"/>
        <v>99.208085235696529</v>
      </c>
      <c r="BB225" s="469">
        <f t="shared" si="434"/>
        <v>0.31857689491200003</v>
      </c>
      <c r="BC225" s="5">
        <f t="shared" si="359"/>
        <v>7.8093411306042859E-2</v>
      </c>
      <c r="BD225" s="469">
        <f t="shared" si="435"/>
        <v>0</v>
      </c>
      <c r="BQ225" s="538">
        <f t="shared" si="436"/>
        <v>3.4379999999999994E-2</v>
      </c>
      <c r="CG225" s="571">
        <f t="shared" si="437"/>
        <v>-50</v>
      </c>
      <c r="CH225">
        <f t="shared" si="438"/>
        <v>-50</v>
      </c>
    </row>
    <row r="226" spans="5:86" x14ac:dyDescent="0.2">
      <c r="E226" s="174">
        <v>10</v>
      </c>
      <c r="F226" s="221">
        <f t="shared" si="439"/>
        <v>0.1</v>
      </c>
      <c r="G226" s="221"/>
      <c r="H226" s="221">
        <f t="shared" si="404"/>
        <v>0.5</v>
      </c>
      <c r="I226" s="551">
        <f t="shared" si="405"/>
        <v>25</v>
      </c>
      <c r="J226" s="451">
        <f t="shared" si="406"/>
        <v>10.64</v>
      </c>
      <c r="K226" s="451">
        <f t="shared" si="407"/>
        <v>35.64</v>
      </c>
      <c r="L226" s="451"/>
      <c r="M226" s="221">
        <f t="shared" si="408"/>
        <v>0.2985409652076319</v>
      </c>
      <c r="N226" s="176">
        <f t="shared" si="409"/>
        <v>14.130050505050503</v>
      </c>
      <c r="O226" s="176">
        <f t="shared" si="363"/>
        <v>0.5</v>
      </c>
      <c r="P226" s="221">
        <f t="shared" si="410"/>
        <v>2.8260101010101009</v>
      </c>
      <c r="Q226" s="221">
        <f t="shared" si="411"/>
        <v>5</v>
      </c>
      <c r="R226" s="221"/>
      <c r="S226" s="176">
        <f t="shared" si="412"/>
        <v>448.75890712063415</v>
      </c>
      <c r="T226" s="176">
        <f t="shared" si="413"/>
        <v>5</v>
      </c>
      <c r="U226" s="221">
        <f t="shared" si="414"/>
        <v>0.14887218045112779</v>
      </c>
      <c r="V226" s="221">
        <f t="shared" si="415"/>
        <v>4.1684210526315789E-2</v>
      </c>
      <c r="W226" s="221">
        <f t="shared" si="416"/>
        <v>9.7942223981005133E-2</v>
      </c>
      <c r="X226" s="201">
        <f t="shared" si="417"/>
        <v>350</v>
      </c>
      <c r="Y226" s="451">
        <f t="shared" si="418"/>
        <v>350</v>
      </c>
      <c r="AA226" s="221">
        <f t="shared" si="419"/>
        <v>3.0463363796697127</v>
      </c>
      <c r="AB226" s="177">
        <f t="shared" si="420"/>
        <v>2.004168670835337</v>
      </c>
      <c r="AC226" s="177">
        <f t="shared" si="421"/>
        <v>2.136880176535993</v>
      </c>
      <c r="AD226" s="177"/>
      <c r="AE226" s="177">
        <f t="shared" si="422"/>
        <v>0.53947368421052622</v>
      </c>
      <c r="AF226" s="555">
        <f t="shared" si="423"/>
        <v>226.05591909577637</v>
      </c>
      <c r="AG226" s="538">
        <f t="shared" si="424"/>
        <v>0.15482894736842101</v>
      </c>
      <c r="AI226" s="177">
        <f t="shared" si="425"/>
        <v>0.65900357683833122</v>
      </c>
      <c r="AJ226" s="177">
        <f t="shared" si="426"/>
        <v>0.82</v>
      </c>
      <c r="AK226" s="177">
        <f t="shared" si="427"/>
        <v>1.1291748109118722</v>
      </c>
      <c r="AM226" s="555">
        <f t="shared" si="428"/>
        <v>100</v>
      </c>
      <c r="AN226" s="469">
        <f t="shared" si="429"/>
        <v>226.05591909577637</v>
      </c>
      <c r="AP226">
        <f t="shared" si="430"/>
        <v>100</v>
      </c>
      <c r="AQ226">
        <f t="shared" si="431"/>
        <v>226.05591909577637</v>
      </c>
      <c r="AS226" s="5">
        <f t="shared" si="364"/>
        <v>4.4236842105263152</v>
      </c>
      <c r="AT226" s="5">
        <f t="shared" si="432"/>
        <v>0.22959999999999997</v>
      </c>
      <c r="AU226" s="5">
        <f t="shared" si="304"/>
        <v>4.1940842105263156</v>
      </c>
      <c r="AV226" s="5"/>
      <c r="AW226" s="177">
        <f t="shared" si="305"/>
        <v>5.1902439024390241E-2</v>
      </c>
      <c r="AX226" s="177"/>
      <c r="BA226" s="469">
        <f t="shared" si="433"/>
        <v>99.208085235696529</v>
      </c>
      <c r="BB226" s="469">
        <f t="shared" si="434"/>
        <v>0.35997147520000006</v>
      </c>
      <c r="BC226" s="5">
        <f t="shared" si="359"/>
        <v>7.7668226120857692E-2</v>
      </c>
      <c r="BD226" s="469">
        <f t="shared" si="435"/>
        <v>0</v>
      </c>
      <c r="BQ226" s="538">
        <f t="shared" si="436"/>
        <v>3.8200000000000005E-2</v>
      </c>
      <c r="CG226" s="571">
        <f t="shared" si="437"/>
        <v>-50</v>
      </c>
      <c r="CH226">
        <f t="shared" si="438"/>
        <v>-50</v>
      </c>
    </row>
    <row r="227" spans="5:86" x14ac:dyDescent="0.2">
      <c r="E227" s="174">
        <v>11</v>
      </c>
      <c r="F227" s="221">
        <f t="shared" si="439"/>
        <v>0.11</v>
      </c>
      <c r="G227" s="221"/>
      <c r="H227" s="221">
        <f t="shared" si="404"/>
        <v>0.55000000000000004</v>
      </c>
      <c r="I227" s="551">
        <f t="shared" si="405"/>
        <v>25</v>
      </c>
      <c r="J227" s="451">
        <f t="shared" si="406"/>
        <v>10.64</v>
      </c>
      <c r="K227" s="451">
        <f t="shared" si="407"/>
        <v>35.64</v>
      </c>
      <c r="L227" s="451"/>
      <c r="M227" s="221">
        <f t="shared" si="408"/>
        <v>0.2985409652076319</v>
      </c>
      <c r="N227" s="176">
        <f t="shared" si="409"/>
        <v>14.130050505050503</v>
      </c>
      <c r="O227" s="176">
        <f t="shared" si="363"/>
        <v>0.55000000000000004</v>
      </c>
      <c r="P227" s="221">
        <f t="shared" si="410"/>
        <v>2.8260101010101009</v>
      </c>
      <c r="Q227" s="221">
        <f t="shared" si="411"/>
        <v>5</v>
      </c>
      <c r="R227" s="221"/>
      <c r="S227" s="176">
        <f t="shared" si="412"/>
        <v>406.82800625533616</v>
      </c>
      <c r="T227" s="176">
        <f t="shared" si="413"/>
        <v>5</v>
      </c>
      <c r="U227" s="221">
        <f t="shared" si="414"/>
        <v>0.1637593984962406</v>
      </c>
      <c r="V227" s="221">
        <f t="shared" si="415"/>
        <v>4.5852631578947367E-2</v>
      </c>
      <c r="W227" s="221">
        <f t="shared" si="416"/>
        <v>0.10773644637910566</v>
      </c>
      <c r="X227" s="201">
        <f t="shared" si="417"/>
        <v>350</v>
      </c>
      <c r="Y227" s="451">
        <f t="shared" si="418"/>
        <v>350</v>
      </c>
      <c r="AA227" s="221">
        <f t="shared" si="419"/>
        <v>3.0463363796697127</v>
      </c>
      <c r="AB227" s="177">
        <f t="shared" si="420"/>
        <v>2.004168670835337</v>
      </c>
      <c r="AC227" s="177">
        <f t="shared" si="421"/>
        <v>2.136880176535993</v>
      </c>
      <c r="AD227" s="177"/>
      <c r="AE227" s="177">
        <f t="shared" si="422"/>
        <v>0.53947368421052622</v>
      </c>
      <c r="AF227" s="555">
        <f t="shared" si="423"/>
        <v>248.66151100535399</v>
      </c>
      <c r="AG227" s="538">
        <f t="shared" si="424"/>
        <v>0.15482894736842101</v>
      </c>
      <c r="AI227" s="177">
        <f t="shared" si="425"/>
        <v>0.69116878236382018</v>
      </c>
      <c r="AJ227" s="177">
        <f t="shared" si="426"/>
        <v>0.82</v>
      </c>
      <c r="AK227" s="177">
        <f t="shared" si="427"/>
        <v>1.1420922920030594</v>
      </c>
      <c r="AM227" s="555">
        <f t="shared" si="428"/>
        <v>110</v>
      </c>
      <c r="AN227" s="469">
        <f t="shared" si="429"/>
        <v>248.66151100535399</v>
      </c>
      <c r="AP227">
        <f t="shared" si="430"/>
        <v>110</v>
      </c>
      <c r="AQ227">
        <f t="shared" si="431"/>
        <v>248.66151100535399</v>
      </c>
      <c r="AS227" s="5">
        <f t="shared" si="364"/>
        <v>4.0215311004784686</v>
      </c>
      <c r="AT227" s="5">
        <f t="shared" si="432"/>
        <v>0.22959999999999997</v>
      </c>
      <c r="AU227" s="5">
        <f t="shared" si="304"/>
        <v>3.7919311004784686</v>
      </c>
      <c r="AV227" s="5"/>
      <c r="AW227" s="177">
        <f t="shared" si="305"/>
        <v>5.7092682926829265E-2</v>
      </c>
      <c r="AX227" s="177"/>
      <c r="BA227" s="469">
        <f t="shared" si="433"/>
        <v>99.208085235696529</v>
      </c>
      <c r="BB227" s="469">
        <f t="shared" si="434"/>
        <v>0.40256548499200001</v>
      </c>
      <c r="BC227" s="5">
        <f t="shared" si="359"/>
        <v>7.7243040935672497E-2</v>
      </c>
      <c r="BD227" s="469">
        <f t="shared" si="435"/>
        <v>0</v>
      </c>
      <c r="BQ227" s="538">
        <f t="shared" si="436"/>
        <v>4.2020000000000002E-2</v>
      </c>
      <c r="CG227" s="571">
        <f t="shared" si="437"/>
        <v>-50</v>
      </c>
      <c r="CH227">
        <f t="shared" si="438"/>
        <v>-50</v>
      </c>
    </row>
    <row r="228" spans="5:86" x14ac:dyDescent="0.2">
      <c r="E228" s="174">
        <v>12</v>
      </c>
      <c r="F228" s="221">
        <f t="shared" si="439"/>
        <v>0.12</v>
      </c>
      <c r="G228" s="221"/>
      <c r="H228" s="221">
        <f t="shared" si="404"/>
        <v>0.6</v>
      </c>
      <c r="I228" s="551">
        <f t="shared" si="405"/>
        <v>25</v>
      </c>
      <c r="J228" s="451">
        <f t="shared" si="406"/>
        <v>10.64</v>
      </c>
      <c r="K228" s="451">
        <f t="shared" si="407"/>
        <v>35.64</v>
      </c>
      <c r="L228" s="451"/>
      <c r="M228" s="221">
        <f t="shared" si="408"/>
        <v>0.2985409652076319</v>
      </c>
      <c r="N228" s="176">
        <f t="shared" si="409"/>
        <v>14.130050505050503</v>
      </c>
      <c r="O228" s="176">
        <f t="shared" si="363"/>
        <v>0.6</v>
      </c>
      <c r="P228" s="221">
        <f t="shared" si="410"/>
        <v>2.8260101010101009</v>
      </c>
      <c r="Q228" s="221">
        <f t="shared" si="411"/>
        <v>5</v>
      </c>
      <c r="R228" s="221"/>
      <c r="S228" s="176">
        <f t="shared" si="412"/>
        <v>371.88574674433426</v>
      </c>
      <c r="T228" s="176">
        <f t="shared" si="413"/>
        <v>5</v>
      </c>
      <c r="U228" s="221">
        <f t="shared" si="414"/>
        <v>0.17864661654135336</v>
      </c>
      <c r="V228" s="221">
        <f t="shared" si="415"/>
        <v>5.0021052631578938E-2</v>
      </c>
      <c r="W228" s="221">
        <f t="shared" si="416"/>
        <v>0.11753066877720614</v>
      </c>
      <c r="X228" s="201">
        <f t="shared" si="417"/>
        <v>350</v>
      </c>
      <c r="Y228" s="451">
        <f t="shared" si="418"/>
        <v>350</v>
      </c>
      <c r="AA228" s="221">
        <f t="shared" si="419"/>
        <v>3.0463363796697127</v>
      </c>
      <c r="AB228" s="177">
        <f t="shared" si="420"/>
        <v>2.004168670835337</v>
      </c>
      <c r="AC228" s="177">
        <f t="shared" si="421"/>
        <v>2.136880176535993</v>
      </c>
      <c r="AD228" s="177"/>
      <c r="AE228" s="177">
        <f t="shared" si="422"/>
        <v>0.53947368421052622</v>
      </c>
      <c r="AF228" s="555">
        <f t="shared" si="423"/>
        <v>271.26710291493163</v>
      </c>
      <c r="AG228" s="538">
        <f t="shared" si="424"/>
        <v>0.15482894736842101</v>
      </c>
      <c r="AI228" s="177">
        <f t="shared" si="425"/>
        <v>0.72190224902188604</v>
      </c>
      <c r="AJ228" s="177">
        <f t="shared" si="426"/>
        <v>0.82</v>
      </c>
      <c r="AK228" s="177">
        <f t="shared" si="427"/>
        <v>1.1550097730942466</v>
      </c>
      <c r="AM228" s="555">
        <f t="shared" si="428"/>
        <v>120</v>
      </c>
      <c r="AN228" s="469">
        <f t="shared" si="429"/>
        <v>271.26710291493163</v>
      </c>
      <c r="AP228">
        <f t="shared" si="430"/>
        <v>120</v>
      </c>
      <c r="AQ228">
        <f t="shared" si="431"/>
        <v>271.26710291493163</v>
      </c>
      <c r="AS228" s="5">
        <f t="shared" si="364"/>
        <v>3.6864035087719289</v>
      </c>
      <c r="AT228" s="5">
        <f t="shared" si="432"/>
        <v>0.22959999999999997</v>
      </c>
      <c r="AU228" s="5">
        <f t="shared" si="304"/>
        <v>3.4568035087719289</v>
      </c>
      <c r="AV228" s="5"/>
      <c r="AW228" s="177">
        <f t="shared" si="305"/>
        <v>6.2282926829268302E-2</v>
      </c>
      <c r="AX228" s="177"/>
      <c r="BA228" s="469">
        <f t="shared" si="433"/>
        <v>99.208085235696529</v>
      </c>
      <c r="BB228" s="469">
        <f t="shared" si="434"/>
        <v>0.44635892428799995</v>
      </c>
      <c r="BC228" s="5">
        <f t="shared" si="359"/>
        <v>7.6817855750487302E-2</v>
      </c>
      <c r="BD228" s="469">
        <f t="shared" si="435"/>
        <v>0</v>
      </c>
      <c r="BQ228" s="538">
        <f t="shared" si="436"/>
        <v>4.5839999999999999E-2</v>
      </c>
      <c r="CG228" s="571">
        <f t="shared" si="437"/>
        <v>-50</v>
      </c>
      <c r="CH228">
        <f t="shared" si="438"/>
        <v>-50</v>
      </c>
    </row>
    <row r="229" spans="5:86" x14ac:dyDescent="0.2">
      <c r="E229" s="174">
        <v>13</v>
      </c>
      <c r="F229" s="221">
        <f t="shared" si="439"/>
        <v>0.13</v>
      </c>
      <c r="G229" s="221"/>
      <c r="H229" s="221">
        <f t="shared" si="404"/>
        <v>0.65</v>
      </c>
      <c r="I229" s="551">
        <f t="shared" si="405"/>
        <v>25</v>
      </c>
      <c r="J229" s="451">
        <f t="shared" si="406"/>
        <v>10.64</v>
      </c>
      <c r="K229" s="451">
        <f t="shared" si="407"/>
        <v>35.64</v>
      </c>
      <c r="L229" s="451"/>
      <c r="M229" s="221">
        <f t="shared" si="408"/>
        <v>0.2985409652076319</v>
      </c>
      <c r="N229" s="176">
        <f t="shared" si="409"/>
        <v>14.130050505050503</v>
      </c>
      <c r="O229" s="176">
        <f t="shared" si="363"/>
        <v>0.65</v>
      </c>
      <c r="P229" s="221">
        <f t="shared" si="410"/>
        <v>2.8260101010101009</v>
      </c>
      <c r="Q229" s="221">
        <f t="shared" si="411"/>
        <v>5</v>
      </c>
      <c r="R229" s="221"/>
      <c r="S229" s="176">
        <f t="shared" si="412"/>
        <v>342.31936638951817</v>
      </c>
      <c r="T229" s="176">
        <f t="shared" si="413"/>
        <v>5</v>
      </c>
      <c r="U229" s="221">
        <f t="shared" si="414"/>
        <v>0.19353383458646614</v>
      </c>
      <c r="V229" s="221">
        <f t="shared" si="415"/>
        <v>5.4189473684210523E-2</v>
      </c>
      <c r="W229" s="221">
        <f t="shared" si="416"/>
        <v>0.12732489117530665</v>
      </c>
      <c r="X229" s="201">
        <f t="shared" si="417"/>
        <v>350</v>
      </c>
      <c r="Y229" s="451">
        <f t="shared" si="418"/>
        <v>350</v>
      </c>
      <c r="AA229" s="221">
        <f t="shared" si="419"/>
        <v>3.0463363796697127</v>
      </c>
      <c r="AB229" s="177">
        <f t="shared" si="420"/>
        <v>2.004168670835337</v>
      </c>
      <c r="AC229" s="177">
        <f t="shared" si="421"/>
        <v>2.136880176535993</v>
      </c>
      <c r="AD229" s="177"/>
      <c r="AE229" s="177">
        <f t="shared" si="422"/>
        <v>0.53947368421052622</v>
      </c>
      <c r="AF229" s="555">
        <f t="shared" si="423"/>
        <v>293.87269482450927</v>
      </c>
      <c r="AG229" s="538">
        <f t="shared" si="424"/>
        <v>0.15482894736842101</v>
      </c>
      <c r="AI229" s="177">
        <f t="shared" si="425"/>
        <v>0.75137968336349681</v>
      </c>
      <c r="AJ229" s="177">
        <f t="shared" si="426"/>
        <v>0.82</v>
      </c>
      <c r="AK229" s="177">
        <f t="shared" si="427"/>
        <v>1.167927254185434</v>
      </c>
      <c r="AM229" s="555">
        <f t="shared" si="428"/>
        <v>130</v>
      </c>
      <c r="AN229" s="469">
        <f t="shared" si="429"/>
        <v>293.87269482450927</v>
      </c>
      <c r="AP229">
        <f t="shared" si="430"/>
        <v>130</v>
      </c>
      <c r="AQ229">
        <f t="shared" si="431"/>
        <v>293.87269482450927</v>
      </c>
      <c r="AS229" s="5">
        <f t="shared" si="364"/>
        <v>3.4028340080971651</v>
      </c>
      <c r="AT229" s="5">
        <f t="shared" si="432"/>
        <v>0.22959999999999997</v>
      </c>
      <c r="AU229" s="5">
        <f t="shared" si="304"/>
        <v>3.173234008097165</v>
      </c>
      <c r="AV229" s="5"/>
      <c r="AW229" s="177">
        <f t="shared" si="305"/>
        <v>6.7473170731707333E-2</v>
      </c>
      <c r="AX229" s="177"/>
      <c r="BA229" s="469">
        <f t="shared" si="433"/>
        <v>99.208085235696529</v>
      </c>
      <c r="BB229" s="469">
        <f t="shared" si="434"/>
        <v>0.49135179308799998</v>
      </c>
      <c r="BC229" s="5">
        <f t="shared" si="359"/>
        <v>7.6392670565302107E-2</v>
      </c>
      <c r="BD229" s="469">
        <f t="shared" si="435"/>
        <v>0</v>
      </c>
      <c r="BQ229" s="538">
        <f t="shared" si="436"/>
        <v>4.9660000000000003E-2</v>
      </c>
      <c r="CG229" s="571">
        <f t="shared" si="437"/>
        <v>-50</v>
      </c>
      <c r="CH229">
        <f t="shared" si="438"/>
        <v>-50</v>
      </c>
    </row>
    <row r="230" spans="5:86" x14ac:dyDescent="0.2">
      <c r="E230" s="174">
        <v>14</v>
      </c>
      <c r="F230" s="221">
        <f t="shared" si="439"/>
        <v>0.14000000000000001</v>
      </c>
      <c r="G230" s="221"/>
      <c r="H230" s="221">
        <f t="shared" si="404"/>
        <v>0.70000000000000007</v>
      </c>
      <c r="I230" s="551">
        <f t="shared" si="405"/>
        <v>25</v>
      </c>
      <c r="J230" s="451">
        <f t="shared" si="406"/>
        <v>10.64</v>
      </c>
      <c r="K230" s="451">
        <f t="shared" si="407"/>
        <v>35.64</v>
      </c>
      <c r="L230" s="451"/>
      <c r="M230" s="221">
        <f t="shared" si="408"/>
        <v>0.2985409652076319</v>
      </c>
      <c r="N230" s="176">
        <f t="shared" si="409"/>
        <v>14.130050505050503</v>
      </c>
      <c r="O230" s="176">
        <f t="shared" si="363"/>
        <v>0.70000000000000007</v>
      </c>
      <c r="P230" s="221">
        <f t="shared" si="410"/>
        <v>2.8260101010101009</v>
      </c>
      <c r="Q230" s="221">
        <f t="shared" si="411"/>
        <v>5</v>
      </c>
      <c r="R230" s="221"/>
      <c r="S230" s="176">
        <f t="shared" si="412"/>
        <v>316.97689220397496</v>
      </c>
      <c r="T230" s="176">
        <f t="shared" si="413"/>
        <v>5</v>
      </c>
      <c r="U230" s="221">
        <f t="shared" si="414"/>
        <v>0.20842105263157895</v>
      </c>
      <c r="V230" s="221">
        <f t="shared" si="415"/>
        <v>5.8357894736842102E-2</v>
      </c>
      <c r="W230" s="221">
        <f t="shared" si="416"/>
        <v>0.1371191135734072</v>
      </c>
      <c r="X230" s="201">
        <f t="shared" si="417"/>
        <v>350</v>
      </c>
      <c r="Y230" s="451">
        <f t="shared" si="418"/>
        <v>350</v>
      </c>
      <c r="AA230" s="221">
        <f t="shared" si="419"/>
        <v>3.0463363796697127</v>
      </c>
      <c r="AB230" s="177">
        <f t="shared" si="420"/>
        <v>2.004168670835337</v>
      </c>
      <c r="AC230" s="177">
        <f t="shared" si="421"/>
        <v>2.136880176535993</v>
      </c>
      <c r="AD230" s="177"/>
      <c r="AE230" s="177">
        <f t="shared" si="422"/>
        <v>0.53947368421052622</v>
      </c>
      <c r="AF230" s="555">
        <f t="shared" si="423"/>
        <v>316.47828673408691</v>
      </c>
      <c r="AG230" s="538">
        <f t="shared" si="424"/>
        <v>0.15482894736842101</v>
      </c>
      <c r="AI230" s="177">
        <f t="shared" si="425"/>
        <v>0.7797435475847172</v>
      </c>
      <c r="AJ230" s="177">
        <f t="shared" si="426"/>
        <v>0.82</v>
      </c>
      <c r="AK230" s="177">
        <f t="shared" si="427"/>
        <v>1.1808447352766211</v>
      </c>
      <c r="AM230" s="555">
        <f t="shared" si="428"/>
        <v>140</v>
      </c>
      <c r="AN230" s="469">
        <f t="shared" si="429"/>
        <v>316.47828673408691</v>
      </c>
      <c r="AP230">
        <f t="shared" si="430"/>
        <v>140</v>
      </c>
      <c r="AQ230">
        <f t="shared" si="431"/>
        <v>316.47828673408691</v>
      </c>
      <c r="AS230" s="5">
        <f t="shared" si="364"/>
        <v>3.1597744360902249</v>
      </c>
      <c r="AT230" s="5">
        <f t="shared" si="432"/>
        <v>0.22959999999999997</v>
      </c>
      <c r="AU230" s="5">
        <f t="shared" si="304"/>
        <v>2.9301744360902249</v>
      </c>
      <c r="AV230" s="5"/>
      <c r="AW230" s="177">
        <f t="shared" si="305"/>
        <v>7.2663414634146342E-2</v>
      </c>
      <c r="AX230" s="177"/>
      <c r="BA230" s="469">
        <f t="shared" si="433"/>
        <v>99.208085235696529</v>
      </c>
      <c r="BB230" s="469">
        <f t="shared" si="434"/>
        <v>0.53754409139199999</v>
      </c>
      <c r="BC230" s="5">
        <f t="shared" si="359"/>
        <v>7.5967485380116925E-2</v>
      </c>
      <c r="BD230" s="469">
        <f t="shared" si="435"/>
        <v>0</v>
      </c>
      <c r="BQ230" s="538">
        <f t="shared" si="436"/>
        <v>5.3480000000000007E-2</v>
      </c>
      <c r="CG230" s="571">
        <f t="shared" si="437"/>
        <v>-50</v>
      </c>
      <c r="CH230">
        <f t="shared" si="438"/>
        <v>-50</v>
      </c>
    </row>
    <row r="231" spans="5:86" x14ac:dyDescent="0.2">
      <c r="E231" s="174">
        <v>15</v>
      </c>
      <c r="F231" s="221">
        <f t="shared" si="439"/>
        <v>0.15</v>
      </c>
      <c r="G231" s="221"/>
      <c r="H231" s="221">
        <f t="shared" si="404"/>
        <v>0.75</v>
      </c>
      <c r="I231" s="551">
        <f t="shared" si="405"/>
        <v>25</v>
      </c>
      <c r="J231" s="451">
        <f t="shared" si="406"/>
        <v>10.64</v>
      </c>
      <c r="K231" s="451">
        <f t="shared" si="407"/>
        <v>35.64</v>
      </c>
      <c r="L231" s="451"/>
      <c r="M231" s="221">
        <f t="shared" si="408"/>
        <v>0.2985409652076319</v>
      </c>
      <c r="N231" s="176">
        <f t="shared" si="409"/>
        <v>14.130050505050503</v>
      </c>
      <c r="O231" s="176">
        <f t="shared" si="363"/>
        <v>0.75</v>
      </c>
      <c r="P231" s="221">
        <f t="shared" si="410"/>
        <v>2.8260101010101009</v>
      </c>
      <c r="Q231" s="221">
        <f t="shared" si="411"/>
        <v>5</v>
      </c>
      <c r="R231" s="221"/>
      <c r="S231" s="176">
        <f t="shared" si="412"/>
        <v>295.0135440083971</v>
      </c>
      <c r="T231" s="176">
        <f t="shared" si="413"/>
        <v>5</v>
      </c>
      <c r="U231" s="221">
        <f t="shared" si="414"/>
        <v>0.22330827067669171</v>
      </c>
      <c r="V231" s="221">
        <f t="shared" si="415"/>
        <v>6.252631578947368E-2</v>
      </c>
      <c r="W231" s="221">
        <f t="shared" si="416"/>
        <v>0.14691333597150769</v>
      </c>
      <c r="X231" s="201">
        <f t="shared" si="417"/>
        <v>350</v>
      </c>
      <c r="Y231" s="451">
        <f t="shared" si="418"/>
        <v>350</v>
      </c>
      <c r="AA231" s="221">
        <f t="shared" si="419"/>
        <v>3.0463363796697127</v>
      </c>
      <c r="AB231" s="177">
        <f t="shared" si="420"/>
        <v>2.004168670835337</v>
      </c>
      <c r="AC231" s="177">
        <f t="shared" si="421"/>
        <v>2.136880176535993</v>
      </c>
      <c r="AD231" s="177"/>
      <c r="AE231" s="177">
        <f t="shared" si="422"/>
        <v>0.53947368421052622</v>
      </c>
      <c r="AF231" s="555">
        <f t="shared" si="423"/>
        <v>339.08387864366455</v>
      </c>
      <c r="AG231" s="538">
        <f t="shared" si="424"/>
        <v>0.15482894736842101</v>
      </c>
      <c r="AI231" s="177">
        <f t="shared" si="425"/>
        <v>0.80711125096145908</v>
      </c>
      <c r="AJ231" s="177">
        <f t="shared" si="426"/>
        <v>0.82</v>
      </c>
      <c r="AK231" s="177">
        <f t="shared" si="427"/>
        <v>1.1937622163678083</v>
      </c>
      <c r="AM231" s="555">
        <f t="shared" si="428"/>
        <v>150</v>
      </c>
      <c r="AN231" s="469">
        <f t="shared" si="429"/>
        <v>339.08387864366455</v>
      </c>
      <c r="AP231">
        <f t="shared" si="430"/>
        <v>150</v>
      </c>
      <c r="AQ231">
        <f t="shared" si="431"/>
        <v>339.08387864366455</v>
      </c>
      <c r="AS231" s="5">
        <f t="shared" si="364"/>
        <v>2.9491228070175435</v>
      </c>
      <c r="AT231" s="5">
        <f t="shared" si="432"/>
        <v>0.22959999999999997</v>
      </c>
      <c r="AU231" s="5">
        <f t="shared" si="304"/>
        <v>2.7195228070175435</v>
      </c>
      <c r="AV231" s="5"/>
      <c r="AW231" s="177">
        <f t="shared" si="305"/>
        <v>7.7853658536585366E-2</v>
      </c>
      <c r="AX231" s="177"/>
      <c r="BA231" s="469">
        <f t="shared" si="433"/>
        <v>99.208085235696529</v>
      </c>
      <c r="BB231" s="469">
        <f t="shared" si="434"/>
        <v>0.58493581919999993</v>
      </c>
      <c r="BC231" s="5">
        <f t="shared" si="359"/>
        <v>7.5542300194931758E-2</v>
      </c>
      <c r="BD231" s="469">
        <f t="shared" si="435"/>
        <v>0</v>
      </c>
      <c r="BQ231" s="538">
        <f t="shared" si="436"/>
        <v>5.7299999999999997E-2</v>
      </c>
      <c r="CG231" s="571">
        <f t="shared" si="437"/>
        <v>-50</v>
      </c>
      <c r="CH231">
        <f t="shared" si="438"/>
        <v>-50</v>
      </c>
    </row>
    <row r="232" spans="5:86" x14ac:dyDescent="0.2">
      <c r="E232" s="174">
        <v>16</v>
      </c>
      <c r="F232" s="221">
        <f t="shared" si="439"/>
        <v>0.16</v>
      </c>
      <c r="G232" s="221"/>
      <c r="H232" s="221">
        <f t="shared" si="404"/>
        <v>0.8</v>
      </c>
      <c r="I232" s="551">
        <f t="shared" si="405"/>
        <v>25</v>
      </c>
      <c r="J232" s="451">
        <f t="shared" si="406"/>
        <v>10.64</v>
      </c>
      <c r="K232" s="451">
        <f t="shared" si="407"/>
        <v>35.64</v>
      </c>
      <c r="L232" s="451"/>
      <c r="M232" s="221">
        <f t="shared" si="408"/>
        <v>0.2985409652076319</v>
      </c>
      <c r="N232" s="176">
        <f t="shared" si="409"/>
        <v>14.130050505050503</v>
      </c>
      <c r="O232" s="176">
        <f t="shared" si="363"/>
        <v>0.8</v>
      </c>
      <c r="P232" s="221">
        <f t="shared" si="410"/>
        <v>2.8260101010101009</v>
      </c>
      <c r="Q232" s="221">
        <f t="shared" si="411"/>
        <v>5</v>
      </c>
      <c r="R232" s="221"/>
      <c r="S232" s="176">
        <f t="shared" si="412"/>
        <v>275.79573667884017</v>
      </c>
      <c r="T232" s="176">
        <f t="shared" si="413"/>
        <v>5</v>
      </c>
      <c r="U232" s="221">
        <f t="shared" si="414"/>
        <v>0.23819548872180449</v>
      </c>
      <c r="V232" s="221">
        <f t="shared" si="415"/>
        <v>6.6694736842105265E-2</v>
      </c>
      <c r="W232" s="221">
        <f t="shared" si="416"/>
        <v>0.1567075583696082</v>
      </c>
      <c r="X232" s="201">
        <f t="shared" si="417"/>
        <v>350</v>
      </c>
      <c r="Y232" s="451">
        <f t="shared" si="418"/>
        <v>350</v>
      </c>
      <c r="AA232" s="221">
        <f t="shared" si="419"/>
        <v>3.0463363796697127</v>
      </c>
      <c r="AB232" s="177">
        <f t="shared" si="420"/>
        <v>2.004168670835337</v>
      </c>
      <c r="AC232" s="177">
        <f t="shared" si="421"/>
        <v>2.136880176535993</v>
      </c>
      <c r="AD232" s="177"/>
      <c r="AE232" s="177">
        <f t="shared" si="422"/>
        <v>0.53947368421052622</v>
      </c>
      <c r="AF232" s="555">
        <f t="shared" si="423"/>
        <v>361.68947055324219</v>
      </c>
      <c r="AG232" s="538">
        <f t="shared" si="424"/>
        <v>0.15482894736842101</v>
      </c>
      <c r="AI232" s="177">
        <f t="shared" si="425"/>
        <v>0.83358091560276437</v>
      </c>
      <c r="AJ232" s="177">
        <f t="shared" si="426"/>
        <v>0.83358091560276437</v>
      </c>
      <c r="AK232" s="177">
        <f t="shared" si="427"/>
        <v>1.2090539437351762</v>
      </c>
      <c r="AM232" s="555">
        <f t="shared" si="428"/>
        <v>160</v>
      </c>
      <c r="AN232" s="469">
        <f t="shared" si="429"/>
        <v>350</v>
      </c>
      <c r="AP232">
        <f t="shared" si="430"/>
        <v>160</v>
      </c>
      <c r="AQ232">
        <f t="shared" si="431"/>
        <v>350</v>
      </c>
      <c r="AS232" s="5">
        <f t="shared" si="364"/>
        <v>2.8571428571428572</v>
      </c>
      <c r="AT232" s="5">
        <f t="shared" si="432"/>
        <v>0.23340265636877405</v>
      </c>
      <c r="AU232" s="5">
        <f t="shared" si="304"/>
        <v>2.6237402007740833</v>
      </c>
      <c r="AV232" s="5"/>
      <c r="AW232" s="177">
        <f t="shared" si="305"/>
        <v>8.169092972907091E-2</v>
      </c>
      <c r="AX232" s="177"/>
      <c r="BA232" s="469">
        <f t="shared" si="433"/>
        <v>99.208085235696529</v>
      </c>
      <c r="BB232" s="469">
        <f t="shared" si="434"/>
        <v>0.63352697651199996</v>
      </c>
      <c r="BC232" s="5">
        <f t="shared" si="359"/>
        <v>7.7740450393306168E-2</v>
      </c>
      <c r="BD232" s="469">
        <f t="shared" si="435"/>
        <v>0</v>
      </c>
      <c r="BQ232" s="538">
        <f t="shared" si="436"/>
        <v>6.1120000000000001E-2</v>
      </c>
      <c r="CG232" s="571">
        <f t="shared" si="437"/>
        <v>-50</v>
      </c>
      <c r="CH232">
        <f t="shared" si="438"/>
        <v>-50</v>
      </c>
    </row>
    <row r="233" spans="5:86" x14ac:dyDescent="0.2">
      <c r="E233" s="174">
        <v>17</v>
      </c>
      <c r="F233" s="221">
        <f t="shared" si="439"/>
        <v>0.17</v>
      </c>
      <c r="G233" s="221"/>
      <c r="H233" s="221">
        <f t="shared" si="404"/>
        <v>0.85000000000000009</v>
      </c>
      <c r="I233" s="551">
        <f t="shared" si="405"/>
        <v>25</v>
      </c>
      <c r="J233" s="451">
        <f t="shared" si="406"/>
        <v>10.64</v>
      </c>
      <c r="K233" s="451">
        <f t="shared" si="407"/>
        <v>35.64</v>
      </c>
      <c r="L233" s="451"/>
      <c r="M233" s="221">
        <f t="shared" si="408"/>
        <v>0.2985409652076319</v>
      </c>
      <c r="N233" s="176">
        <f t="shared" si="409"/>
        <v>14.130050505050503</v>
      </c>
      <c r="O233" s="176">
        <f t="shared" si="363"/>
        <v>0.85000000000000009</v>
      </c>
      <c r="P233" s="221">
        <f t="shared" si="410"/>
        <v>2.8260101010101009</v>
      </c>
      <c r="Q233" s="221">
        <f t="shared" si="411"/>
        <v>5</v>
      </c>
      <c r="R233" s="221"/>
      <c r="S233" s="176">
        <f t="shared" si="412"/>
        <v>258.83896395409721</v>
      </c>
      <c r="T233" s="176">
        <f t="shared" si="413"/>
        <v>5</v>
      </c>
      <c r="U233" s="221">
        <f t="shared" si="414"/>
        <v>0.2530827067669173</v>
      </c>
      <c r="V233" s="221">
        <f t="shared" si="415"/>
        <v>7.0863157894736836E-2</v>
      </c>
      <c r="W233" s="221">
        <f t="shared" si="416"/>
        <v>0.16650178076770875</v>
      </c>
      <c r="X233" s="201">
        <f t="shared" si="417"/>
        <v>350</v>
      </c>
      <c r="Y233" s="451">
        <f t="shared" si="418"/>
        <v>350</v>
      </c>
      <c r="AA233" s="221">
        <f t="shared" si="419"/>
        <v>3.0463363796697127</v>
      </c>
      <c r="AB233" s="177">
        <f t="shared" si="420"/>
        <v>2.004168670835337</v>
      </c>
      <c r="AC233" s="177">
        <f t="shared" si="421"/>
        <v>2.136880176535993</v>
      </c>
      <c r="AD233" s="177"/>
      <c r="AE233" s="177">
        <f t="shared" si="422"/>
        <v>0.53947368421052622</v>
      </c>
      <c r="AF233" s="555">
        <f t="shared" si="423"/>
        <v>384.29506246281983</v>
      </c>
      <c r="AG233" s="538">
        <f t="shared" si="424"/>
        <v>0.15482894736842101</v>
      </c>
      <c r="AI233" s="177">
        <f t="shared" si="425"/>
        <v>0.85923554063231955</v>
      </c>
      <c r="AJ233" s="177">
        <f t="shared" si="426"/>
        <v>0.85923554063231955</v>
      </c>
      <c r="AK233" s="177">
        <f t="shared" si="427"/>
        <v>1.2261570270882129</v>
      </c>
      <c r="AM233" s="555">
        <f t="shared" si="428"/>
        <v>170</v>
      </c>
      <c r="AN233" s="469">
        <f t="shared" si="429"/>
        <v>350</v>
      </c>
      <c r="AP233">
        <f t="shared" si="430"/>
        <v>170</v>
      </c>
      <c r="AQ233">
        <f t="shared" si="431"/>
        <v>350</v>
      </c>
      <c r="AS233" s="5">
        <f t="shared" si="364"/>
        <v>2.8571428571428572</v>
      </c>
      <c r="AT233" s="5">
        <f t="shared" si="432"/>
        <v>0.2405859513770495</v>
      </c>
      <c r="AU233" s="5">
        <f t="shared" si="304"/>
        <v>2.6165569057658078</v>
      </c>
      <c r="AV233" s="5"/>
      <c r="AW233" s="177">
        <f t="shared" si="305"/>
        <v>8.4205082981967327E-2</v>
      </c>
      <c r="AX233" s="177"/>
      <c r="BA233" s="469">
        <f t="shared" si="433"/>
        <v>99.208085235696529</v>
      </c>
      <c r="BB233" s="469">
        <f t="shared" si="434"/>
        <v>0.68331756332799998</v>
      </c>
      <c r="BC233" s="5">
        <f t="shared" si="359"/>
        <v>8.2373087774108747E-2</v>
      </c>
      <c r="BD233" s="469">
        <f t="shared" si="435"/>
        <v>0</v>
      </c>
      <c r="BQ233" s="538">
        <f t="shared" si="436"/>
        <v>6.4939999999999998E-2</v>
      </c>
      <c r="CG233" s="571">
        <f t="shared" si="437"/>
        <v>-50</v>
      </c>
      <c r="CH233">
        <f t="shared" si="438"/>
        <v>-50</v>
      </c>
    </row>
    <row r="234" spans="5:86" x14ac:dyDescent="0.2">
      <c r="E234" s="174">
        <v>18</v>
      </c>
      <c r="F234" s="221">
        <f t="shared" si="439"/>
        <v>0.18</v>
      </c>
      <c r="G234" s="221"/>
      <c r="H234" s="221">
        <f t="shared" si="404"/>
        <v>0.89999999999999991</v>
      </c>
      <c r="I234" s="551">
        <f t="shared" si="405"/>
        <v>25</v>
      </c>
      <c r="J234" s="451">
        <f t="shared" si="406"/>
        <v>10.64</v>
      </c>
      <c r="K234" s="451">
        <f t="shared" si="407"/>
        <v>35.64</v>
      </c>
      <c r="L234" s="451"/>
      <c r="M234" s="221">
        <f t="shared" si="408"/>
        <v>0.2985409652076319</v>
      </c>
      <c r="N234" s="176">
        <f t="shared" si="409"/>
        <v>14.130050505050503</v>
      </c>
      <c r="O234" s="176">
        <f t="shared" si="363"/>
        <v>0.89999999999999991</v>
      </c>
      <c r="P234" s="221">
        <f t="shared" si="410"/>
        <v>2.8260101010101009</v>
      </c>
      <c r="Q234" s="221">
        <f t="shared" si="411"/>
        <v>5</v>
      </c>
      <c r="R234" s="221"/>
      <c r="S234" s="176">
        <f t="shared" si="412"/>
        <v>243.76638764061636</v>
      </c>
      <c r="T234" s="176">
        <f t="shared" si="413"/>
        <v>5</v>
      </c>
      <c r="U234" s="221">
        <f t="shared" si="414"/>
        <v>0.26796992481203002</v>
      </c>
      <c r="V234" s="221">
        <f t="shared" si="415"/>
        <v>7.5031578947368407E-2</v>
      </c>
      <c r="W234" s="221">
        <f t="shared" si="416"/>
        <v>0.17629600316580921</v>
      </c>
      <c r="X234" s="201">
        <f t="shared" si="417"/>
        <v>350</v>
      </c>
      <c r="Y234" s="451">
        <f t="shared" si="418"/>
        <v>350</v>
      </c>
      <c r="AA234" s="221">
        <f t="shared" si="419"/>
        <v>3.0463363796697127</v>
      </c>
      <c r="AB234" s="177">
        <f t="shared" si="420"/>
        <v>2.004168670835337</v>
      </c>
      <c r="AC234" s="177">
        <f t="shared" si="421"/>
        <v>2.136880176535993</v>
      </c>
      <c r="AD234" s="177"/>
      <c r="AE234" s="177">
        <f t="shared" si="422"/>
        <v>0.53947368421052622</v>
      </c>
      <c r="AF234" s="555">
        <f t="shared" si="423"/>
        <v>406.90065437239747</v>
      </c>
      <c r="AG234" s="538">
        <f t="shared" si="424"/>
        <v>0.15482894736842101</v>
      </c>
      <c r="AI234" s="177">
        <f t="shared" si="425"/>
        <v>0.88414607713560878</v>
      </c>
      <c r="AJ234" s="177">
        <f t="shared" si="426"/>
        <v>0.88414607713560878</v>
      </c>
      <c r="AK234" s="177">
        <f t="shared" si="427"/>
        <v>1.2427640514237392</v>
      </c>
      <c r="AM234" s="555">
        <f t="shared" si="428"/>
        <v>180</v>
      </c>
      <c r="AN234" s="469">
        <f t="shared" si="429"/>
        <v>350</v>
      </c>
      <c r="AP234">
        <f t="shared" si="430"/>
        <v>180</v>
      </c>
      <c r="AQ234">
        <f t="shared" si="431"/>
        <v>350</v>
      </c>
      <c r="AS234" s="5">
        <f t="shared" si="364"/>
        <v>2.8571428571428572</v>
      </c>
      <c r="AT234" s="5">
        <f t="shared" si="432"/>
        <v>0.24756090159797045</v>
      </c>
      <c r="AU234" s="5">
        <f t="shared" ref="AU234:AU297" si="440">AS234-AT234</f>
        <v>2.6095819555448867</v>
      </c>
      <c r="AV234" s="5"/>
      <c r="AW234" s="177">
        <f t="shared" ref="AW234:AW297" si="441">AT234/AS234</f>
        <v>8.6646315559289658E-2</v>
      </c>
      <c r="AX234" s="177"/>
      <c r="BA234" s="469">
        <f t="shared" si="433"/>
        <v>99.208085235696529</v>
      </c>
      <c r="BB234" s="469">
        <f t="shared" si="434"/>
        <v>0.73430757964799998</v>
      </c>
      <c r="BC234" s="5">
        <f t="shared" si="359"/>
        <v>8.6986065184829528E-2</v>
      </c>
      <c r="BD234" s="469">
        <f t="shared" si="435"/>
        <v>0</v>
      </c>
      <c r="BQ234" s="538">
        <f t="shared" si="436"/>
        <v>6.8759999999999988E-2</v>
      </c>
      <c r="CG234" s="571">
        <f t="shared" si="437"/>
        <v>-50</v>
      </c>
      <c r="CH234">
        <f t="shared" si="438"/>
        <v>-50</v>
      </c>
    </row>
    <row r="235" spans="5:86" x14ac:dyDescent="0.2">
      <c r="E235" s="174">
        <v>19</v>
      </c>
      <c r="F235" s="221">
        <f t="shared" si="439"/>
        <v>0.19</v>
      </c>
      <c r="G235" s="221"/>
      <c r="H235" s="221">
        <f t="shared" si="404"/>
        <v>0.95</v>
      </c>
      <c r="I235" s="551">
        <f t="shared" si="405"/>
        <v>25</v>
      </c>
      <c r="J235" s="451">
        <f t="shared" si="406"/>
        <v>10.64</v>
      </c>
      <c r="K235" s="451">
        <f t="shared" si="407"/>
        <v>35.64</v>
      </c>
      <c r="L235" s="451"/>
      <c r="M235" s="221">
        <f t="shared" si="408"/>
        <v>0.2985409652076319</v>
      </c>
      <c r="N235" s="176">
        <f t="shared" si="409"/>
        <v>14.130050505050503</v>
      </c>
      <c r="O235" s="176">
        <f t="shared" si="363"/>
        <v>0.95</v>
      </c>
      <c r="P235" s="221">
        <f t="shared" si="410"/>
        <v>2.8260101010101009</v>
      </c>
      <c r="Q235" s="221">
        <f t="shared" si="411"/>
        <v>5</v>
      </c>
      <c r="R235" s="221"/>
      <c r="S235" s="176">
        <f t="shared" si="412"/>
        <v>230.28050391060484</v>
      </c>
      <c r="T235" s="176">
        <f t="shared" si="413"/>
        <v>5</v>
      </c>
      <c r="U235" s="221">
        <f t="shared" si="414"/>
        <v>0.28285714285714281</v>
      </c>
      <c r="V235" s="221">
        <f t="shared" si="415"/>
        <v>7.9199999999999979E-2</v>
      </c>
      <c r="W235" s="221">
        <f t="shared" si="416"/>
        <v>0.18609022556390975</v>
      </c>
      <c r="X235" s="201">
        <f t="shared" si="417"/>
        <v>350</v>
      </c>
      <c r="Y235" s="451">
        <f t="shared" si="418"/>
        <v>350</v>
      </c>
      <c r="AA235" s="221">
        <f t="shared" si="419"/>
        <v>3.0463363796697127</v>
      </c>
      <c r="AB235" s="177">
        <f t="shared" si="420"/>
        <v>2.004168670835337</v>
      </c>
      <c r="AC235" s="177">
        <f t="shared" si="421"/>
        <v>2.136880176535993</v>
      </c>
      <c r="AD235" s="177"/>
      <c r="AE235" s="177">
        <f t="shared" si="422"/>
        <v>0.53947368421052622</v>
      </c>
      <c r="AF235" s="555">
        <f t="shared" si="423"/>
        <v>429.50624628197505</v>
      </c>
      <c r="AG235" s="538">
        <f t="shared" si="424"/>
        <v>0.15482894736842101</v>
      </c>
      <c r="AI235" s="177">
        <f t="shared" si="425"/>
        <v>0.90837374309413921</v>
      </c>
      <c r="AJ235" s="177">
        <f t="shared" si="426"/>
        <v>0.90837374309413921</v>
      </c>
      <c r="AK235" s="177">
        <f t="shared" si="427"/>
        <v>1.2589158287294262</v>
      </c>
      <c r="AM235" s="555">
        <f t="shared" si="428"/>
        <v>190</v>
      </c>
      <c r="AN235" s="469">
        <f t="shared" si="429"/>
        <v>350</v>
      </c>
      <c r="AP235">
        <f t="shared" si="430"/>
        <v>190</v>
      </c>
      <c r="AQ235">
        <f t="shared" si="431"/>
        <v>350</v>
      </c>
      <c r="AS235" s="5">
        <f t="shared" si="364"/>
        <v>2.8571428571428572</v>
      </c>
      <c r="AT235" s="5">
        <f t="shared" si="432"/>
        <v>0.25434464806635898</v>
      </c>
      <c r="AU235" s="5">
        <f t="shared" si="440"/>
        <v>2.6027982090764983</v>
      </c>
      <c r="AV235" s="5"/>
      <c r="AW235" s="177">
        <f t="shared" si="441"/>
        <v>8.9020626823225646E-2</v>
      </c>
      <c r="AX235" s="177"/>
      <c r="BA235" s="469">
        <f t="shared" si="433"/>
        <v>99.208085235696529</v>
      </c>
      <c r="BB235" s="469">
        <f t="shared" si="434"/>
        <v>0.78649702547200007</v>
      </c>
      <c r="BC235" s="5">
        <f t="shared" si="359"/>
        <v>9.1579936986024929E-2</v>
      </c>
      <c r="BD235" s="469">
        <f t="shared" si="435"/>
        <v>0</v>
      </c>
      <c r="BQ235" s="538">
        <f t="shared" si="436"/>
        <v>7.2580000000000006E-2</v>
      </c>
      <c r="CG235" s="571">
        <f t="shared" si="437"/>
        <v>-50</v>
      </c>
      <c r="CH235">
        <f t="shared" si="438"/>
        <v>-50</v>
      </c>
    </row>
    <row r="236" spans="5:86" x14ac:dyDescent="0.2">
      <c r="E236" s="174">
        <v>20</v>
      </c>
      <c r="F236" s="221">
        <f t="shared" si="439"/>
        <v>0.2</v>
      </c>
      <c r="G236" s="221"/>
      <c r="H236" s="221">
        <f t="shared" si="404"/>
        <v>1</v>
      </c>
      <c r="I236" s="551">
        <f t="shared" si="405"/>
        <v>25</v>
      </c>
      <c r="J236" s="451">
        <f t="shared" si="406"/>
        <v>10.64</v>
      </c>
      <c r="K236" s="451">
        <f t="shared" si="407"/>
        <v>35.64</v>
      </c>
      <c r="L236" s="451"/>
      <c r="M236" s="221">
        <f t="shared" si="408"/>
        <v>0.2985409652076319</v>
      </c>
      <c r="N236" s="176">
        <f t="shared" si="409"/>
        <v>14.130050505050503</v>
      </c>
      <c r="O236" s="176">
        <f t="shared" si="363"/>
        <v>1</v>
      </c>
      <c r="P236" s="221">
        <f t="shared" si="410"/>
        <v>2.8260101010101009</v>
      </c>
      <c r="Q236" s="221">
        <f t="shared" si="411"/>
        <v>5</v>
      </c>
      <c r="R236" s="221"/>
      <c r="S236" s="176">
        <f t="shared" si="412"/>
        <v>218.14330971070288</v>
      </c>
      <c r="T236" s="176">
        <f t="shared" si="413"/>
        <v>5</v>
      </c>
      <c r="U236" s="221">
        <f t="shared" si="414"/>
        <v>0.29774436090225559</v>
      </c>
      <c r="V236" s="221">
        <f t="shared" si="415"/>
        <v>8.3368421052631578E-2</v>
      </c>
      <c r="W236" s="221">
        <f t="shared" si="416"/>
        <v>0.19588444796201027</v>
      </c>
      <c r="X236" s="201">
        <f t="shared" si="417"/>
        <v>350</v>
      </c>
      <c r="Y236" s="451">
        <f t="shared" si="418"/>
        <v>350</v>
      </c>
      <c r="AA236" s="221">
        <f t="shared" si="419"/>
        <v>3.0463363796697127</v>
      </c>
      <c r="AB236" s="177">
        <f t="shared" si="420"/>
        <v>2.004168670835337</v>
      </c>
      <c r="AC236" s="177">
        <f t="shared" si="421"/>
        <v>2.136880176535993</v>
      </c>
      <c r="AD236" s="177"/>
      <c r="AE236" s="177">
        <f t="shared" si="422"/>
        <v>0.53947368421052622</v>
      </c>
      <c r="AF236" s="555">
        <f t="shared" si="423"/>
        <v>452.11183819155275</v>
      </c>
      <c r="AG236" s="538">
        <f t="shared" si="424"/>
        <v>0.15482894736842101</v>
      </c>
      <c r="AI236" s="177">
        <f t="shared" si="425"/>
        <v>0.93197179601714808</v>
      </c>
      <c r="AJ236" s="177">
        <f t="shared" si="426"/>
        <v>0.93197179601714808</v>
      </c>
      <c r="AK236" s="177">
        <f t="shared" si="427"/>
        <v>1.274647864011432</v>
      </c>
      <c r="AM236" s="555">
        <f t="shared" si="428"/>
        <v>200</v>
      </c>
      <c r="AN236" s="469">
        <f t="shared" si="429"/>
        <v>350</v>
      </c>
      <c r="AP236">
        <f t="shared" si="430"/>
        <v>200</v>
      </c>
      <c r="AQ236">
        <f t="shared" si="431"/>
        <v>350</v>
      </c>
      <c r="AS236" s="5">
        <f t="shared" si="364"/>
        <v>2.8571428571428572</v>
      </c>
      <c r="AT236" s="5">
        <f t="shared" si="432"/>
        <v>0.26095210288480142</v>
      </c>
      <c r="AU236" s="5">
        <f t="shared" si="440"/>
        <v>2.596190754258056</v>
      </c>
      <c r="AV236" s="5"/>
      <c r="AW236" s="177">
        <f t="shared" si="441"/>
        <v>9.1333236009680491E-2</v>
      </c>
      <c r="AX236" s="177"/>
      <c r="BA236" s="469">
        <f t="shared" si="433"/>
        <v>99.208085235696529</v>
      </c>
      <c r="BB236" s="469">
        <f t="shared" si="434"/>
        <v>0.83988590080000014</v>
      </c>
      <c r="BC236" s="5">
        <f t="shared" si="359"/>
        <v>9.6155213120668728E-2</v>
      </c>
      <c r="BD236" s="469">
        <f t="shared" si="435"/>
        <v>0</v>
      </c>
      <c r="BQ236" s="538">
        <f t="shared" si="436"/>
        <v>7.640000000000001E-2</v>
      </c>
      <c r="CG236" s="571">
        <f t="shared" si="437"/>
        <v>-50</v>
      </c>
      <c r="CH236">
        <f t="shared" si="438"/>
        <v>-50</v>
      </c>
    </row>
    <row r="237" spans="5:86" x14ac:dyDescent="0.2">
      <c r="E237" s="174">
        <v>21</v>
      </c>
      <c r="F237" s="221">
        <f t="shared" si="439"/>
        <v>0.21</v>
      </c>
      <c r="G237" s="221"/>
      <c r="H237" s="221">
        <f t="shared" si="404"/>
        <v>1.05</v>
      </c>
      <c r="I237" s="551">
        <f t="shared" si="405"/>
        <v>25</v>
      </c>
      <c r="J237" s="451">
        <f t="shared" si="406"/>
        <v>10.64</v>
      </c>
      <c r="K237" s="451">
        <f t="shared" si="407"/>
        <v>35.64</v>
      </c>
      <c r="L237" s="451"/>
      <c r="M237" s="221">
        <f t="shared" si="408"/>
        <v>0.2985409652076319</v>
      </c>
      <c r="N237" s="176">
        <f t="shared" si="409"/>
        <v>14.130050505050503</v>
      </c>
      <c r="O237" s="176">
        <f t="shared" si="363"/>
        <v>1.05</v>
      </c>
      <c r="P237" s="221">
        <f t="shared" si="410"/>
        <v>2.8260101010101009</v>
      </c>
      <c r="Q237" s="221">
        <f t="shared" si="411"/>
        <v>5</v>
      </c>
      <c r="R237" s="221"/>
      <c r="S237" s="176">
        <f t="shared" si="412"/>
        <v>207.16213591103852</v>
      </c>
      <c r="T237" s="176">
        <f t="shared" si="413"/>
        <v>5</v>
      </c>
      <c r="U237" s="221">
        <f t="shared" si="414"/>
        <v>0.31263157894736837</v>
      </c>
      <c r="V237" s="221">
        <f t="shared" si="415"/>
        <v>8.7536842105263135E-2</v>
      </c>
      <c r="W237" s="221">
        <f t="shared" si="416"/>
        <v>0.20567867036011075</v>
      </c>
      <c r="X237" s="201">
        <f t="shared" si="417"/>
        <v>350</v>
      </c>
      <c r="Y237" s="451">
        <f t="shared" si="418"/>
        <v>350</v>
      </c>
      <c r="AA237" s="221">
        <f t="shared" si="419"/>
        <v>3.0463363796697127</v>
      </c>
      <c r="AB237" s="177">
        <f t="shared" si="420"/>
        <v>2.004168670835337</v>
      </c>
      <c r="AC237" s="177">
        <f t="shared" si="421"/>
        <v>2.136880176535993</v>
      </c>
      <c r="AD237" s="177"/>
      <c r="AE237" s="177">
        <f t="shared" si="422"/>
        <v>0.53947368421052622</v>
      </c>
      <c r="AF237" s="555">
        <f t="shared" si="423"/>
        <v>474.71743010113033</v>
      </c>
      <c r="AG237" s="538">
        <f t="shared" si="424"/>
        <v>0.15482894736842101</v>
      </c>
      <c r="AI237" s="177">
        <f t="shared" si="425"/>
        <v>0.95498691090506582</v>
      </c>
      <c r="AJ237" s="177">
        <f t="shared" si="426"/>
        <v>0.95498691090506582</v>
      </c>
      <c r="AK237" s="177">
        <f t="shared" si="427"/>
        <v>1.2899912739367105</v>
      </c>
      <c r="AM237" s="555">
        <f t="shared" si="428"/>
        <v>210</v>
      </c>
      <c r="AN237" s="469">
        <f t="shared" si="429"/>
        <v>350</v>
      </c>
      <c r="AP237">
        <f t="shared" si="430"/>
        <v>210</v>
      </c>
      <c r="AQ237">
        <f t="shared" si="431"/>
        <v>350</v>
      </c>
      <c r="AS237" s="5">
        <f t="shared" si="364"/>
        <v>2.8571428571428572</v>
      </c>
      <c r="AT237" s="5">
        <f t="shared" si="432"/>
        <v>0.26739633505341842</v>
      </c>
      <c r="AU237" s="5">
        <f t="shared" si="440"/>
        <v>2.5897465220894387</v>
      </c>
      <c r="AV237" s="5"/>
      <c r="AW237" s="177">
        <f t="shared" si="441"/>
        <v>9.3588717268696442E-2</v>
      </c>
      <c r="AX237" s="177"/>
      <c r="BA237" s="469">
        <f t="shared" si="433"/>
        <v>99.208085235696529</v>
      </c>
      <c r="BB237" s="469">
        <f t="shared" si="434"/>
        <v>0.89447420563199986</v>
      </c>
      <c r="BC237" s="5">
        <f t="shared" si="359"/>
        <v>0.1007123647479226</v>
      </c>
      <c r="BD237" s="469">
        <f t="shared" si="435"/>
        <v>0</v>
      </c>
      <c r="BQ237" s="538">
        <f t="shared" si="436"/>
        <v>8.022E-2</v>
      </c>
      <c r="CG237" s="571">
        <f t="shared" si="437"/>
        <v>-50</v>
      </c>
      <c r="CH237">
        <f t="shared" si="438"/>
        <v>-50</v>
      </c>
    </row>
    <row r="238" spans="5:86" x14ac:dyDescent="0.2">
      <c r="E238" s="174">
        <v>22</v>
      </c>
      <c r="F238" s="221">
        <f t="shared" si="439"/>
        <v>0.22</v>
      </c>
      <c r="G238" s="221"/>
      <c r="H238" s="221">
        <f t="shared" si="404"/>
        <v>1.1000000000000001</v>
      </c>
      <c r="I238" s="551">
        <f t="shared" si="405"/>
        <v>25</v>
      </c>
      <c r="J238" s="451">
        <f t="shared" si="406"/>
        <v>10.64</v>
      </c>
      <c r="K238" s="451">
        <f t="shared" si="407"/>
        <v>35.64</v>
      </c>
      <c r="L238" s="451"/>
      <c r="M238" s="221">
        <f t="shared" si="408"/>
        <v>0.2985409652076319</v>
      </c>
      <c r="N238" s="176">
        <f t="shared" si="409"/>
        <v>14.130050505050503</v>
      </c>
      <c r="O238" s="176">
        <f t="shared" si="363"/>
        <v>1.1000000000000001</v>
      </c>
      <c r="P238" s="221">
        <f t="shared" si="410"/>
        <v>2.8260101010101009</v>
      </c>
      <c r="Q238" s="221">
        <f t="shared" si="411"/>
        <v>5</v>
      </c>
      <c r="R238" s="221"/>
      <c r="S238" s="176">
        <f t="shared" si="412"/>
        <v>197.17934414090487</v>
      </c>
      <c r="T238" s="176">
        <f t="shared" si="413"/>
        <v>5</v>
      </c>
      <c r="U238" s="221">
        <f t="shared" si="414"/>
        <v>0.32751879699248121</v>
      </c>
      <c r="V238" s="221">
        <f t="shared" si="415"/>
        <v>9.1705263157894734E-2</v>
      </c>
      <c r="W238" s="221">
        <f t="shared" si="416"/>
        <v>0.21547289275821133</v>
      </c>
      <c r="X238" s="201">
        <f t="shared" si="417"/>
        <v>350</v>
      </c>
      <c r="Y238" s="451">
        <f t="shared" si="418"/>
        <v>350</v>
      </c>
      <c r="AA238" s="221">
        <f t="shared" si="419"/>
        <v>3.0463363796697127</v>
      </c>
      <c r="AB238" s="177">
        <f t="shared" si="420"/>
        <v>2.004168670835337</v>
      </c>
      <c r="AC238" s="177">
        <f t="shared" si="421"/>
        <v>2.136880176535993</v>
      </c>
      <c r="AD238" s="177"/>
      <c r="AE238" s="177">
        <f t="shared" si="422"/>
        <v>0.53947368421052622</v>
      </c>
      <c r="AF238" s="555">
        <f t="shared" si="423"/>
        <v>497.32302201070797</v>
      </c>
      <c r="AG238" s="538">
        <f t="shared" si="424"/>
        <v>0.15482894736842101</v>
      </c>
      <c r="AI238" s="177">
        <f t="shared" si="425"/>
        <v>0.97746026590781254</v>
      </c>
      <c r="AJ238" s="177">
        <f t="shared" si="426"/>
        <v>0.97746026590781254</v>
      </c>
      <c r="AK238" s="177">
        <f t="shared" si="427"/>
        <v>1.3049735106052083</v>
      </c>
      <c r="AM238" s="555">
        <f t="shared" si="428"/>
        <v>220</v>
      </c>
      <c r="AN238" s="469">
        <f t="shared" si="429"/>
        <v>350</v>
      </c>
      <c r="AP238">
        <f t="shared" si="430"/>
        <v>220</v>
      </c>
      <c r="AQ238">
        <f t="shared" si="431"/>
        <v>350</v>
      </c>
      <c r="AS238" s="5">
        <f t="shared" si="364"/>
        <v>2.8571428571428572</v>
      </c>
      <c r="AT238" s="5">
        <f t="shared" si="432"/>
        <v>0.27368887445418749</v>
      </c>
      <c r="AU238" s="5">
        <f t="shared" si="440"/>
        <v>2.5834539826886695</v>
      </c>
      <c r="AV238" s="5"/>
      <c r="AW238" s="177">
        <f t="shared" si="441"/>
        <v>9.5791106058965625E-2</v>
      </c>
      <c r="AX238" s="177"/>
      <c r="BA238" s="469">
        <f t="shared" si="433"/>
        <v>99.208085235696529</v>
      </c>
      <c r="BB238" s="469">
        <f t="shared" si="434"/>
        <v>0.95026193996800001</v>
      </c>
      <c r="BC238" s="5">
        <f t="shared" si="359"/>
        <v>0.1052518289243532</v>
      </c>
      <c r="BD238" s="469">
        <f t="shared" si="435"/>
        <v>0</v>
      </c>
      <c r="BQ238" s="538">
        <f t="shared" si="436"/>
        <v>8.4040000000000004E-2</v>
      </c>
      <c r="CG238" s="571">
        <f t="shared" si="437"/>
        <v>-50</v>
      </c>
      <c r="CH238">
        <f t="shared" si="438"/>
        <v>-50</v>
      </c>
    </row>
    <row r="239" spans="5:86" x14ac:dyDescent="0.2">
      <c r="E239" s="174">
        <v>23</v>
      </c>
      <c r="F239" s="221">
        <f t="shared" si="439"/>
        <v>0.23</v>
      </c>
      <c r="G239" s="221"/>
      <c r="H239" s="221">
        <f t="shared" si="404"/>
        <v>1.1500000000000001</v>
      </c>
      <c r="I239" s="551">
        <f t="shared" si="405"/>
        <v>25</v>
      </c>
      <c r="J239" s="451">
        <f t="shared" si="406"/>
        <v>10.64</v>
      </c>
      <c r="K239" s="451">
        <f t="shared" si="407"/>
        <v>35.64</v>
      </c>
      <c r="L239" s="451"/>
      <c r="M239" s="221">
        <f t="shared" si="408"/>
        <v>0.2985409652076319</v>
      </c>
      <c r="N239" s="176">
        <f t="shared" si="409"/>
        <v>14.130050505050503</v>
      </c>
      <c r="O239" s="176">
        <f t="shared" si="363"/>
        <v>1.1500000000000001</v>
      </c>
      <c r="P239" s="221">
        <f t="shared" si="410"/>
        <v>2.8260101010101009</v>
      </c>
      <c r="Q239" s="221">
        <f t="shared" si="411"/>
        <v>5</v>
      </c>
      <c r="R239" s="221"/>
      <c r="S239" s="176">
        <f t="shared" si="412"/>
        <v>188.06471140643714</v>
      </c>
      <c r="T239" s="176">
        <f t="shared" si="413"/>
        <v>5</v>
      </c>
      <c r="U239" s="221">
        <f t="shared" si="414"/>
        <v>0.34240601503759399</v>
      </c>
      <c r="V239" s="221">
        <f t="shared" si="415"/>
        <v>9.5873684210526319E-2</v>
      </c>
      <c r="W239" s="221">
        <f t="shared" si="416"/>
        <v>0.22526711515631179</v>
      </c>
      <c r="X239" s="201">
        <f t="shared" si="417"/>
        <v>350</v>
      </c>
      <c r="Y239" s="451">
        <f t="shared" si="418"/>
        <v>350</v>
      </c>
      <c r="AA239" s="221">
        <f t="shared" si="419"/>
        <v>3.0463363796697127</v>
      </c>
      <c r="AB239" s="177">
        <f t="shared" si="420"/>
        <v>2.004168670835337</v>
      </c>
      <c r="AC239" s="177">
        <f t="shared" si="421"/>
        <v>2.136880176535993</v>
      </c>
      <c r="AD239" s="177"/>
      <c r="AE239" s="177">
        <f t="shared" si="422"/>
        <v>0.53947368421052622</v>
      </c>
      <c r="AF239" s="555">
        <f t="shared" si="423"/>
        <v>519.92861392028567</v>
      </c>
      <c r="AG239" s="538">
        <f t="shared" si="424"/>
        <v>0.15482894736842101</v>
      </c>
      <c r="AI239" s="177">
        <f t="shared" si="425"/>
        <v>0.99942840806990418</v>
      </c>
      <c r="AJ239" s="177">
        <f t="shared" si="426"/>
        <v>0.99942840806990418</v>
      </c>
      <c r="AK239" s="177">
        <f t="shared" si="427"/>
        <v>1.3196189387132695</v>
      </c>
      <c r="AM239" s="555">
        <f t="shared" si="428"/>
        <v>230</v>
      </c>
      <c r="AN239" s="469">
        <f t="shared" si="429"/>
        <v>350</v>
      </c>
      <c r="AP239">
        <f t="shared" si="430"/>
        <v>230</v>
      </c>
      <c r="AQ239">
        <f t="shared" si="431"/>
        <v>350</v>
      </c>
      <c r="AS239" s="5">
        <f t="shared" si="364"/>
        <v>2.8571428571428572</v>
      </c>
      <c r="AT239" s="5">
        <f t="shared" si="432"/>
        <v>0.2798399542595732</v>
      </c>
      <c r="AU239" s="5">
        <f t="shared" si="440"/>
        <v>2.5773029028832841</v>
      </c>
      <c r="AV239" s="5"/>
      <c r="AW239" s="177">
        <f t="shared" si="441"/>
        <v>9.7943983990850622E-2</v>
      </c>
      <c r="AX239" s="177"/>
      <c r="BA239" s="469">
        <f t="shared" si="433"/>
        <v>99.208085235696529</v>
      </c>
      <c r="BB239" s="469">
        <f t="shared" si="434"/>
        <v>1.007249103808</v>
      </c>
      <c r="BC239" s="5">
        <f t="shared" si="359"/>
        <v>0.10977401253021393</v>
      </c>
      <c r="BD239" s="469">
        <f t="shared" si="435"/>
        <v>0</v>
      </c>
      <c r="BQ239" s="538">
        <f t="shared" si="436"/>
        <v>8.7860000000000008E-2</v>
      </c>
      <c r="CG239" s="571">
        <f t="shared" si="437"/>
        <v>-50</v>
      </c>
      <c r="CH239">
        <f t="shared" si="438"/>
        <v>-50</v>
      </c>
    </row>
    <row r="240" spans="5:86" x14ac:dyDescent="0.2">
      <c r="E240" s="174">
        <v>24</v>
      </c>
      <c r="F240" s="221">
        <f t="shared" si="439"/>
        <v>0.24</v>
      </c>
      <c r="G240" s="221"/>
      <c r="H240" s="221">
        <f t="shared" si="404"/>
        <v>1.2</v>
      </c>
      <c r="I240" s="551">
        <f t="shared" si="405"/>
        <v>25</v>
      </c>
      <c r="J240" s="451">
        <f t="shared" si="406"/>
        <v>10.64</v>
      </c>
      <c r="K240" s="451">
        <f t="shared" si="407"/>
        <v>35.64</v>
      </c>
      <c r="L240" s="451"/>
      <c r="M240" s="221">
        <f t="shared" si="408"/>
        <v>0.2985409652076319</v>
      </c>
      <c r="N240" s="176">
        <f t="shared" si="409"/>
        <v>14.130050505050503</v>
      </c>
      <c r="O240" s="176">
        <f t="shared" si="363"/>
        <v>1.2</v>
      </c>
      <c r="P240" s="221">
        <f t="shared" si="410"/>
        <v>2.8260101010101009</v>
      </c>
      <c r="Q240" s="221">
        <f t="shared" si="411"/>
        <v>5</v>
      </c>
      <c r="R240" s="221"/>
      <c r="S240" s="176">
        <f t="shared" si="412"/>
        <v>179.7097185538706</v>
      </c>
      <c r="T240" s="176">
        <f t="shared" si="413"/>
        <v>5</v>
      </c>
      <c r="U240" s="221">
        <f t="shared" si="414"/>
        <v>0.35729323308270672</v>
      </c>
      <c r="V240" s="221">
        <f t="shared" si="415"/>
        <v>0.10004210526315788</v>
      </c>
      <c r="W240" s="221">
        <f t="shared" si="416"/>
        <v>0.23506133755441228</v>
      </c>
      <c r="X240" s="201">
        <f t="shared" si="417"/>
        <v>350</v>
      </c>
      <c r="Y240" s="451">
        <f t="shared" si="418"/>
        <v>350</v>
      </c>
      <c r="AA240" s="221">
        <f t="shared" si="419"/>
        <v>3.0463363796697127</v>
      </c>
      <c r="AB240" s="177">
        <f t="shared" si="420"/>
        <v>2.004168670835337</v>
      </c>
      <c r="AC240" s="177">
        <f t="shared" si="421"/>
        <v>2.136880176535993</v>
      </c>
      <c r="AD240" s="177"/>
      <c r="AE240" s="177">
        <f t="shared" si="422"/>
        <v>0.53947368421052622</v>
      </c>
      <c r="AF240" s="555">
        <f t="shared" si="423"/>
        <v>542.53420582986325</v>
      </c>
      <c r="AG240" s="538">
        <f t="shared" si="424"/>
        <v>0.15482894736842101</v>
      </c>
      <c r="AI240" s="177">
        <f t="shared" si="425"/>
        <v>1.0209239512743906</v>
      </c>
      <c r="AJ240" s="177">
        <f t="shared" si="426"/>
        <v>1.0209239512743906</v>
      </c>
      <c r="AK240" s="177">
        <f t="shared" si="427"/>
        <v>1.3339493008495937</v>
      </c>
      <c r="AM240" s="555">
        <f t="shared" si="428"/>
        <v>240</v>
      </c>
      <c r="AN240" s="469">
        <f t="shared" si="429"/>
        <v>350</v>
      </c>
      <c r="AP240">
        <f t="shared" si="430"/>
        <v>240</v>
      </c>
      <c r="AQ240">
        <f t="shared" si="431"/>
        <v>350</v>
      </c>
      <c r="AS240" s="5">
        <f t="shared" si="364"/>
        <v>2.8571428571428572</v>
      </c>
      <c r="AT240" s="5">
        <f t="shared" si="432"/>
        <v>0.28585870635682936</v>
      </c>
      <c r="AU240" s="5">
        <f t="shared" si="440"/>
        <v>2.571284150786028</v>
      </c>
      <c r="AV240" s="5"/>
      <c r="AW240" s="177">
        <f t="shared" si="441"/>
        <v>0.10005054722489028</v>
      </c>
      <c r="AX240" s="177"/>
      <c r="BA240" s="469">
        <f t="shared" si="433"/>
        <v>99.208085235696529</v>
      </c>
      <c r="BB240" s="469">
        <f t="shared" si="434"/>
        <v>1.065435697152</v>
      </c>
      <c r="BC240" s="5">
        <f t="shared" si="359"/>
        <v>0.1142792955904901</v>
      </c>
      <c r="BD240" s="469">
        <f t="shared" si="435"/>
        <v>0</v>
      </c>
      <c r="BQ240" s="538">
        <f t="shared" si="436"/>
        <v>9.1679999999999998E-2</v>
      </c>
      <c r="CG240" s="571">
        <f t="shared" si="437"/>
        <v>-50</v>
      </c>
      <c r="CH240">
        <f t="shared" si="438"/>
        <v>-50</v>
      </c>
    </row>
    <row r="241" spans="5:86" x14ac:dyDescent="0.2">
      <c r="E241" s="174">
        <v>25</v>
      </c>
      <c r="F241" s="221">
        <f t="shared" si="439"/>
        <v>0.25</v>
      </c>
      <c r="G241" s="221"/>
      <c r="H241" s="221">
        <f t="shared" si="404"/>
        <v>1.25</v>
      </c>
      <c r="I241" s="551">
        <f t="shared" si="405"/>
        <v>25</v>
      </c>
      <c r="J241" s="451">
        <f t="shared" si="406"/>
        <v>10.64</v>
      </c>
      <c r="K241" s="451">
        <f t="shared" si="407"/>
        <v>35.64</v>
      </c>
      <c r="L241" s="451"/>
      <c r="M241" s="221">
        <f t="shared" si="408"/>
        <v>0.2985409652076319</v>
      </c>
      <c r="N241" s="176">
        <f t="shared" si="409"/>
        <v>14.130050505050503</v>
      </c>
      <c r="O241" s="176">
        <f t="shared" si="363"/>
        <v>1.25</v>
      </c>
      <c r="P241" s="221">
        <f t="shared" si="410"/>
        <v>2.8260101010101009</v>
      </c>
      <c r="Q241" s="221">
        <f t="shared" si="411"/>
        <v>5</v>
      </c>
      <c r="R241" s="221"/>
      <c r="S241" s="176">
        <f t="shared" si="412"/>
        <v>172.02320950161925</v>
      </c>
      <c r="T241" s="176">
        <f t="shared" si="413"/>
        <v>5</v>
      </c>
      <c r="U241" s="221">
        <f t="shared" si="414"/>
        <v>0.3721804511278195</v>
      </c>
      <c r="V241" s="221">
        <f t="shared" si="415"/>
        <v>0.10421052631578945</v>
      </c>
      <c r="W241" s="221">
        <f t="shared" si="416"/>
        <v>0.24485555995251282</v>
      </c>
      <c r="X241" s="201">
        <f t="shared" si="417"/>
        <v>350</v>
      </c>
      <c r="Y241" s="451">
        <f t="shared" si="418"/>
        <v>350</v>
      </c>
      <c r="AA241" s="221">
        <f t="shared" si="419"/>
        <v>3.0463363796697127</v>
      </c>
      <c r="AB241" s="177">
        <f t="shared" si="420"/>
        <v>2.004168670835337</v>
      </c>
      <c r="AC241" s="177">
        <f t="shared" si="421"/>
        <v>2.136880176535993</v>
      </c>
      <c r="AD241" s="177"/>
      <c r="AE241" s="177">
        <f t="shared" si="422"/>
        <v>0.53947368421052622</v>
      </c>
      <c r="AF241" s="555">
        <f t="shared" si="423"/>
        <v>565.13979773944095</v>
      </c>
      <c r="AG241" s="538">
        <f t="shared" si="424"/>
        <v>0.15482894736842101</v>
      </c>
      <c r="AI241" s="177">
        <f t="shared" si="425"/>
        <v>1.0419761445034554</v>
      </c>
      <c r="AJ241" s="177">
        <f t="shared" si="426"/>
        <v>1.0419761445034554</v>
      </c>
      <c r="AK241" s="177">
        <f t="shared" si="427"/>
        <v>1.3479840963356369</v>
      </c>
      <c r="AM241" s="555">
        <f t="shared" si="428"/>
        <v>250</v>
      </c>
      <c r="AN241" s="469">
        <f t="shared" si="429"/>
        <v>350</v>
      </c>
      <c r="AP241">
        <f t="shared" si="430"/>
        <v>250</v>
      </c>
      <c r="AQ241">
        <f t="shared" si="431"/>
        <v>350</v>
      </c>
      <c r="AS241" s="5">
        <f t="shared" si="364"/>
        <v>2.8571428571428572</v>
      </c>
      <c r="AT241" s="5">
        <f t="shared" si="432"/>
        <v>0.29175332046096752</v>
      </c>
      <c r="AU241" s="5">
        <f t="shared" si="440"/>
        <v>2.5653895366818897</v>
      </c>
      <c r="AV241" s="5"/>
      <c r="AW241" s="177">
        <f t="shared" si="441"/>
        <v>0.10211366216133863</v>
      </c>
      <c r="AX241" s="177"/>
      <c r="BA241" s="469">
        <f t="shared" si="433"/>
        <v>99.208085235696529</v>
      </c>
      <c r="BB241" s="469">
        <f t="shared" si="434"/>
        <v>1.1248217199999999</v>
      </c>
      <c r="BC241" s="5">
        <f t="shared" si="359"/>
        <v>0.11876803410564302</v>
      </c>
      <c r="BD241" s="469">
        <f t="shared" si="435"/>
        <v>0</v>
      </c>
      <c r="BQ241" s="538">
        <f t="shared" si="436"/>
        <v>9.5500000000000002E-2</v>
      </c>
      <c r="CG241" s="571">
        <f t="shared" si="437"/>
        <v>-50</v>
      </c>
      <c r="CH241">
        <f t="shared" si="438"/>
        <v>-50</v>
      </c>
    </row>
    <row r="242" spans="5:86" x14ac:dyDescent="0.2">
      <c r="E242" s="174">
        <v>26</v>
      </c>
      <c r="F242" s="221">
        <f t="shared" si="439"/>
        <v>0.26</v>
      </c>
      <c r="G242" s="221"/>
      <c r="H242" s="221">
        <f t="shared" si="404"/>
        <v>1.3</v>
      </c>
      <c r="I242" s="551">
        <f t="shared" si="405"/>
        <v>25</v>
      </c>
      <c r="J242" s="451">
        <f t="shared" si="406"/>
        <v>10.64</v>
      </c>
      <c r="K242" s="451">
        <f t="shared" si="407"/>
        <v>35.64</v>
      </c>
      <c r="L242" s="451"/>
      <c r="M242" s="221">
        <f t="shared" si="408"/>
        <v>0.2985409652076319</v>
      </c>
      <c r="N242" s="176">
        <f t="shared" si="409"/>
        <v>14.130050505050503</v>
      </c>
      <c r="O242" s="176">
        <f t="shared" si="363"/>
        <v>1.3</v>
      </c>
      <c r="P242" s="221">
        <f t="shared" si="410"/>
        <v>2.8260101010101009</v>
      </c>
      <c r="Q242" s="221">
        <f t="shared" si="411"/>
        <v>5</v>
      </c>
      <c r="R242" s="221"/>
      <c r="S242" s="176">
        <f t="shared" si="412"/>
        <v>164.92805218802951</v>
      </c>
      <c r="T242" s="176">
        <f t="shared" si="413"/>
        <v>5</v>
      </c>
      <c r="U242" s="221">
        <f t="shared" si="414"/>
        <v>0.38706766917293228</v>
      </c>
      <c r="V242" s="221">
        <f t="shared" si="415"/>
        <v>0.10837894736842105</v>
      </c>
      <c r="W242" s="221">
        <f t="shared" si="416"/>
        <v>0.25464978235061331</v>
      </c>
      <c r="X242" s="201">
        <f t="shared" si="417"/>
        <v>350</v>
      </c>
      <c r="Y242" s="451">
        <f t="shared" si="418"/>
        <v>350</v>
      </c>
      <c r="AA242" s="221">
        <f t="shared" si="419"/>
        <v>3.0463363796697127</v>
      </c>
      <c r="AB242" s="177">
        <f t="shared" si="420"/>
        <v>2.004168670835337</v>
      </c>
      <c r="AC242" s="177">
        <f t="shared" si="421"/>
        <v>2.136880176535993</v>
      </c>
      <c r="AD242" s="177"/>
      <c r="AE242" s="177">
        <f t="shared" si="422"/>
        <v>0.53947368421052622</v>
      </c>
      <c r="AF242" s="555">
        <f t="shared" si="423"/>
        <v>587.74538964901853</v>
      </c>
      <c r="AG242" s="538">
        <f t="shared" si="424"/>
        <v>0.15482894736842101</v>
      </c>
      <c r="AI242" s="177">
        <f t="shared" si="425"/>
        <v>1.0626113387042591</v>
      </c>
      <c r="AJ242" s="177">
        <f t="shared" si="426"/>
        <v>1.0626113387042591</v>
      </c>
      <c r="AK242" s="177">
        <f t="shared" si="427"/>
        <v>1.361740892469506</v>
      </c>
      <c r="AM242" s="555">
        <f t="shared" si="428"/>
        <v>260</v>
      </c>
      <c r="AN242" s="469">
        <f t="shared" si="429"/>
        <v>350</v>
      </c>
      <c r="AP242">
        <f t="shared" si="430"/>
        <v>260</v>
      </c>
      <c r="AQ242">
        <f t="shared" si="431"/>
        <v>350</v>
      </c>
      <c r="AS242" s="5">
        <f t="shared" si="364"/>
        <v>2.8571428571428572</v>
      </c>
      <c r="AT242" s="5">
        <f t="shared" si="432"/>
        <v>0.29753117483719255</v>
      </c>
      <c r="AU242" s="5">
        <f t="shared" si="440"/>
        <v>2.5596116823056647</v>
      </c>
      <c r="AV242" s="5"/>
      <c r="AW242" s="177">
        <f t="shared" si="441"/>
        <v>0.10413591119301739</v>
      </c>
      <c r="AX242" s="177"/>
      <c r="BA242" s="469">
        <f t="shared" si="433"/>
        <v>99.208085235696529</v>
      </c>
      <c r="BB242" s="469">
        <f t="shared" si="434"/>
        <v>1.1854071723519999</v>
      </c>
      <c r="BC242" s="5">
        <f t="shared" si="359"/>
        <v>0.12324056248138383</v>
      </c>
      <c r="BD242" s="469">
        <f t="shared" si="435"/>
        <v>0</v>
      </c>
      <c r="BQ242" s="538">
        <f t="shared" si="436"/>
        <v>9.9320000000000006E-2</v>
      </c>
      <c r="CG242" s="571">
        <f t="shared" si="437"/>
        <v>-50</v>
      </c>
      <c r="CH242">
        <f t="shared" si="438"/>
        <v>-50</v>
      </c>
    </row>
    <row r="243" spans="5:86" x14ac:dyDescent="0.2">
      <c r="E243" s="174">
        <v>27</v>
      </c>
      <c r="F243" s="221">
        <f t="shared" si="439"/>
        <v>0.27</v>
      </c>
      <c r="G243" s="221"/>
      <c r="H243" s="221">
        <f t="shared" si="404"/>
        <v>1.35</v>
      </c>
      <c r="I243" s="551">
        <f t="shared" si="405"/>
        <v>25</v>
      </c>
      <c r="J243" s="451">
        <f t="shared" si="406"/>
        <v>10.64</v>
      </c>
      <c r="K243" s="451">
        <f t="shared" si="407"/>
        <v>35.64</v>
      </c>
      <c r="L243" s="451"/>
      <c r="M243" s="221">
        <f t="shared" si="408"/>
        <v>0.2985409652076319</v>
      </c>
      <c r="N243" s="176">
        <f t="shared" si="409"/>
        <v>14.130050505050503</v>
      </c>
      <c r="O243" s="176">
        <f t="shared" si="363"/>
        <v>1.35</v>
      </c>
      <c r="P243" s="221">
        <f t="shared" si="410"/>
        <v>2.8260101010101009</v>
      </c>
      <c r="Q243" s="221">
        <f t="shared" si="411"/>
        <v>5</v>
      </c>
      <c r="R243" s="221"/>
      <c r="S243" s="176">
        <f t="shared" si="412"/>
        <v>158.35854153074561</v>
      </c>
      <c r="T243" s="176">
        <f t="shared" si="413"/>
        <v>5</v>
      </c>
      <c r="U243" s="221">
        <f t="shared" si="414"/>
        <v>0.40195488721804506</v>
      </c>
      <c r="V243" s="221">
        <f t="shared" si="415"/>
        <v>0.1125473684210526</v>
      </c>
      <c r="W243" s="221">
        <f t="shared" si="416"/>
        <v>0.26444400474871382</v>
      </c>
      <c r="X243" s="201">
        <f t="shared" si="417"/>
        <v>350</v>
      </c>
      <c r="Y243" s="451">
        <f t="shared" si="418"/>
        <v>350</v>
      </c>
      <c r="AA243" s="221">
        <f t="shared" si="419"/>
        <v>3.0463363796697127</v>
      </c>
      <c r="AB243" s="177">
        <f t="shared" si="420"/>
        <v>2.004168670835337</v>
      </c>
      <c r="AC243" s="177">
        <f t="shared" si="421"/>
        <v>2.136880176535993</v>
      </c>
      <c r="AD243" s="177"/>
      <c r="AE243" s="177">
        <f t="shared" si="422"/>
        <v>0.53947368421052622</v>
      </c>
      <c r="AF243" s="555">
        <f t="shared" si="423"/>
        <v>610.35098155859623</v>
      </c>
      <c r="AG243" s="538">
        <f t="shared" si="424"/>
        <v>0.15482894736842101</v>
      </c>
      <c r="AI243" s="177">
        <f t="shared" si="425"/>
        <v>1.0828533735328292</v>
      </c>
      <c r="AJ243" s="177">
        <f t="shared" si="426"/>
        <v>1.0828533735328292</v>
      </c>
      <c r="AK243" s="177">
        <f t="shared" si="427"/>
        <v>1.3752355823552196</v>
      </c>
      <c r="AM243" s="555">
        <f t="shared" si="428"/>
        <v>270</v>
      </c>
      <c r="AN243" s="469">
        <f t="shared" si="429"/>
        <v>350</v>
      </c>
      <c r="AP243">
        <f t="shared" si="430"/>
        <v>270</v>
      </c>
      <c r="AQ243">
        <f t="shared" si="431"/>
        <v>350</v>
      </c>
      <c r="AS243" s="5">
        <f t="shared" si="364"/>
        <v>2.8571428571428572</v>
      </c>
      <c r="AT243" s="5">
        <f t="shared" si="432"/>
        <v>0.30319894458919217</v>
      </c>
      <c r="AU243" s="5">
        <f t="shared" si="440"/>
        <v>2.5539439125536649</v>
      </c>
      <c r="AV243" s="5"/>
      <c r="AW243" s="177">
        <f t="shared" si="441"/>
        <v>0.10611963060621725</v>
      </c>
      <c r="AX243" s="177"/>
      <c r="BA243" s="469">
        <f t="shared" si="433"/>
        <v>99.208085235696529</v>
      </c>
      <c r="BB243" s="469">
        <f t="shared" si="434"/>
        <v>1.2471920542079999</v>
      </c>
      <c r="BC243" s="5">
        <f t="shared" si="359"/>
        <v>0.12769719562768322</v>
      </c>
      <c r="BD243" s="469">
        <f t="shared" si="435"/>
        <v>0</v>
      </c>
      <c r="BQ243" s="538">
        <f t="shared" si="436"/>
        <v>0.10314000000000001</v>
      </c>
      <c r="CG243" s="571">
        <f t="shared" si="437"/>
        <v>-50</v>
      </c>
      <c r="CH243">
        <f t="shared" si="438"/>
        <v>-50</v>
      </c>
    </row>
    <row r="244" spans="5:86" x14ac:dyDescent="0.2">
      <c r="E244" s="174">
        <v>28</v>
      </c>
      <c r="F244" s="221">
        <f t="shared" si="439"/>
        <v>0.28000000000000003</v>
      </c>
      <c r="G244" s="221"/>
      <c r="H244" s="221">
        <f t="shared" si="404"/>
        <v>1.4000000000000001</v>
      </c>
      <c r="I244" s="551">
        <f t="shared" si="405"/>
        <v>25</v>
      </c>
      <c r="J244" s="451">
        <f t="shared" si="406"/>
        <v>10.64</v>
      </c>
      <c r="K244" s="451">
        <f t="shared" si="407"/>
        <v>35.64</v>
      </c>
      <c r="L244" s="451"/>
      <c r="M244" s="221">
        <f t="shared" si="408"/>
        <v>0.2985409652076319</v>
      </c>
      <c r="N244" s="176">
        <f t="shared" si="409"/>
        <v>14.130050505050503</v>
      </c>
      <c r="O244" s="176">
        <f t="shared" si="363"/>
        <v>1.4000000000000001</v>
      </c>
      <c r="P244" s="221">
        <f t="shared" si="410"/>
        <v>2.8260101010101009</v>
      </c>
      <c r="Q244" s="221">
        <f t="shared" si="411"/>
        <v>5</v>
      </c>
      <c r="R244" s="221"/>
      <c r="S244" s="176">
        <f t="shared" si="412"/>
        <v>152.25835889478392</v>
      </c>
      <c r="T244" s="176">
        <f t="shared" si="413"/>
        <v>5</v>
      </c>
      <c r="U244" s="221">
        <f t="shared" si="414"/>
        <v>0.4168421052631579</v>
      </c>
      <c r="V244" s="221">
        <f t="shared" si="415"/>
        <v>0.1167157894736842</v>
      </c>
      <c r="W244" s="221">
        <f t="shared" si="416"/>
        <v>0.2742382271468144</v>
      </c>
      <c r="X244" s="201">
        <f t="shared" si="417"/>
        <v>350</v>
      </c>
      <c r="Y244" s="451">
        <f t="shared" si="418"/>
        <v>350</v>
      </c>
      <c r="AA244" s="221">
        <f t="shared" si="419"/>
        <v>3.0463363796697127</v>
      </c>
      <c r="AB244" s="177">
        <f t="shared" si="420"/>
        <v>2.004168670835337</v>
      </c>
      <c r="AC244" s="177">
        <f t="shared" si="421"/>
        <v>2.136880176535993</v>
      </c>
      <c r="AD244" s="177"/>
      <c r="AE244" s="177">
        <f t="shared" si="422"/>
        <v>0.53947368421052622</v>
      </c>
      <c r="AF244" s="555">
        <f t="shared" si="423"/>
        <v>632.95657346817381</v>
      </c>
      <c r="AG244" s="538">
        <f t="shared" si="424"/>
        <v>0.15482894736842101</v>
      </c>
      <c r="AI244" s="177">
        <f t="shared" si="425"/>
        <v>1.1027239001672178</v>
      </c>
      <c r="AJ244" s="177">
        <f t="shared" si="426"/>
        <v>1.1027239001672178</v>
      </c>
      <c r="AK244" s="177">
        <f t="shared" si="427"/>
        <v>1.3884826001114785</v>
      </c>
      <c r="AM244" s="555">
        <f t="shared" si="428"/>
        <v>280</v>
      </c>
      <c r="AN244" s="469">
        <f t="shared" si="429"/>
        <v>350</v>
      </c>
      <c r="AP244">
        <f t="shared" si="430"/>
        <v>280</v>
      </c>
      <c r="AQ244">
        <f t="shared" si="431"/>
        <v>350</v>
      </c>
      <c r="AS244" s="5">
        <f t="shared" si="364"/>
        <v>2.8571428571428572</v>
      </c>
      <c r="AT244" s="5">
        <f t="shared" si="432"/>
        <v>0.308762692046821</v>
      </c>
      <c r="AU244" s="5">
        <f t="shared" si="440"/>
        <v>2.5483801650960363</v>
      </c>
      <c r="AV244" s="5"/>
      <c r="AW244" s="177">
        <f t="shared" si="441"/>
        <v>0.10806694221638735</v>
      </c>
      <c r="AX244" s="177"/>
      <c r="BA244" s="469">
        <f t="shared" si="433"/>
        <v>99.208085235696529</v>
      </c>
      <c r="BB244" s="469">
        <f t="shared" si="434"/>
        <v>1.3101763655680001</v>
      </c>
      <c r="BC244" s="5">
        <f t="shared" si="359"/>
        <v>0.13213823078275741</v>
      </c>
      <c r="BD244" s="469">
        <f t="shared" si="435"/>
        <v>0</v>
      </c>
      <c r="BQ244" s="538">
        <f t="shared" si="436"/>
        <v>0.10696000000000001</v>
      </c>
      <c r="CG244" s="571">
        <f t="shared" si="437"/>
        <v>-50</v>
      </c>
      <c r="CH244">
        <f t="shared" si="438"/>
        <v>-50</v>
      </c>
    </row>
    <row r="245" spans="5:86" x14ac:dyDescent="0.2">
      <c r="E245" s="174">
        <v>29</v>
      </c>
      <c r="F245" s="221">
        <f t="shared" si="439"/>
        <v>0.28999999999999998</v>
      </c>
      <c r="G245" s="221"/>
      <c r="H245" s="221">
        <f t="shared" si="404"/>
        <v>1.45</v>
      </c>
      <c r="I245" s="551">
        <f t="shared" si="405"/>
        <v>25</v>
      </c>
      <c r="J245" s="451">
        <f t="shared" si="406"/>
        <v>10.64</v>
      </c>
      <c r="K245" s="451">
        <f t="shared" si="407"/>
        <v>35.64</v>
      </c>
      <c r="L245" s="451"/>
      <c r="M245" s="221">
        <f t="shared" si="408"/>
        <v>0.2985409652076319</v>
      </c>
      <c r="N245" s="176">
        <f t="shared" si="409"/>
        <v>14.130050505050503</v>
      </c>
      <c r="O245" s="176">
        <f t="shared" si="363"/>
        <v>1.45</v>
      </c>
      <c r="P245" s="221">
        <f t="shared" si="410"/>
        <v>2.8260101010101009</v>
      </c>
      <c r="Q245" s="221">
        <f t="shared" si="411"/>
        <v>5</v>
      </c>
      <c r="R245" s="221"/>
      <c r="S245" s="176">
        <f t="shared" si="412"/>
        <v>146.57895373962779</v>
      </c>
      <c r="T245" s="176">
        <f t="shared" si="413"/>
        <v>5</v>
      </c>
      <c r="U245" s="221">
        <f t="shared" si="414"/>
        <v>0.43172932330827063</v>
      </c>
      <c r="V245" s="221">
        <f t="shared" si="415"/>
        <v>0.12088421052631579</v>
      </c>
      <c r="W245" s="221">
        <f t="shared" si="416"/>
        <v>0.28403244954491491</v>
      </c>
      <c r="X245" s="201">
        <f t="shared" si="417"/>
        <v>350</v>
      </c>
      <c r="Y245" s="451">
        <f t="shared" si="418"/>
        <v>350</v>
      </c>
      <c r="AA245" s="221">
        <f t="shared" si="419"/>
        <v>3.0463363796697127</v>
      </c>
      <c r="AB245" s="177">
        <f t="shared" si="420"/>
        <v>2.004168670835337</v>
      </c>
      <c r="AC245" s="177">
        <f t="shared" si="421"/>
        <v>2.136880176535993</v>
      </c>
      <c r="AD245" s="177"/>
      <c r="AE245" s="177">
        <f t="shared" si="422"/>
        <v>0.53947368421052622</v>
      </c>
      <c r="AF245" s="555">
        <f t="shared" si="423"/>
        <v>655.56216537775151</v>
      </c>
      <c r="AG245" s="538">
        <f t="shared" si="424"/>
        <v>0.15482894736842101</v>
      </c>
      <c r="AI245" s="177">
        <f t="shared" si="425"/>
        <v>1.122242652650741</v>
      </c>
      <c r="AJ245" s="177">
        <f t="shared" si="426"/>
        <v>1.122242652650741</v>
      </c>
      <c r="AK245" s="177">
        <f t="shared" si="427"/>
        <v>1.4014951017671606</v>
      </c>
      <c r="AM245" s="555">
        <f t="shared" si="428"/>
        <v>290</v>
      </c>
      <c r="AN245" s="469">
        <f t="shared" si="429"/>
        <v>350</v>
      </c>
      <c r="AP245">
        <f t="shared" si="430"/>
        <v>290</v>
      </c>
      <c r="AQ245">
        <f t="shared" si="431"/>
        <v>350</v>
      </c>
      <c r="AS245" s="5">
        <f t="shared" si="364"/>
        <v>2.8571428571428572</v>
      </c>
      <c r="AT245" s="5">
        <f t="shared" si="432"/>
        <v>0.31422794274220744</v>
      </c>
      <c r="AU245" s="5">
        <f t="shared" si="440"/>
        <v>2.54291491440065</v>
      </c>
      <c r="AV245" s="5"/>
      <c r="AW245" s="177">
        <f t="shared" si="441"/>
        <v>0.10997977995977261</v>
      </c>
      <c r="AX245" s="177"/>
      <c r="BA245" s="469">
        <f t="shared" si="433"/>
        <v>99.208085235696529</v>
      </c>
      <c r="BB245" s="469">
        <f t="shared" si="434"/>
        <v>1.3743601064319999</v>
      </c>
      <c r="BC245" s="5">
        <f t="shared" ref="BC245:BC308" si="442">H245/Efficiency/I245*AU245/Vinripple1</f>
        <v>0.13656394910670155</v>
      </c>
      <c r="BD245" s="469">
        <f t="shared" si="435"/>
        <v>0</v>
      </c>
      <c r="BQ245" s="538">
        <f t="shared" si="436"/>
        <v>0.11077999999999999</v>
      </c>
      <c r="CG245" s="571">
        <f t="shared" si="437"/>
        <v>-50</v>
      </c>
      <c r="CH245">
        <f t="shared" si="438"/>
        <v>-50</v>
      </c>
    </row>
    <row r="246" spans="5:86" x14ac:dyDescent="0.2">
      <c r="E246" s="174">
        <v>30</v>
      </c>
      <c r="F246" s="221">
        <f t="shared" si="439"/>
        <v>0.3</v>
      </c>
      <c r="G246" s="221"/>
      <c r="H246" s="221">
        <f t="shared" si="404"/>
        <v>1.5</v>
      </c>
      <c r="I246" s="551">
        <f t="shared" si="405"/>
        <v>25</v>
      </c>
      <c r="J246" s="451">
        <f t="shared" si="406"/>
        <v>10.64</v>
      </c>
      <c r="K246" s="451">
        <f t="shared" si="407"/>
        <v>35.64</v>
      </c>
      <c r="L246" s="451"/>
      <c r="M246" s="221">
        <f t="shared" si="408"/>
        <v>0.2985409652076319</v>
      </c>
      <c r="N246" s="176">
        <f t="shared" si="409"/>
        <v>14.130050505050503</v>
      </c>
      <c r="O246" s="176">
        <f t="shared" si="363"/>
        <v>1.5</v>
      </c>
      <c r="P246" s="221">
        <f t="shared" si="410"/>
        <v>2.8260101010101009</v>
      </c>
      <c r="Q246" s="221">
        <f t="shared" si="411"/>
        <v>5</v>
      </c>
      <c r="R246" s="221"/>
      <c r="S246" s="176">
        <f t="shared" si="412"/>
        <v>141.27824893690445</v>
      </c>
      <c r="T246" s="176">
        <f t="shared" si="413"/>
        <v>5</v>
      </c>
      <c r="U246" s="221">
        <f t="shared" si="414"/>
        <v>0.44661654135338341</v>
      </c>
      <c r="V246" s="221">
        <f t="shared" si="415"/>
        <v>0.12505263157894736</v>
      </c>
      <c r="W246" s="221">
        <f t="shared" si="416"/>
        <v>0.29382667194301537</v>
      </c>
      <c r="X246" s="201">
        <f t="shared" si="417"/>
        <v>350</v>
      </c>
      <c r="Y246" s="451">
        <f t="shared" si="418"/>
        <v>350</v>
      </c>
      <c r="AA246" s="221">
        <f t="shared" si="419"/>
        <v>3.0463363796697127</v>
      </c>
      <c r="AB246" s="177">
        <f t="shared" si="420"/>
        <v>2.004168670835337</v>
      </c>
      <c r="AC246" s="177">
        <f t="shared" si="421"/>
        <v>2.136880176535993</v>
      </c>
      <c r="AD246" s="177"/>
      <c r="AE246" s="177">
        <f t="shared" si="422"/>
        <v>0.53947368421052622</v>
      </c>
      <c r="AF246" s="555">
        <f t="shared" si="423"/>
        <v>678.1677572873291</v>
      </c>
      <c r="AG246" s="538">
        <f t="shared" si="424"/>
        <v>0.15482894736842101</v>
      </c>
      <c r="AI246" s="177">
        <f t="shared" si="425"/>
        <v>1.1414276774536103</v>
      </c>
      <c r="AJ246" s="177">
        <f t="shared" si="426"/>
        <v>1.1414276774536103</v>
      </c>
      <c r="AK246" s="177">
        <f t="shared" si="427"/>
        <v>1.414285118302407</v>
      </c>
      <c r="AM246" s="555">
        <f t="shared" si="428"/>
        <v>300</v>
      </c>
      <c r="AN246" s="469">
        <f t="shared" si="429"/>
        <v>350</v>
      </c>
      <c r="AP246">
        <f t="shared" si="430"/>
        <v>300</v>
      </c>
      <c r="AQ246">
        <f t="shared" si="431"/>
        <v>350</v>
      </c>
      <c r="AS246" s="5">
        <f t="shared" si="364"/>
        <v>2.8571428571428572</v>
      </c>
      <c r="AT246" s="5">
        <f t="shared" si="432"/>
        <v>0.31959974968701088</v>
      </c>
      <c r="AU246" s="5">
        <f t="shared" si="440"/>
        <v>2.5375431074558463</v>
      </c>
      <c r="AV246" s="5"/>
      <c r="AW246" s="177">
        <f t="shared" si="441"/>
        <v>0.1118599123904538</v>
      </c>
      <c r="AX246" s="177"/>
      <c r="BA246" s="469">
        <f t="shared" si="433"/>
        <v>99.208085235696529</v>
      </c>
      <c r="BB246" s="469">
        <f t="shared" si="434"/>
        <v>1.4397432767999998</v>
      </c>
      <c r="BC246" s="5">
        <f t="shared" si="442"/>
        <v>0.14097461708088033</v>
      </c>
      <c r="BD246" s="469">
        <f t="shared" si="435"/>
        <v>0</v>
      </c>
      <c r="BQ246" s="538">
        <f t="shared" si="436"/>
        <v>0.11459999999999999</v>
      </c>
      <c r="CG246" s="571">
        <f t="shared" si="437"/>
        <v>-50</v>
      </c>
      <c r="CH246">
        <f t="shared" si="438"/>
        <v>-50</v>
      </c>
    </row>
    <row r="247" spans="5:86" x14ac:dyDescent="0.2">
      <c r="E247" s="174">
        <v>31</v>
      </c>
      <c r="F247" s="221">
        <f t="shared" si="439"/>
        <v>0.31</v>
      </c>
      <c r="G247" s="221"/>
      <c r="H247" s="221">
        <f t="shared" si="404"/>
        <v>1.55</v>
      </c>
      <c r="I247" s="551">
        <f t="shared" si="405"/>
        <v>25</v>
      </c>
      <c r="J247" s="451">
        <f t="shared" si="406"/>
        <v>10.64</v>
      </c>
      <c r="K247" s="451">
        <f t="shared" si="407"/>
        <v>35.64</v>
      </c>
      <c r="L247" s="451"/>
      <c r="M247" s="221">
        <f t="shared" si="408"/>
        <v>0.2985409652076319</v>
      </c>
      <c r="N247" s="176">
        <f t="shared" si="409"/>
        <v>14.130050505050503</v>
      </c>
      <c r="O247" s="176">
        <f t="shared" si="363"/>
        <v>1.55</v>
      </c>
      <c r="P247" s="221">
        <f t="shared" si="410"/>
        <v>2.8260101010101009</v>
      </c>
      <c r="Q247" s="221">
        <f t="shared" si="411"/>
        <v>5</v>
      </c>
      <c r="R247" s="221"/>
      <c r="S247" s="176">
        <f t="shared" si="412"/>
        <v>136.31959667173905</v>
      </c>
      <c r="T247" s="176">
        <f t="shared" si="413"/>
        <v>5</v>
      </c>
      <c r="U247" s="221">
        <f t="shared" si="414"/>
        <v>0.46150375939849619</v>
      </c>
      <c r="V247" s="221">
        <f t="shared" si="415"/>
        <v>0.12922105263157893</v>
      </c>
      <c r="W247" s="221">
        <f t="shared" si="416"/>
        <v>0.30362089434111594</v>
      </c>
      <c r="X247" s="201">
        <f t="shared" si="417"/>
        <v>350</v>
      </c>
      <c r="Y247" s="451">
        <f t="shared" si="418"/>
        <v>350</v>
      </c>
      <c r="AA247" s="221">
        <f t="shared" si="419"/>
        <v>3.0463363796697127</v>
      </c>
      <c r="AB247" s="177">
        <f t="shared" si="420"/>
        <v>2.004168670835337</v>
      </c>
      <c r="AC247" s="177">
        <f t="shared" si="421"/>
        <v>2.136880176535993</v>
      </c>
      <c r="AD247" s="177"/>
      <c r="AE247" s="177">
        <f t="shared" si="422"/>
        <v>0.53947368421052622</v>
      </c>
      <c r="AF247" s="555">
        <f t="shared" si="423"/>
        <v>700.77334919690668</v>
      </c>
      <c r="AG247" s="538">
        <f t="shared" si="424"/>
        <v>0.15482894736842101</v>
      </c>
      <c r="AI247" s="177">
        <f t="shared" si="425"/>
        <v>1.1602955288570729</v>
      </c>
      <c r="AJ247" s="177">
        <f t="shared" si="426"/>
        <v>1.1602955288570729</v>
      </c>
      <c r="AK247" s="177">
        <f t="shared" si="427"/>
        <v>1.4268636859047152</v>
      </c>
      <c r="AM247" s="555">
        <f t="shared" si="428"/>
        <v>310</v>
      </c>
      <c r="AN247" s="469">
        <f t="shared" si="429"/>
        <v>350</v>
      </c>
      <c r="AP247">
        <f t="shared" si="430"/>
        <v>310</v>
      </c>
      <c r="AQ247">
        <f t="shared" si="431"/>
        <v>350</v>
      </c>
      <c r="AS247" s="5">
        <f t="shared" si="364"/>
        <v>2.8571428571428572</v>
      </c>
      <c r="AT247" s="5">
        <f t="shared" si="432"/>
        <v>0.32488274807998041</v>
      </c>
      <c r="AU247" s="5">
        <f t="shared" si="440"/>
        <v>2.5322601090628769</v>
      </c>
      <c r="AV247" s="5"/>
      <c r="AW247" s="177">
        <f t="shared" si="441"/>
        <v>0.11370896182799314</v>
      </c>
      <c r="AX247" s="177"/>
      <c r="BA247" s="469">
        <f t="shared" si="433"/>
        <v>99.208085235696529</v>
      </c>
      <c r="BB247" s="469">
        <f t="shared" si="434"/>
        <v>1.506325876672</v>
      </c>
      <c r="BC247" s="5">
        <f t="shared" si="442"/>
        <v>0.14537048774249847</v>
      </c>
      <c r="BD247" s="469">
        <f t="shared" si="435"/>
        <v>0</v>
      </c>
      <c r="BQ247" s="538">
        <f t="shared" si="436"/>
        <v>0.11842</v>
      </c>
      <c r="CG247" s="571">
        <f t="shared" si="437"/>
        <v>-50</v>
      </c>
      <c r="CH247">
        <f t="shared" si="438"/>
        <v>-50</v>
      </c>
    </row>
    <row r="248" spans="5:86" x14ac:dyDescent="0.2">
      <c r="E248" s="174">
        <v>32</v>
      </c>
      <c r="F248" s="221">
        <f t="shared" si="439"/>
        <v>0.32</v>
      </c>
      <c r="G248" s="221"/>
      <c r="H248" s="221">
        <f t="shared" ref="H248:H279" si="443">F248*Vout</f>
        <v>1.6</v>
      </c>
      <c r="I248" s="551">
        <f t="shared" ref="I248:I279" si="444">VIN_max</f>
        <v>25</v>
      </c>
      <c r="J248" s="451">
        <f t="shared" ref="J248:J279" si="445">(T248+Vfwd1)*Nps</f>
        <v>10.64</v>
      </c>
      <c r="K248" s="451">
        <f t="shared" ref="K248:K279" si="446">(Vout+Vfwd1)*Nps+I248</f>
        <v>35.64</v>
      </c>
      <c r="L248" s="451"/>
      <c r="M248" s="221">
        <f t="shared" ref="M248:M279" si="447">(Vout+Vfwd1)*Nps/((Vout+Vfwd1)*Nps+I248)</f>
        <v>0.2985409652076319</v>
      </c>
      <c r="N248" s="176">
        <f t="shared" ref="N248:N279" si="448">M248*I248*(Isw_max+VIN_max/Lmag*ILIM_delay)*0.5*Efficiency</f>
        <v>14.130050505050503</v>
      </c>
      <c r="O248" s="176">
        <f t="shared" si="363"/>
        <v>1.6</v>
      </c>
      <c r="P248" s="221">
        <f t="shared" ref="P248:P279" si="449">N248/Vout</f>
        <v>2.8260101010101009</v>
      </c>
      <c r="Q248" s="221">
        <f t="shared" ref="Q248:Q279" si="450">MIN(Vout,N248/F248)</f>
        <v>5</v>
      </c>
      <c r="R248" s="221"/>
      <c r="S248" s="176">
        <f t="shared" ref="S248:S279" si="451">(SQRT(Isw_max^2*Nps^2*I248^2+4*Isw_max*F248/Efficiency*(Nps^2*Vfwd1*I248-Nps*I248^2)+4*(F248/Efficiency)^2*Nps^2*Vfwd1^2+8*(F248/Efficiency)^2*Nps*Vfwd1*I248+4*(F248/Efficiency)^2*I248^2)-2*F248/Efficiency*I248-2*F248/Efficiency*Nps*Vfwd1+Isw_max*Nps*I248)/(4*F248/Efficiency*Nps)</f>
        <v>131.67093011260573</v>
      </c>
      <c r="T248" s="176">
        <f t="shared" ref="T248:T279" si="452">MIN(Vout, S248)</f>
        <v>5</v>
      </c>
      <c r="U248" s="221">
        <f t="shared" ref="U248:U279" si="453">MIN(2*Vout*F248/(Efficiency*I248*M248), Isw_max)</f>
        <v>0.47639097744360898</v>
      </c>
      <c r="V248" s="221">
        <f t="shared" ref="V248:V279" si="454">L*U248/I248*1000000</f>
        <v>0.13338947368421053</v>
      </c>
      <c r="W248" s="221">
        <f t="shared" ref="W248:W279" si="455">L*U248/J248*1000000</f>
        <v>0.3134151167392164</v>
      </c>
      <c r="X248" s="201">
        <f t="shared" ref="X248:X279" si="456">IF(1/((350000*L)*(1/I248+1/J248))&gt;Isw_min, 350, 0.001/((Isw_min*L)*(1/I248+1/J248)))</f>
        <v>350</v>
      </c>
      <c r="Y248" s="451">
        <f t="shared" si="418"/>
        <v>350</v>
      </c>
      <c r="AA248" s="221">
        <f t="shared" ref="AA248:AA279" si="457">1/((X248*1000*L)*(1/I248+1/J248))</f>
        <v>3.0463363796697127</v>
      </c>
      <c r="AB248" s="177">
        <f t="shared" ref="AB248:AB279" si="458">L*AA248/J248*1000000</f>
        <v>2.004168670835337</v>
      </c>
      <c r="AC248" s="177">
        <f t="shared" ref="AC248:AC279" si="459">0.5*AB248*AA248*Nps*X248/1000</f>
        <v>2.136880176535993</v>
      </c>
      <c r="AD248" s="177"/>
      <c r="AE248" s="177">
        <f t="shared" ref="AE248:AE279" si="460">L*Isw_min/J248*1000000</f>
        <v>0.53947368421052622</v>
      </c>
      <c r="AF248" s="555">
        <f t="shared" ref="AF248:AF279" si="461">MAX(12000,F248/(0.5*AE248/1000000*Isw_min*Nps))/1000</f>
        <v>723.37894110648438</v>
      </c>
      <c r="AG248" s="538">
        <f t="shared" ref="AG248:AG279" si="462">0.5*AE248/1000000*Isw_min*Nps*X248*1000</f>
        <v>0.15482894736842101</v>
      </c>
      <c r="AI248" s="177">
        <f t="shared" ref="AI248:AI279" si="463">SQRT(F248/(0.5*L/J248*Fsw_DCM*Nps))</f>
        <v>1.1788614361808116</v>
      </c>
      <c r="AJ248" s="177">
        <f t="shared" ref="AJ248:AJ279" si="464">MAX(IF(F248&gt;AC248,U248,AI248),Isw_min)</f>
        <v>1.1788614361808116</v>
      </c>
      <c r="AK248" s="177">
        <f t="shared" ref="AK248:AK279" si="465">IF(F248&gt;AG248, (AJ248-Isw_min)/1.2*0.8+1.2, AF248*0.2/350+1)</f>
        <v>1.4392409574538745</v>
      </c>
      <c r="AM248" s="555">
        <f t="shared" ref="AM248:AM279" si="466">F248*1000</f>
        <v>320</v>
      </c>
      <c r="AN248" s="469">
        <f t="shared" ref="AN248:AN279" si="467">IF(F248&gt;AG248, Y248, AF248)</f>
        <v>350</v>
      </c>
      <c r="AP248">
        <f t="shared" ref="AP248:AP279" si="468">IF(H248&gt;N248, "",AM248)</f>
        <v>320</v>
      </c>
      <c r="AQ248">
        <f t="shared" ref="AQ248:AQ279" si="469">IF(H248&gt;N248, "",AN248)</f>
        <v>350</v>
      </c>
      <c r="AS248" s="5">
        <f t="shared" si="364"/>
        <v>2.8571428571428572</v>
      </c>
      <c r="AT248" s="5">
        <f t="shared" ref="AT248:AT279" si="470">L*AJ248/I248*1000000</f>
        <v>0.33008120213062719</v>
      </c>
      <c r="AU248" s="5">
        <f t="shared" si="440"/>
        <v>2.52706165501223</v>
      </c>
      <c r="AV248" s="5"/>
      <c r="AW248" s="177">
        <f t="shared" si="441"/>
        <v>0.11552842074571952</v>
      </c>
      <c r="AX248" s="177"/>
      <c r="BA248" s="469">
        <f t="shared" ref="BA248:BA279" si="471">L*Isw_max^2/(2*Vout_ripple*Vout)*1000000000*((1+M248)/2)^2</f>
        <v>99.208085235696529</v>
      </c>
      <c r="BB248" s="469">
        <f t="shared" ref="BB248:BB279" si="472">L*F248^2/(2*Cout*Vout*Nps^2)*1000000000*((1+M248)/(1-M248))^2+F248*RCoutEsr</f>
        <v>1.5741079060479999</v>
      </c>
      <c r="BC248" s="5">
        <f t="shared" si="442"/>
        <v>0.1497518017785025</v>
      </c>
      <c r="BD248" s="469">
        <f t="shared" ref="BD248:BD279" si="473">((CB248/I248/Efficiency)*AU248/Cin+(CB248/I248/Efficiency)*RCinEsr)*1000</f>
        <v>0</v>
      </c>
      <c r="BQ248" s="538">
        <f t="shared" ref="BQ248:BQ279" si="474">(Vfwd2*F248+BG248^2*Rdiode)*(1+Diode_TC/1000*(Ta-25))</f>
        <v>0.12224</v>
      </c>
      <c r="CG248" s="571">
        <f t="shared" ref="CG248:CG279" si="475">IF(ABS(F248-Ioutmax_Vinmax)&lt;Iout/200, AN248, -50)</f>
        <v>-50</v>
      </c>
      <c r="CH248">
        <f t="shared" ref="CH248:CH279" si="476">IF(ABS(F248-Ioutmax_Vinmin)&lt;Iout/200, N248*CC248, -50)</f>
        <v>-50</v>
      </c>
    </row>
    <row r="249" spans="5:86" x14ac:dyDescent="0.2">
      <c r="E249" s="174">
        <v>33</v>
      </c>
      <c r="F249" s="221">
        <f t="shared" ref="F249:F280" si="477">IF(PLOT_TYPE=1, E249/100*Iout_max, min_I*EXP(N249*rr/100))</f>
        <v>0.33</v>
      </c>
      <c r="G249" s="221"/>
      <c r="H249" s="221">
        <f t="shared" si="443"/>
        <v>1.6500000000000001</v>
      </c>
      <c r="I249" s="551">
        <f t="shared" si="444"/>
        <v>25</v>
      </c>
      <c r="J249" s="451">
        <f t="shared" si="445"/>
        <v>10.64</v>
      </c>
      <c r="K249" s="451">
        <f t="shared" si="446"/>
        <v>35.64</v>
      </c>
      <c r="L249" s="451"/>
      <c r="M249" s="221">
        <f t="shared" si="447"/>
        <v>0.2985409652076319</v>
      </c>
      <c r="N249" s="176">
        <f t="shared" si="448"/>
        <v>14.130050505050503</v>
      </c>
      <c r="O249" s="176">
        <f t="shared" si="363"/>
        <v>1.6500000000000001</v>
      </c>
      <c r="P249" s="221">
        <f t="shared" si="449"/>
        <v>2.8260101010101009</v>
      </c>
      <c r="Q249" s="221">
        <f t="shared" si="450"/>
        <v>5</v>
      </c>
      <c r="R249" s="221"/>
      <c r="S249" s="176">
        <f t="shared" si="451"/>
        <v>127.30406932302559</v>
      </c>
      <c r="T249" s="176">
        <f t="shared" si="452"/>
        <v>5</v>
      </c>
      <c r="U249" s="221">
        <f t="shared" si="453"/>
        <v>0.49127819548872176</v>
      </c>
      <c r="V249" s="221">
        <f t="shared" si="454"/>
        <v>0.1375578947368421</v>
      </c>
      <c r="W249" s="221">
        <f t="shared" si="455"/>
        <v>0.32320933913731692</v>
      </c>
      <c r="X249" s="201">
        <f t="shared" si="456"/>
        <v>350</v>
      </c>
      <c r="Y249" s="451">
        <f t="shared" si="418"/>
        <v>350</v>
      </c>
      <c r="AA249" s="221">
        <f t="shared" si="457"/>
        <v>3.0463363796697127</v>
      </c>
      <c r="AB249" s="177">
        <f t="shared" si="458"/>
        <v>2.004168670835337</v>
      </c>
      <c r="AC249" s="177">
        <f t="shared" si="459"/>
        <v>2.136880176535993</v>
      </c>
      <c r="AD249" s="177"/>
      <c r="AE249" s="177">
        <f t="shared" si="460"/>
        <v>0.53947368421052622</v>
      </c>
      <c r="AF249" s="555">
        <f t="shared" si="461"/>
        <v>745.98453301606196</v>
      </c>
      <c r="AG249" s="538">
        <f t="shared" si="462"/>
        <v>0.15482894736842101</v>
      </c>
      <c r="AI249" s="177">
        <f t="shared" si="463"/>
        <v>1.1971394476596524</v>
      </c>
      <c r="AJ249" s="177">
        <f t="shared" si="464"/>
        <v>1.1971394476596524</v>
      </c>
      <c r="AK249" s="177">
        <f t="shared" si="465"/>
        <v>1.4514262984397683</v>
      </c>
      <c r="AM249" s="555">
        <f t="shared" si="466"/>
        <v>330</v>
      </c>
      <c r="AN249" s="469">
        <f t="shared" si="467"/>
        <v>350</v>
      </c>
      <c r="AP249">
        <f t="shared" si="468"/>
        <v>330</v>
      </c>
      <c r="AQ249">
        <f t="shared" si="469"/>
        <v>350</v>
      </c>
      <c r="AS249" s="5">
        <f t="shared" si="364"/>
        <v>2.8571428571428572</v>
      </c>
      <c r="AT249" s="5">
        <f t="shared" si="470"/>
        <v>0.33519904534470274</v>
      </c>
      <c r="AU249" s="5">
        <f t="shared" si="440"/>
        <v>2.5219438117981543</v>
      </c>
      <c r="AV249" s="5"/>
      <c r="AW249" s="177">
        <f t="shared" si="441"/>
        <v>0.11731966587064596</v>
      </c>
      <c r="AX249" s="177"/>
      <c r="BA249" s="469">
        <f t="shared" si="471"/>
        <v>99.208085235696529</v>
      </c>
      <c r="BB249" s="469">
        <f t="shared" si="472"/>
        <v>1.6430893649280001</v>
      </c>
      <c r="BC249" s="5">
        <f t="shared" si="442"/>
        <v>0.15411878849877608</v>
      </c>
      <c r="BD249" s="469">
        <f t="shared" si="473"/>
        <v>0</v>
      </c>
      <c r="BQ249" s="538">
        <f t="shared" si="474"/>
        <v>0.12606000000000001</v>
      </c>
      <c r="CG249" s="571">
        <f t="shared" si="475"/>
        <v>-50</v>
      </c>
      <c r="CH249">
        <f t="shared" si="476"/>
        <v>-50</v>
      </c>
    </row>
    <row r="250" spans="5:86" x14ac:dyDescent="0.2">
      <c r="E250" s="174">
        <v>34</v>
      </c>
      <c r="F250" s="221">
        <f t="shared" si="477"/>
        <v>0.34</v>
      </c>
      <c r="G250" s="221"/>
      <c r="H250" s="221">
        <f t="shared" si="443"/>
        <v>1.7000000000000002</v>
      </c>
      <c r="I250" s="551">
        <f t="shared" si="444"/>
        <v>25</v>
      </c>
      <c r="J250" s="451">
        <f t="shared" si="445"/>
        <v>10.64</v>
      </c>
      <c r="K250" s="451">
        <f t="shared" si="446"/>
        <v>35.64</v>
      </c>
      <c r="L250" s="451"/>
      <c r="M250" s="221">
        <f t="shared" si="447"/>
        <v>0.2985409652076319</v>
      </c>
      <c r="N250" s="176">
        <f t="shared" si="448"/>
        <v>14.130050505050503</v>
      </c>
      <c r="O250" s="176">
        <f t="shared" si="363"/>
        <v>1.7000000000000002</v>
      </c>
      <c r="P250" s="221">
        <f t="shared" si="449"/>
        <v>2.8260101010101009</v>
      </c>
      <c r="Q250" s="221">
        <f t="shared" si="450"/>
        <v>5</v>
      </c>
      <c r="R250" s="221"/>
      <c r="S250" s="176">
        <f t="shared" si="451"/>
        <v>123.19414965943649</v>
      </c>
      <c r="T250" s="176">
        <f t="shared" si="452"/>
        <v>5</v>
      </c>
      <c r="U250" s="221">
        <f t="shared" si="453"/>
        <v>0.5061654135338346</v>
      </c>
      <c r="V250" s="221">
        <f t="shared" si="454"/>
        <v>0.14172631578947367</v>
      </c>
      <c r="W250" s="221">
        <f t="shared" si="455"/>
        <v>0.33300356153541749</v>
      </c>
      <c r="X250" s="201">
        <f t="shared" si="456"/>
        <v>350</v>
      </c>
      <c r="Y250" s="451">
        <f t="shared" si="418"/>
        <v>350</v>
      </c>
      <c r="AA250" s="221">
        <f t="shared" si="457"/>
        <v>3.0463363796697127</v>
      </c>
      <c r="AB250" s="177">
        <f t="shared" si="458"/>
        <v>2.004168670835337</v>
      </c>
      <c r="AC250" s="177">
        <f t="shared" si="459"/>
        <v>2.136880176535993</v>
      </c>
      <c r="AD250" s="177"/>
      <c r="AE250" s="177">
        <f t="shared" si="460"/>
        <v>0.53947368421052622</v>
      </c>
      <c r="AF250" s="555">
        <f t="shared" si="461"/>
        <v>768.59012492563966</v>
      </c>
      <c r="AG250" s="538">
        <f t="shared" si="462"/>
        <v>0.15482894736842101</v>
      </c>
      <c r="AI250" s="177">
        <f t="shared" si="463"/>
        <v>1.2151425548352048</v>
      </c>
      <c r="AJ250" s="177">
        <f t="shared" si="464"/>
        <v>1.2151425548352048</v>
      </c>
      <c r="AK250" s="177">
        <f t="shared" si="465"/>
        <v>1.4634283698901367</v>
      </c>
      <c r="AM250" s="555">
        <f t="shared" si="466"/>
        <v>340</v>
      </c>
      <c r="AN250" s="469">
        <f t="shared" si="467"/>
        <v>350</v>
      </c>
      <c r="AP250">
        <f t="shared" si="468"/>
        <v>340</v>
      </c>
      <c r="AQ250">
        <f t="shared" si="469"/>
        <v>350</v>
      </c>
      <c r="AS250" s="5">
        <f t="shared" si="364"/>
        <v>2.8571428571428572</v>
      </c>
      <c r="AT250" s="5">
        <f t="shared" si="470"/>
        <v>0.34023991535385734</v>
      </c>
      <c r="AU250" s="5">
        <f t="shared" si="440"/>
        <v>2.5169029417889996</v>
      </c>
      <c r="AV250" s="5"/>
      <c r="AW250" s="177">
        <f t="shared" si="441"/>
        <v>0.11908397037385006</v>
      </c>
      <c r="AX250" s="177"/>
      <c r="BA250" s="469">
        <f t="shared" si="471"/>
        <v>99.208085235696529</v>
      </c>
      <c r="BB250" s="469">
        <f t="shared" si="472"/>
        <v>1.7132702533120001</v>
      </c>
      <c r="BC250" s="5">
        <f t="shared" si="442"/>
        <v>0.1584716667052333</v>
      </c>
      <c r="BD250" s="469">
        <f t="shared" si="473"/>
        <v>0</v>
      </c>
      <c r="BQ250" s="538">
        <f t="shared" si="474"/>
        <v>0.12988</v>
      </c>
      <c r="CG250" s="571">
        <f t="shared" si="475"/>
        <v>-50</v>
      </c>
      <c r="CH250">
        <f t="shared" si="476"/>
        <v>-50</v>
      </c>
    </row>
    <row r="251" spans="5:86" x14ac:dyDescent="0.2">
      <c r="E251" s="174">
        <v>35</v>
      </c>
      <c r="F251" s="221">
        <f t="shared" si="477"/>
        <v>0.35</v>
      </c>
      <c r="G251" s="221"/>
      <c r="H251" s="221">
        <f t="shared" si="443"/>
        <v>1.75</v>
      </c>
      <c r="I251" s="551">
        <f t="shared" si="444"/>
        <v>25</v>
      </c>
      <c r="J251" s="451">
        <f t="shared" si="445"/>
        <v>10.64</v>
      </c>
      <c r="K251" s="451">
        <f t="shared" si="446"/>
        <v>35.64</v>
      </c>
      <c r="L251" s="451"/>
      <c r="M251" s="221">
        <f t="shared" si="447"/>
        <v>0.2985409652076319</v>
      </c>
      <c r="N251" s="176">
        <f t="shared" si="448"/>
        <v>14.130050505050503</v>
      </c>
      <c r="O251" s="176">
        <f t="shared" si="363"/>
        <v>1.75</v>
      </c>
      <c r="P251" s="221">
        <f t="shared" si="449"/>
        <v>2.8260101010101009</v>
      </c>
      <c r="Q251" s="221">
        <f t="shared" si="450"/>
        <v>5</v>
      </c>
      <c r="R251" s="221"/>
      <c r="S251" s="176">
        <f t="shared" si="451"/>
        <v>119.31914815800096</v>
      </c>
      <c r="T251" s="176">
        <f t="shared" si="452"/>
        <v>5</v>
      </c>
      <c r="U251" s="221">
        <f t="shared" si="453"/>
        <v>0.52105263157894732</v>
      </c>
      <c r="V251" s="221">
        <f t="shared" si="454"/>
        <v>0.14589473684210524</v>
      </c>
      <c r="W251" s="221">
        <f t="shared" si="455"/>
        <v>0.34279778393351795</v>
      </c>
      <c r="X251" s="201">
        <f t="shared" si="456"/>
        <v>350</v>
      </c>
      <c r="Y251" s="451">
        <f t="shared" si="418"/>
        <v>350</v>
      </c>
      <c r="AA251" s="221">
        <f t="shared" si="457"/>
        <v>3.0463363796697127</v>
      </c>
      <c r="AB251" s="177">
        <f t="shared" si="458"/>
        <v>2.004168670835337</v>
      </c>
      <c r="AC251" s="177">
        <f t="shared" si="459"/>
        <v>2.136880176535993</v>
      </c>
      <c r="AD251" s="177"/>
      <c r="AE251" s="177">
        <f t="shared" si="460"/>
        <v>0.53947368421052622</v>
      </c>
      <c r="AF251" s="555">
        <f t="shared" si="461"/>
        <v>791.19571683521724</v>
      </c>
      <c r="AG251" s="538">
        <f t="shared" si="462"/>
        <v>0.15482894736842101</v>
      </c>
      <c r="AI251" s="177">
        <f t="shared" si="463"/>
        <v>1.2328828005937953</v>
      </c>
      <c r="AJ251" s="177">
        <f t="shared" si="464"/>
        <v>1.2328828005937953</v>
      </c>
      <c r="AK251" s="177">
        <f t="shared" si="465"/>
        <v>1.4752552003958637</v>
      </c>
      <c r="AM251" s="555">
        <f t="shared" si="466"/>
        <v>350</v>
      </c>
      <c r="AN251" s="469">
        <f t="shared" si="467"/>
        <v>350</v>
      </c>
      <c r="AP251">
        <f t="shared" si="468"/>
        <v>350</v>
      </c>
      <c r="AQ251">
        <f t="shared" si="469"/>
        <v>350</v>
      </c>
      <c r="AS251" s="5">
        <f t="shared" si="364"/>
        <v>2.8571428571428572</v>
      </c>
      <c r="AT251" s="5">
        <f t="shared" si="470"/>
        <v>0.34520718416626267</v>
      </c>
      <c r="AU251" s="5">
        <f t="shared" si="440"/>
        <v>2.5119356729765947</v>
      </c>
      <c r="AV251" s="5"/>
      <c r="AW251" s="177">
        <f t="shared" si="441"/>
        <v>0.12082251445819193</v>
      </c>
      <c r="AX251" s="177"/>
      <c r="BA251" s="469">
        <f t="shared" si="471"/>
        <v>99.208085235696529</v>
      </c>
      <c r="BB251" s="469">
        <f t="shared" si="472"/>
        <v>1.7846505711999998</v>
      </c>
      <c r="BC251" s="5">
        <f t="shared" si="442"/>
        <v>0.16281064547070517</v>
      </c>
      <c r="BD251" s="469">
        <f t="shared" si="473"/>
        <v>0</v>
      </c>
      <c r="BQ251" s="538">
        <f t="shared" si="474"/>
        <v>0.13369999999999999</v>
      </c>
      <c r="CG251" s="571">
        <f t="shared" si="475"/>
        <v>-50</v>
      </c>
      <c r="CH251">
        <f t="shared" si="476"/>
        <v>-50</v>
      </c>
    </row>
    <row r="252" spans="5:86" x14ac:dyDescent="0.2">
      <c r="E252" s="174">
        <v>36</v>
      </c>
      <c r="F252" s="221">
        <f t="shared" si="477"/>
        <v>0.36</v>
      </c>
      <c r="G252" s="221"/>
      <c r="H252" s="221">
        <f t="shared" si="443"/>
        <v>1.7999999999999998</v>
      </c>
      <c r="I252" s="551">
        <f t="shared" si="444"/>
        <v>25</v>
      </c>
      <c r="J252" s="451">
        <f t="shared" si="445"/>
        <v>10.64</v>
      </c>
      <c r="K252" s="451">
        <f t="shared" si="446"/>
        <v>35.64</v>
      </c>
      <c r="L252" s="451"/>
      <c r="M252" s="221">
        <f t="shared" si="447"/>
        <v>0.2985409652076319</v>
      </c>
      <c r="N252" s="176">
        <f t="shared" si="448"/>
        <v>14.130050505050503</v>
      </c>
      <c r="O252" s="176">
        <f t="shared" si="363"/>
        <v>1.7999999999999998</v>
      </c>
      <c r="P252" s="221">
        <f t="shared" si="449"/>
        <v>2.8260101010101009</v>
      </c>
      <c r="Q252" s="221">
        <f t="shared" si="450"/>
        <v>5</v>
      </c>
      <c r="R252" s="221"/>
      <c r="S252" s="176">
        <f t="shared" si="451"/>
        <v>115.65948885694725</v>
      </c>
      <c r="T252" s="176">
        <f t="shared" si="452"/>
        <v>5</v>
      </c>
      <c r="U252" s="221">
        <f t="shared" si="453"/>
        <v>0.53593984962406005</v>
      </c>
      <c r="V252" s="221">
        <f t="shared" si="454"/>
        <v>0.15006315789473681</v>
      </c>
      <c r="W252" s="221">
        <f t="shared" si="455"/>
        <v>0.35259200633161841</v>
      </c>
      <c r="X252" s="201">
        <f t="shared" si="456"/>
        <v>350</v>
      </c>
      <c r="Y252" s="451">
        <f t="shared" si="418"/>
        <v>350</v>
      </c>
      <c r="AA252" s="221">
        <f t="shared" si="457"/>
        <v>3.0463363796697127</v>
      </c>
      <c r="AB252" s="177">
        <f t="shared" si="458"/>
        <v>2.004168670835337</v>
      </c>
      <c r="AC252" s="177">
        <f t="shared" si="459"/>
        <v>2.136880176535993</v>
      </c>
      <c r="AD252" s="177"/>
      <c r="AE252" s="177">
        <f t="shared" si="460"/>
        <v>0.53947368421052622</v>
      </c>
      <c r="AF252" s="555">
        <f t="shared" si="461"/>
        <v>813.80130874479494</v>
      </c>
      <c r="AG252" s="538">
        <f t="shared" si="462"/>
        <v>0.15482894736842101</v>
      </c>
      <c r="AI252" s="177">
        <f t="shared" si="463"/>
        <v>1.2503713734041466</v>
      </c>
      <c r="AJ252" s="177">
        <f t="shared" si="464"/>
        <v>1.2503713734041466</v>
      </c>
      <c r="AK252" s="177">
        <f t="shared" si="465"/>
        <v>1.4869142489360978</v>
      </c>
      <c r="AM252" s="555">
        <f t="shared" si="466"/>
        <v>360</v>
      </c>
      <c r="AN252" s="469">
        <f t="shared" si="467"/>
        <v>350</v>
      </c>
      <c r="AP252">
        <f t="shared" si="468"/>
        <v>360</v>
      </c>
      <c r="AQ252">
        <f t="shared" si="469"/>
        <v>350</v>
      </c>
      <c r="AS252" s="5">
        <f t="shared" si="364"/>
        <v>2.8571428571428572</v>
      </c>
      <c r="AT252" s="5">
        <f t="shared" si="470"/>
        <v>0.35010398455316105</v>
      </c>
      <c r="AU252" s="5">
        <f t="shared" si="440"/>
        <v>2.5070388725896962</v>
      </c>
      <c r="AV252" s="5"/>
      <c r="AW252" s="177">
        <f t="shared" si="441"/>
        <v>0.12253639459360637</v>
      </c>
      <c r="AX252" s="177"/>
      <c r="BA252" s="469">
        <f t="shared" si="471"/>
        <v>99.208085235696529</v>
      </c>
      <c r="BB252" s="469">
        <f t="shared" si="472"/>
        <v>1.8572303185919998</v>
      </c>
      <c r="BC252" s="5">
        <f t="shared" si="442"/>
        <v>0.16713592483931303</v>
      </c>
      <c r="BD252" s="469">
        <f t="shared" si="473"/>
        <v>0</v>
      </c>
      <c r="BQ252" s="538">
        <f t="shared" si="474"/>
        <v>0.13751999999999998</v>
      </c>
      <c r="CG252" s="571">
        <f t="shared" si="475"/>
        <v>-50</v>
      </c>
      <c r="CH252">
        <f t="shared" si="476"/>
        <v>-50</v>
      </c>
    </row>
    <row r="253" spans="5:86" x14ac:dyDescent="0.2">
      <c r="E253" s="174">
        <v>37</v>
      </c>
      <c r="F253" s="221">
        <f t="shared" si="477"/>
        <v>0.37</v>
      </c>
      <c r="G253" s="221"/>
      <c r="H253" s="221">
        <f t="shared" si="443"/>
        <v>1.85</v>
      </c>
      <c r="I253" s="551">
        <f t="shared" si="444"/>
        <v>25</v>
      </c>
      <c r="J253" s="451">
        <f t="shared" si="445"/>
        <v>10.64</v>
      </c>
      <c r="K253" s="451">
        <f t="shared" si="446"/>
        <v>35.64</v>
      </c>
      <c r="L253" s="451"/>
      <c r="M253" s="221">
        <f t="shared" si="447"/>
        <v>0.2985409652076319</v>
      </c>
      <c r="N253" s="176">
        <f t="shared" si="448"/>
        <v>14.130050505050503</v>
      </c>
      <c r="O253" s="176">
        <f t="shared" si="363"/>
        <v>1.85</v>
      </c>
      <c r="P253" s="221">
        <f t="shared" si="449"/>
        <v>2.8260101010101009</v>
      </c>
      <c r="Q253" s="221">
        <f t="shared" si="450"/>
        <v>5</v>
      </c>
      <c r="R253" s="221"/>
      <c r="S253" s="176">
        <f t="shared" si="451"/>
        <v>112.19771212069409</v>
      </c>
      <c r="T253" s="176">
        <f t="shared" si="452"/>
        <v>5</v>
      </c>
      <c r="U253" s="221">
        <f t="shared" si="453"/>
        <v>0.55082706766917289</v>
      </c>
      <c r="V253" s="221">
        <f t="shared" si="454"/>
        <v>0.15423157894736839</v>
      </c>
      <c r="W253" s="221">
        <f t="shared" si="455"/>
        <v>0.36238622872971898</v>
      </c>
      <c r="X253" s="201">
        <f t="shared" si="456"/>
        <v>350</v>
      </c>
      <c r="Y253" s="451">
        <f t="shared" si="418"/>
        <v>350</v>
      </c>
      <c r="AA253" s="221">
        <f t="shared" si="457"/>
        <v>3.0463363796697127</v>
      </c>
      <c r="AB253" s="177">
        <f t="shared" si="458"/>
        <v>2.004168670835337</v>
      </c>
      <c r="AC253" s="177">
        <f t="shared" si="459"/>
        <v>2.136880176535993</v>
      </c>
      <c r="AD253" s="177"/>
      <c r="AE253" s="177">
        <f t="shared" si="460"/>
        <v>0.53947368421052622</v>
      </c>
      <c r="AF253" s="555">
        <f t="shared" si="461"/>
        <v>836.40690065437252</v>
      </c>
      <c r="AG253" s="538">
        <f t="shared" si="462"/>
        <v>0.15482894736842101</v>
      </c>
      <c r="AI253" s="177">
        <f t="shared" si="463"/>
        <v>1.2676186898500443</v>
      </c>
      <c r="AJ253" s="177">
        <f t="shared" si="464"/>
        <v>1.2676186898500443</v>
      </c>
      <c r="AK253" s="177">
        <f t="shared" si="465"/>
        <v>1.4984124599000297</v>
      </c>
      <c r="AM253" s="555">
        <f t="shared" si="466"/>
        <v>370</v>
      </c>
      <c r="AN253" s="469">
        <f t="shared" si="467"/>
        <v>350</v>
      </c>
      <c r="AP253">
        <f t="shared" si="468"/>
        <v>370</v>
      </c>
      <c r="AQ253">
        <f t="shared" si="469"/>
        <v>350</v>
      </c>
      <c r="AS253" s="5">
        <f t="shared" si="364"/>
        <v>2.8571428571428572</v>
      </c>
      <c r="AT253" s="5">
        <f t="shared" si="470"/>
        <v>0.35493323315801245</v>
      </c>
      <c r="AU253" s="5">
        <f t="shared" si="440"/>
        <v>2.5022096239848448</v>
      </c>
      <c r="AV253" s="5"/>
      <c r="AW253" s="177">
        <f t="shared" si="441"/>
        <v>0.12422663160530435</v>
      </c>
      <c r="AX253" s="177"/>
      <c r="BA253" s="469">
        <f t="shared" si="471"/>
        <v>99.208085235696529</v>
      </c>
      <c r="BB253" s="469">
        <f t="shared" si="472"/>
        <v>1.9310094954879999</v>
      </c>
      <c r="BC253" s="5">
        <f t="shared" si="442"/>
        <v>0.17144769645822086</v>
      </c>
      <c r="BD253" s="469">
        <f t="shared" si="473"/>
        <v>0</v>
      </c>
      <c r="BQ253" s="538">
        <f t="shared" si="474"/>
        <v>0.14133999999999999</v>
      </c>
      <c r="CG253" s="571">
        <f t="shared" si="475"/>
        <v>-50</v>
      </c>
      <c r="CH253">
        <f t="shared" si="476"/>
        <v>-50</v>
      </c>
    </row>
    <row r="254" spans="5:86" x14ac:dyDescent="0.2">
      <c r="E254" s="174">
        <v>38</v>
      </c>
      <c r="F254" s="221">
        <f t="shared" si="477"/>
        <v>0.38</v>
      </c>
      <c r="G254" s="221"/>
      <c r="H254" s="221">
        <f t="shared" si="443"/>
        <v>1.9</v>
      </c>
      <c r="I254" s="551">
        <f t="shared" si="444"/>
        <v>25</v>
      </c>
      <c r="J254" s="451">
        <f t="shared" si="445"/>
        <v>10.64</v>
      </c>
      <c r="K254" s="451">
        <f t="shared" si="446"/>
        <v>35.64</v>
      </c>
      <c r="L254" s="451"/>
      <c r="M254" s="221">
        <f t="shared" si="447"/>
        <v>0.2985409652076319</v>
      </c>
      <c r="N254" s="176">
        <f t="shared" si="448"/>
        <v>14.130050505050503</v>
      </c>
      <c r="O254" s="176">
        <f t="shared" si="363"/>
        <v>1.9</v>
      </c>
      <c r="P254" s="221">
        <f t="shared" si="449"/>
        <v>2.8260101010101009</v>
      </c>
      <c r="Q254" s="221">
        <f t="shared" si="450"/>
        <v>5</v>
      </c>
      <c r="R254" s="221"/>
      <c r="S254" s="176">
        <f t="shared" si="451"/>
        <v>108.91819617595719</v>
      </c>
      <c r="T254" s="176">
        <f t="shared" si="452"/>
        <v>5</v>
      </c>
      <c r="U254" s="221">
        <f t="shared" si="453"/>
        <v>0.56571428571428561</v>
      </c>
      <c r="V254" s="221">
        <f t="shared" si="454"/>
        <v>0.15839999999999996</v>
      </c>
      <c r="W254" s="221">
        <f t="shared" si="455"/>
        <v>0.3721804511278195</v>
      </c>
      <c r="X254" s="201">
        <f t="shared" si="456"/>
        <v>350</v>
      </c>
      <c r="Y254" s="451">
        <f t="shared" si="418"/>
        <v>350</v>
      </c>
      <c r="AA254" s="221">
        <f t="shared" si="457"/>
        <v>3.0463363796697127</v>
      </c>
      <c r="AB254" s="177">
        <f t="shared" si="458"/>
        <v>2.004168670835337</v>
      </c>
      <c r="AC254" s="177">
        <f t="shared" si="459"/>
        <v>2.136880176535993</v>
      </c>
      <c r="AD254" s="177"/>
      <c r="AE254" s="177">
        <f t="shared" si="460"/>
        <v>0.53947368421052622</v>
      </c>
      <c r="AF254" s="555">
        <f t="shared" si="461"/>
        <v>859.0124925639501</v>
      </c>
      <c r="AG254" s="538">
        <f t="shared" si="462"/>
        <v>0.15482894736842101</v>
      </c>
      <c r="AI254" s="177">
        <f t="shared" si="463"/>
        <v>1.2846344671873453</v>
      </c>
      <c r="AJ254" s="177">
        <f t="shared" si="464"/>
        <v>1.2846344671873453</v>
      </c>
      <c r="AK254" s="177">
        <f t="shared" si="465"/>
        <v>1.5097563114582302</v>
      </c>
      <c r="AM254" s="555">
        <f t="shared" si="466"/>
        <v>380</v>
      </c>
      <c r="AN254" s="469">
        <f t="shared" si="467"/>
        <v>350</v>
      </c>
      <c r="AP254">
        <f t="shared" si="468"/>
        <v>380</v>
      </c>
      <c r="AQ254">
        <f t="shared" si="469"/>
        <v>350</v>
      </c>
      <c r="AS254" s="5">
        <f t="shared" si="364"/>
        <v>2.8571428571428572</v>
      </c>
      <c r="AT254" s="5">
        <f t="shared" si="470"/>
        <v>0.35969765081245664</v>
      </c>
      <c r="AU254" s="5">
        <f t="shared" si="440"/>
        <v>2.4974452063304007</v>
      </c>
      <c r="AV254" s="5"/>
      <c r="AW254" s="177">
        <f t="shared" si="441"/>
        <v>0.12589417778435982</v>
      </c>
      <c r="AX254" s="177"/>
      <c r="BA254" s="469">
        <f t="shared" si="471"/>
        <v>99.208085235696529</v>
      </c>
      <c r="BB254" s="469">
        <f t="shared" si="472"/>
        <v>2.0059881018880001</v>
      </c>
      <c r="BC254" s="5">
        <f t="shared" si="442"/>
        <v>0.17574614414917633</v>
      </c>
      <c r="BD254" s="469">
        <f t="shared" si="473"/>
        <v>0</v>
      </c>
      <c r="BQ254" s="538">
        <f t="shared" si="474"/>
        <v>0.14516000000000001</v>
      </c>
      <c r="CG254" s="571">
        <f t="shared" si="475"/>
        <v>-50</v>
      </c>
      <c r="CH254">
        <f t="shared" si="476"/>
        <v>-50</v>
      </c>
    </row>
    <row r="255" spans="5:86" x14ac:dyDescent="0.2">
      <c r="E255" s="174">
        <v>39</v>
      </c>
      <c r="F255" s="221">
        <f t="shared" si="477"/>
        <v>0.39</v>
      </c>
      <c r="G255" s="221"/>
      <c r="H255" s="221">
        <f t="shared" si="443"/>
        <v>1.9500000000000002</v>
      </c>
      <c r="I255" s="551">
        <f t="shared" si="444"/>
        <v>25</v>
      </c>
      <c r="J255" s="451">
        <f t="shared" si="445"/>
        <v>10.64</v>
      </c>
      <c r="K255" s="451">
        <f t="shared" si="446"/>
        <v>35.64</v>
      </c>
      <c r="L255" s="451"/>
      <c r="M255" s="221">
        <f t="shared" si="447"/>
        <v>0.2985409652076319</v>
      </c>
      <c r="N255" s="176">
        <f t="shared" si="448"/>
        <v>14.130050505050503</v>
      </c>
      <c r="O255" s="176">
        <f t="shared" si="363"/>
        <v>1.9500000000000002</v>
      </c>
      <c r="P255" s="221">
        <f t="shared" si="449"/>
        <v>2.8260101010101009</v>
      </c>
      <c r="Q255" s="221">
        <f t="shared" si="450"/>
        <v>5</v>
      </c>
      <c r="R255" s="221"/>
      <c r="S255" s="176">
        <f t="shared" si="451"/>
        <v>105.80692148845544</v>
      </c>
      <c r="T255" s="176">
        <f t="shared" si="452"/>
        <v>5</v>
      </c>
      <c r="U255" s="221">
        <f t="shared" si="453"/>
        <v>0.58060150375939845</v>
      </c>
      <c r="V255" s="221">
        <f t="shared" si="454"/>
        <v>0.16256842105263158</v>
      </c>
      <c r="W255" s="221">
        <f t="shared" si="455"/>
        <v>0.38197467352592002</v>
      </c>
      <c r="X255" s="201">
        <f t="shared" si="456"/>
        <v>350</v>
      </c>
      <c r="Y255" s="451">
        <f t="shared" si="418"/>
        <v>350</v>
      </c>
      <c r="AA255" s="221">
        <f t="shared" si="457"/>
        <v>3.0463363796697127</v>
      </c>
      <c r="AB255" s="177">
        <f t="shared" si="458"/>
        <v>2.004168670835337</v>
      </c>
      <c r="AC255" s="177">
        <f t="shared" si="459"/>
        <v>2.136880176535993</v>
      </c>
      <c r="AD255" s="177"/>
      <c r="AE255" s="177">
        <f t="shared" si="460"/>
        <v>0.53947368421052622</v>
      </c>
      <c r="AF255" s="555">
        <f t="shared" si="461"/>
        <v>881.6180844735278</v>
      </c>
      <c r="AG255" s="538">
        <f t="shared" si="462"/>
        <v>0.15482894736842101</v>
      </c>
      <c r="AI255" s="177">
        <f t="shared" si="463"/>
        <v>1.3014277873605919</v>
      </c>
      <c r="AJ255" s="177">
        <f t="shared" si="464"/>
        <v>1.3014277873605919</v>
      </c>
      <c r="AK255" s="177">
        <f t="shared" si="465"/>
        <v>1.5209518582403947</v>
      </c>
      <c r="AM255" s="555">
        <f t="shared" si="466"/>
        <v>390</v>
      </c>
      <c r="AN255" s="469">
        <f t="shared" si="467"/>
        <v>350</v>
      </c>
      <c r="AP255">
        <f t="shared" si="468"/>
        <v>390</v>
      </c>
      <c r="AQ255">
        <f t="shared" si="469"/>
        <v>350</v>
      </c>
      <c r="AS255" s="5">
        <f t="shared" si="364"/>
        <v>2.8571428571428572</v>
      </c>
      <c r="AT255" s="5">
        <f t="shared" si="470"/>
        <v>0.36439978046096572</v>
      </c>
      <c r="AU255" s="5">
        <f t="shared" si="440"/>
        <v>2.4927430766818914</v>
      </c>
      <c r="AV255" s="5"/>
      <c r="AW255" s="177">
        <f t="shared" si="441"/>
        <v>0.127539923161338</v>
      </c>
      <c r="AX255" s="177"/>
      <c r="BA255" s="469">
        <f t="shared" si="471"/>
        <v>99.208085235696529</v>
      </c>
      <c r="BB255" s="469">
        <f t="shared" si="472"/>
        <v>2.082166137792</v>
      </c>
      <c r="BC255" s="5">
        <f t="shared" si="442"/>
        <v>0.18003144442702551</v>
      </c>
      <c r="BD255" s="469">
        <f t="shared" si="473"/>
        <v>0</v>
      </c>
      <c r="BQ255" s="538">
        <f t="shared" si="474"/>
        <v>0.14898000000000003</v>
      </c>
      <c r="CG255" s="571">
        <f t="shared" si="475"/>
        <v>-50</v>
      </c>
      <c r="CH255">
        <f t="shared" si="476"/>
        <v>-50</v>
      </c>
    </row>
    <row r="256" spans="5:86" x14ac:dyDescent="0.2">
      <c r="E256" s="174">
        <v>40</v>
      </c>
      <c r="F256" s="221">
        <f t="shared" si="477"/>
        <v>0.4</v>
      </c>
      <c r="G256" s="221"/>
      <c r="H256" s="221">
        <f t="shared" si="443"/>
        <v>2</v>
      </c>
      <c r="I256" s="551">
        <f t="shared" si="444"/>
        <v>25</v>
      </c>
      <c r="J256" s="451">
        <f t="shared" si="445"/>
        <v>10.64</v>
      </c>
      <c r="K256" s="451">
        <f t="shared" si="446"/>
        <v>35.64</v>
      </c>
      <c r="L256" s="451"/>
      <c r="M256" s="221">
        <f t="shared" si="447"/>
        <v>0.2985409652076319</v>
      </c>
      <c r="N256" s="176">
        <f t="shared" si="448"/>
        <v>14.130050505050503</v>
      </c>
      <c r="O256" s="176">
        <f t="shared" si="363"/>
        <v>2</v>
      </c>
      <c r="P256" s="221">
        <f t="shared" si="449"/>
        <v>2.8260101010101009</v>
      </c>
      <c r="Q256" s="221">
        <f t="shared" si="450"/>
        <v>5</v>
      </c>
      <c r="R256" s="221"/>
      <c r="S256" s="176">
        <f t="shared" si="451"/>
        <v>102.85127048311286</v>
      </c>
      <c r="T256" s="176">
        <f t="shared" si="452"/>
        <v>5</v>
      </c>
      <c r="U256" s="221">
        <f t="shared" si="453"/>
        <v>0.59548872180451118</v>
      </c>
      <c r="V256" s="221">
        <f t="shared" si="454"/>
        <v>0.16673684210526316</v>
      </c>
      <c r="W256" s="221">
        <f t="shared" si="455"/>
        <v>0.39176889592402053</v>
      </c>
      <c r="X256" s="201">
        <f t="shared" si="456"/>
        <v>350</v>
      </c>
      <c r="Y256" s="451">
        <f t="shared" si="418"/>
        <v>350</v>
      </c>
      <c r="AA256" s="221">
        <f t="shared" si="457"/>
        <v>3.0463363796697127</v>
      </c>
      <c r="AB256" s="177">
        <f t="shared" si="458"/>
        <v>2.004168670835337</v>
      </c>
      <c r="AC256" s="177">
        <f t="shared" si="459"/>
        <v>2.136880176535993</v>
      </c>
      <c r="AD256" s="177"/>
      <c r="AE256" s="177">
        <f t="shared" si="460"/>
        <v>0.53947368421052622</v>
      </c>
      <c r="AF256" s="555">
        <f t="shared" si="461"/>
        <v>904.2236763831055</v>
      </c>
      <c r="AG256" s="538">
        <f t="shared" si="462"/>
        <v>0.15482894736842101</v>
      </c>
      <c r="AI256" s="177">
        <f t="shared" si="463"/>
        <v>1.3180071536766624</v>
      </c>
      <c r="AJ256" s="177">
        <f t="shared" si="464"/>
        <v>1.3180071536766624</v>
      </c>
      <c r="AK256" s="177">
        <f t="shared" si="465"/>
        <v>1.5320047691177749</v>
      </c>
      <c r="AM256" s="555">
        <f t="shared" si="466"/>
        <v>400</v>
      </c>
      <c r="AN256" s="469">
        <f t="shared" si="467"/>
        <v>350</v>
      </c>
      <c r="AP256">
        <f t="shared" si="468"/>
        <v>400</v>
      </c>
      <c r="AQ256">
        <f t="shared" si="469"/>
        <v>350</v>
      </c>
      <c r="AS256" s="5">
        <f t="shared" si="364"/>
        <v>2.8571428571428572</v>
      </c>
      <c r="AT256" s="5">
        <f t="shared" si="470"/>
        <v>0.36904200302946549</v>
      </c>
      <c r="AU256" s="5">
        <f t="shared" si="440"/>
        <v>2.4881008541133918</v>
      </c>
      <c r="AV256" s="5"/>
      <c r="AW256" s="177">
        <f t="shared" si="441"/>
        <v>0.12916470106031291</v>
      </c>
      <c r="AX256" s="177"/>
      <c r="BA256" s="469">
        <f t="shared" si="471"/>
        <v>99.208085235696529</v>
      </c>
      <c r="BB256" s="469">
        <f t="shared" si="472"/>
        <v>2.1595436032000004</v>
      </c>
      <c r="BC256" s="5">
        <f t="shared" si="442"/>
        <v>0.18430376697136233</v>
      </c>
      <c r="BD256" s="469">
        <f t="shared" si="473"/>
        <v>0</v>
      </c>
      <c r="BQ256" s="538">
        <f t="shared" si="474"/>
        <v>0.15280000000000002</v>
      </c>
      <c r="CG256" s="571">
        <f t="shared" si="475"/>
        <v>-50</v>
      </c>
      <c r="CH256">
        <f t="shared" si="476"/>
        <v>-50</v>
      </c>
    </row>
    <row r="257" spans="5:86" x14ac:dyDescent="0.2">
      <c r="E257" s="174">
        <v>41</v>
      </c>
      <c r="F257" s="221">
        <f t="shared" si="477"/>
        <v>0.41</v>
      </c>
      <c r="G257" s="221"/>
      <c r="H257" s="221">
        <f t="shared" si="443"/>
        <v>2.0499999999999998</v>
      </c>
      <c r="I257" s="551">
        <f t="shared" si="444"/>
        <v>25</v>
      </c>
      <c r="J257" s="451">
        <f t="shared" si="445"/>
        <v>10.64</v>
      </c>
      <c r="K257" s="451">
        <f t="shared" si="446"/>
        <v>35.64</v>
      </c>
      <c r="L257" s="451"/>
      <c r="M257" s="221">
        <f t="shared" si="447"/>
        <v>0.2985409652076319</v>
      </c>
      <c r="N257" s="176">
        <f t="shared" si="448"/>
        <v>14.130050505050503</v>
      </c>
      <c r="O257" s="176">
        <f t="shared" si="363"/>
        <v>2.0499999999999998</v>
      </c>
      <c r="P257" s="221">
        <f t="shared" si="449"/>
        <v>2.8260101010101009</v>
      </c>
      <c r="Q257" s="221">
        <f t="shared" si="450"/>
        <v>5</v>
      </c>
      <c r="R257" s="221"/>
      <c r="S257" s="176">
        <f t="shared" si="451"/>
        <v>100.03985657350029</v>
      </c>
      <c r="T257" s="176">
        <f t="shared" si="452"/>
        <v>5</v>
      </c>
      <c r="U257" s="221">
        <f t="shared" si="453"/>
        <v>0.61037593984962391</v>
      </c>
      <c r="V257" s="221">
        <f t="shared" si="454"/>
        <v>0.17090526315789467</v>
      </c>
      <c r="W257" s="221">
        <f t="shared" si="455"/>
        <v>0.40156311832212094</v>
      </c>
      <c r="X257" s="201">
        <f t="shared" si="456"/>
        <v>350</v>
      </c>
      <c r="Y257" s="451">
        <f t="shared" si="418"/>
        <v>350</v>
      </c>
      <c r="AA257" s="221">
        <f t="shared" si="457"/>
        <v>3.0463363796697127</v>
      </c>
      <c r="AB257" s="177">
        <f t="shared" si="458"/>
        <v>2.004168670835337</v>
      </c>
      <c r="AC257" s="177">
        <f t="shared" si="459"/>
        <v>2.136880176535993</v>
      </c>
      <c r="AD257" s="177"/>
      <c r="AE257" s="177">
        <f t="shared" si="460"/>
        <v>0.53947368421052622</v>
      </c>
      <c r="AF257" s="555">
        <f t="shared" si="461"/>
        <v>926.82926829268308</v>
      </c>
      <c r="AG257" s="538">
        <f t="shared" si="462"/>
        <v>0.15482894736842101</v>
      </c>
      <c r="AI257" s="177">
        <f t="shared" si="463"/>
        <v>1.3343805411393814</v>
      </c>
      <c r="AJ257" s="177">
        <f t="shared" si="464"/>
        <v>1.3343805411393814</v>
      </c>
      <c r="AK257" s="177">
        <f t="shared" si="465"/>
        <v>1.5429203607595876</v>
      </c>
      <c r="AM257" s="555">
        <f t="shared" si="466"/>
        <v>410</v>
      </c>
      <c r="AN257" s="469">
        <f t="shared" si="467"/>
        <v>350</v>
      </c>
      <c r="AP257">
        <f t="shared" si="468"/>
        <v>410</v>
      </c>
      <c r="AQ257">
        <f t="shared" si="469"/>
        <v>350</v>
      </c>
      <c r="AS257" s="5">
        <f t="shared" si="364"/>
        <v>2.8571428571428572</v>
      </c>
      <c r="AT257" s="5">
        <f t="shared" si="470"/>
        <v>0.37362655151902679</v>
      </c>
      <c r="AU257" s="5">
        <f t="shared" si="440"/>
        <v>2.4835163056238305</v>
      </c>
      <c r="AV257" s="5"/>
      <c r="AW257" s="177">
        <f t="shared" si="441"/>
        <v>0.13076929303165938</v>
      </c>
      <c r="AX257" s="177"/>
      <c r="BA257" s="469">
        <f t="shared" si="471"/>
        <v>99.208085235696529</v>
      </c>
      <c r="BB257" s="469">
        <f t="shared" si="472"/>
        <v>2.238120498112</v>
      </c>
      <c r="BC257" s="5">
        <f t="shared" si="442"/>
        <v>0.1885632750566241</v>
      </c>
      <c r="BD257" s="469">
        <f t="shared" si="473"/>
        <v>0</v>
      </c>
      <c r="BQ257" s="538">
        <f t="shared" si="474"/>
        <v>0.15662000000000001</v>
      </c>
      <c r="CG257" s="571">
        <f t="shared" si="475"/>
        <v>-50</v>
      </c>
      <c r="CH257">
        <f t="shared" si="476"/>
        <v>-50</v>
      </c>
    </row>
    <row r="258" spans="5:86" x14ac:dyDescent="0.2">
      <c r="E258" s="174">
        <v>42</v>
      </c>
      <c r="F258" s="221">
        <f t="shared" si="477"/>
        <v>0.42</v>
      </c>
      <c r="G258" s="221"/>
      <c r="H258" s="221">
        <f t="shared" si="443"/>
        <v>2.1</v>
      </c>
      <c r="I258" s="551">
        <f t="shared" si="444"/>
        <v>25</v>
      </c>
      <c r="J258" s="451">
        <f t="shared" si="445"/>
        <v>10.64</v>
      </c>
      <c r="K258" s="451">
        <f t="shared" si="446"/>
        <v>35.64</v>
      </c>
      <c r="L258" s="451"/>
      <c r="M258" s="221">
        <f t="shared" si="447"/>
        <v>0.2985409652076319</v>
      </c>
      <c r="N258" s="176">
        <f t="shared" si="448"/>
        <v>14.130050505050503</v>
      </c>
      <c r="O258" s="176">
        <f t="shared" si="363"/>
        <v>2.1</v>
      </c>
      <c r="P258" s="221">
        <f t="shared" si="449"/>
        <v>2.8260101010101009</v>
      </c>
      <c r="Q258" s="221">
        <f t="shared" si="450"/>
        <v>5</v>
      </c>
      <c r="R258" s="221"/>
      <c r="S258" s="176">
        <f t="shared" si="451"/>
        <v>97.362377615643481</v>
      </c>
      <c r="T258" s="176">
        <f t="shared" si="452"/>
        <v>5</v>
      </c>
      <c r="U258" s="221">
        <f t="shared" si="453"/>
        <v>0.62526315789473674</v>
      </c>
      <c r="V258" s="221">
        <f t="shared" si="454"/>
        <v>0.17507368421052627</v>
      </c>
      <c r="W258" s="221">
        <f t="shared" si="455"/>
        <v>0.41135734072022151</v>
      </c>
      <c r="X258" s="201">
        <f t="shared" si="456"/>
        <v>350</v>
      </c>
      <c r="Y258" s="451">
        <f t="shared" si="418"/>
        <v>350</v>
      </c>
      <c r="AA258" s="221">
        <f t="shared" si="457"/>
        <v>3.0463363796697127</v>
      </c>
      <c r="AB258" s="177">
        <f t="shared" si="458"/>
        <v>2.004168670835337</v>
      </c>
      <c r="AC258" s="177">
        <f t="shared" si="459"/>
        <v>2.136880176535993</v>
      </c>
      <c r="AD258" s="177"/>
      <c r="AE258" s="177">
        <f t="shared" si="460"/>
        <v>0.53947368421052622</v>
      </c>
      <c r="AF258" s="555">
        <f t="shared" si="461"/>
        <v>949.43486020226067</v>
      </c>
      <c r="AG258" s="538">
        <f t="shared" si="462"/>
        <v>0.15482894736842101</v>
      </c>
      <c r="AI258" s="177">
        <f t="shared" si="463"/>
        <v>1.3505554412907306</v>
      </c>
      <c r="AJ258" s="177">
        <f t="shared" si="464"/>
        <v>1.3505554412907306</v>
      </c>
      <c r="AK258" s="177">
        <f t="shared" si="465"/>
        <v>1.5537036275271539</v>
      </c>
      <c r="AM258" s="555">
        <f t="shared" si="466"/>
        <v>420</v>
      </c>
      <c r="AN258" s="469">
        <f t="shared" si="467"/>
        <v>350</v>
      </c>
      <c r="AP258">
        <f t="shared" si="468"/>
        <v>420</v>
      </c>
      <c r="AQ258">
        <f t="shared" si="469"/>
        <v>350</v>
      </c>
      <c r="AS258" s="5">
        <f t="shared" si="364"/>
        <v>2.8571428571428572</v>
      </c>
      <c r="AT258" s="5">
        <f t="shared" si="470"/>
        <v>0.37815552356140453</v>
      </c>
      <c r="AU258" s="5">
        <f t="shared" si="440"/>
        <v>2.4789873335814527</v>
      </c>
      <c r="AV258" s="5"/>
      <c r="AW258" s="177">
        <f t="shared" si="441"/>
        <v>0.13235443324649157</v>
      </c>
      <c r="AX258" s="177"/>
      <c r="BA258" s="469">
        <f t="shared" si="471"/>
        <v>99.208085235696529</v>
      </c>
      <c r="BB258" s="469">
        <f t="shared" si="472"/>
        <v>2.3178968225279997</v>
      </c>
      <c r="BC258" s="5">
        <f t="shared" si="442"/>
        <v>0.19281012594522406</v>
      </c>
      <c r="BD258" s="469">
        <f t="shared" si="473"/>
        <v>0</v>
      </c>
      <c r="BQ258" s="538">
        <f t="shared" si="474"/>
        <v>0.16044</v>
      </c>
      <c r="CG258" s="571">
        <f t="shared" si="475"/>
        <v>-50</v>
      </c>
      <c r="CH258">
        <f t="shared" si="476"/>
        <v>-50</v>
      </c>
    </row>
    <row r="259" spans="5:86" x14ac:dyDescent="0.2">
      <c r="E259" s="174">
        <v>43</v>
      </c>
      <c r="F259" s="221">
        <f t="shared" si="477"/>
        <v>0.43</v>
      </c>
      <c r="G259" s="221"/>
      <c r="H259" s="221">
        <f t="shared" si="443"/>
        <v>2.15</v>
      </c>
      <c r="I259" s="551">
        <f t="shared" si="444"/>
        <v>25</v>
      </c>
      <c r="J259" s="451">
        <f t="shared" si="445"/>
        <v>10.64</v>
      </c>
      <c r="K259" s="451">
        <f t="shared" si="446"/>
        <v>35.64</v>
      </c>
      <c r="L259" s="451"/>
      <c r="M259" s="221">
        <f t="shared" si="447"/>
        <v>0.2985409652076319</v>
      </c>
      <c r="N259" s="176">
        <f t="shared" si="448"/>
        <v>14.130050505050503</v>
      </c>
      <c r="O259" s="176">
        <f t="shared" si="363"/>
        <v>2.15</v>
      </c>
      <c r="P259" s="221">
        <f t="shared" si="449"/>
        <v>2.8260101010101009</v>
      </c>
      <c r="Q259" s="221">
        <f t="shared" si="450"/>
        <v>5</v>
      </c>
      <c r="R259" s="221"/>
      <c r="S259" s="176">
        <f t="shared" si="451"/>
        <v>94.809489810138601</v>
      </c>
      <c r="T259" s="176">
        <f t="shared" si="452"/>
        <v>5</v>
      </c>
      <c r="U259" s="221">
        <f t="shared" si="453"/>
        <v>0.64015037593984947</v>
      </c>
      <c r="V259" s="221">
        <f t="shared" si="454"/>
        <v>0.17924210526315787</v>
      </c>
      <c r="W259" s="221">
        <f t="shared" si="455"/>
        <v>0.42115156311832197</v>
      </c>
      <c r="X259" s="201">
        <f t="shared" si="456"/>
        <v>350</v>
      </c>
      <c r="Y259" s="451">
        <f t="shared" si="418"/>
        <v>350</v>
      </c>
      <c r="AA259" s="221">
        <f t="shared" si="457"/>
        <v>3.0463363796697127</v>
      </c>
      <c r="AB259" s="177">
        <f t="shared" si="458"/>
        <v>2.004168670835337</v>
      </c>
      <c r="AC259" s="177">
        <f t="shared" si="459"/>
        <v>2.136880176535993</v>
      </c>
      <c r="AD259" s="177"/>
      <c r="AE259" s="177">
        <f t="shared" si="460"/>
        <v>0.53947368421052622</v>
      </c>
      <c r="AF259" s="555">
        <f t="shared" si="461"/>
        <v>972.04045211183836</v>
      </c>
      <c r="AG259" s="538">
        <f t="shared" si="462"/>
        <v>0.15482894736842101</v>
      </c>
      <c r="AI259" s="177">
        <f t="shared" si="463"/>
        <v>1.3665389022741254</v>
      </c>
      <c r="AJ259" s="177">
        <f t="shared" si="464"/>
        <v>1.3665389022741254</v>
      </c>
      <c r="AK259" s="177">
        <f t="shared" si="465"/>
        <v>1.5643592681827503</v>
      </c>
      <c r="AM259" s="555">
        <f t="shared" si="466"/>
        <v>430</v>
      </c>
      <c r="AN259" s="469">
        <f t="shared" si="467"/>
        <v>350</v>
      </c>
      <c r="AP259">
        <f t="shared" si="468"/>
        <v>430</v>
      </c>
      <c r="AQ259">
        <f t="shared" si="469"/>
        <v>350</v>
      </c>
      <c r="AS259" s="5">
        <f t="shared" si="364"/>
        <v>2.8571428571428572</v>
      </c>
      <c r="AT259" s="5">
        <f t="shared" si="470"/>
        <v>0.38263089263675515</v>
      </c>
      <c r="AU259" s="5">
        <f t="shared" si="440"/>
        <v>2.4745119645061022</v>
      </c>
      <c r="AV259" s="5"/>
      <c r="AW259" s="177">
        <f t="shared" si="441"/>
        <v>0.1339208124228643</v>
      </c>
      <c r="AX259" s="177"/>
      <c r="BA259" s="469">
        <f t="shared" si="471"/>
        <v>99.208085235696529</v>
      </c>
      <c r="BB259" s="469">
        <f t="shared" si="472"/>
        <v>2.3988725764479994</v>
      </c>
      <c r="BC259" s="5">
        <f t="shared" si="442"/>
        <v>0.1970444712477081</v>
      </c>
      <c r="BD259" s="469">
        <f t="shared" si="473"/>
        <v>0</v>
      </c>
      <c r="BQ259" s="538">
        <f t="shared" si="474"/>
        <v>0.16426000000000002</v>
      </c>
      <c r="CG259" s="571">
        <f t="shared" si="475"/>
        <v>-50</v>
      </c>
      <c r="CH259">
        <f t="shared" si="476"/>
        <v>-50</v>
      </c>
    </row>
    <row r="260" spans="5:86" x14ac:dyDescent="0.2">
      <c r="E260" s="174">
        <v>44</v>
      </c>
      <c r="F260" s="221">
        <f t="shared" si="477"/>
        <v>0.44</v>
      </c>
      <c r="G260" s="221"/>
      <c r="H260" s="221">
        <f t="shared" si="443"/>
        <v>2.2000000000000002</v>
      </c>
      <c r="I260" s="551">
        <f t="shared" si="444"/>
        <v>25</v>
      </c>
      <c r="J260" s="451">
        <f t="shared" si="445"/>
        <v>10.64</v>
      </c>
      <c r="K260" s="451">
        <f t="shared" si="446"/>
        <v>35.64</v>
      </c>
      <c r="L260" s="451"/>
      <c r="M260" s="221">
        <f t="shared" si="447"/>
        <v>0.2985409652076319</v>
      </c>
      <c r="N260" s="176">
        <f t="shared" si="448"/>
        <v>14.130050505050503</v>
      </c>
      <c r="O260" s="176">
        <f t="shared" si="363"/>
        <v>2.2000000000000002</v>
      </c>
      <c r="P260" s="221">
        <f t="shared" si="449"/>
        <v>2.8260101010101009</v>
      </c>
      <c r="Q260" s="221">
        <f t="shared" si="450"/>
        <v>5</v>
      </c>
      <c r="R260" s="221"/>
      <c r="S260" s="176">
        <f t="shared" si="451"/>
        <v>92.37269879943463</v>
      </c>
      <c r="T260" s="176">
        <f t="shared" si="452"/>
        <v>5</v>
      </c>
      <c r="U260" s="221">
        <f t="shared" si="453"/>
        <v>0.65503759398496242</v>
      </c>
      <c r="V260" s="221">
        <f t="shared" si="454"/>
        <v>0.18341052631578947</v>
      </c>
      <c r="W260" s="221">
        <f t="shared" si="455"/>
        <v>0.43094578551642265</v>
      </c>
      <c r="X260" s="201">
        <f t="shared" si="456"/>
        <v>350</v>
      </c>
      <c r="Y260" s="451">
        <f t="shared" si="418"/>
        <v>350</v>
      </c>
      <c r="AA260" s="221">
        <f t="shared" si="457"/>
        <v>3.0463363796697127</v>
      </c>
      <c r="AB260" s="177">
        <f t="shared" si="458"/>
        <v>2.004168670835337</v>
      </c>
      <c r="AC260" s="177">
        <f t="shared" si="459"/>
        <v>2.136880176535993</v>
      </c>
      <c r="AD260" s="177"/>
      <c r="AE260" s="177">
        <f t="shared" si="460"/>
        <v>0.53947368421052622</v>
      </c>
      <c r="AF260" s="555">
        <f t="shared" si="461"/>
        <v>994.64604402141595</v>
      </c>
      <c r="AG260" s="538">
        <f t="shared" si="462"/>
        <v>0.15482894736842101</v>
      </c>
      <c r="AI260" s="177">
        <f t="shared" si="463"/>
        <v>1.3823375647276404</v>
      </c>
      <c r="AJ260" s="177">
        <f t="shared" si="464"/>
        <v>1.3823375647276404</v>
      </c>
      <c r="AK260" s="177">
        <f t="shared" si="465"/>
        <v>1.574891709818427</v>
      </c>
      <c r="AM260" s="555">
        <f t="shared" si="466"/>
        <v>440</v>
      </c>
      <c r="AN260" s="469">
        <f t="shared" si="467"/>
        <v>350</v>
      </c>
      <c r="AP260">
        <f t="shared" si="468"/>
        <v>440</v>
      </c>
      <c r="AQ260">
        <f t="shared" si="469"/>
        <v>350</v>
      </c>
      <c r="AS260" s="5">
        <f t="shared" si="364"/>
        <v>2.8571428571428572</v>
      </c>
      <c r="AT260" s="5">
        <f t="shared" si="470"/>
        <v>0.38705451812373926</v>
      </c>
      <c r="AU260" s="5">
        <f t="shared" si="440"/>
        <v>2.4700883390191182</v>
      </c>
      <c r="AV260" s="5"/>
      <c r="AW260" s="177">
        <f t="shared" si="441"/>
        <v>0.13546908134330873</v>
      </c>
      <c r="AX260" s="177"/>
      <c r="BA260" s="469">
        <f t="shared" si="471"/>
        <v>99.208085235696529</v>
      </c>
      <c r="BB260" s="469">
        <f t="shared" si="472"/>
        <v>2.4810477598720002</v>
      </c>
      <c r="BC260" s="5">
        <f t="shared" si="442"/>
        <v>0.20126645725340961</v>
      </c>
      <c r="BD260" s="469">
        <f t="shared" si="473"/>
        <v>0</v>
      </c>
      <c r="BQ260" s="538">
        <f t="shared" si="474"/>
        <v>0.16808000000000001</v>
      </c>
      <c r="CG260" s="571">
        <f t="shared" si="475"/>
        <v>-50</v>
      </c>
      <c r="CH260">
        <f t="shared" si="476"/>
        <v>-50</v>
      </c>
    </row>
    <row r="261" spans="5:86" x14ac:dyDescent="0.2">
      <c r="E261" s="174">
        <v>45</v>
      </c>
      <c r="F261" s="221">
        <f t="shared" si="477"/>
        <v>0.45</v>
      </c>
      <c r="G261" s="221"/>
      <c r="H261" s="221">
        <f t="shared" si="443"/>
        <v>2.25</v>
      </c>
      <c r="I261" s="551">
        <f t="shared" si="444"/>
        <v>25</v>
      </c>
      <c r="J261" s="451">
        <f t="shared" si="445"/>
        <v>10.64</v>
      </c>
      <c r="K261" s="451">
        <f t="shared" si="446"/>
        <v>35.64</v>
      </c>
      <c r="L261" s="451"/>
      <c r="M261" s="221">
        <f t="shared" si="447"/>
        <v>0.2985409652076319</v>
      </c>
      <c r="N261" s="176">
        <f t="shared" si="448"/>
        <v>14.130050505050503</v>
      </c>
      <c r="O261" s="176">
        <f t="shared" si="363"/>
        <v>2.25</v>
      </c>
      <c r="P261" s="221">
        <f t="shared" si="449"/>
        <v>2.8260101010101009</v>
      </c>
      <c r="Q261" s="221">
        <f t="shared" si="450"/>
        <v>5</v>
      </c>
      <c r="R261" s="221"/>
      <c r="S261" s="176">
        <f t="shared" si="451"/>
        <v>90.044265285479412</v>
      </c>
      <c r="T261" s="176">
        <f t="shared" si="452"/>
        <v>5</v>
      </c>
      <c r="U261" s="221">
        <f t="shared" si="453"/>
        <v>0.66992481203007515</v>
      </c>
      <c r="V261" s="221">
        <f t="shared" si="454"/>
        <v>0.18757894736842104</v>
      </c>
      <c r="W261" s="221">
        <f t="shared" si="455"/>
        <v>0.44074000791452317</v>
      </c>
      <c r="X261" s="201">
        <f t="shared" si="456"/>
        <v>350</v>
      </c>
      <c r="Y261" s="451">
        <f t="shared" si="418"/>
        <v>350</v>
      </c>
      <c r="AA261" s="221">
        <f t="shared" si="457"/>
        <v>3.0463363796697127</v>
      </c>
      <c r="AB261" s="177">
        <f t="shared" si="458"/>
        <v>2.004168670835337</v>
      </c>
      <c r="AC261" s="177">
        <f t="shared" si="459"/>
        <v>2.136880176535993</v>
      </c>
      <c r="AD261" s="177"/>
      <c r="AE261" s="177">
        <f t="shared" si="460"/>
        <v>0.53947368421052622</v>
      </c>
      <c r="AF261" s="555">
        <f t="shared" si="461"/>
        <v>1017.2516359309938</v>
      </c>
      <c r="AG261" s="538">
        <f t="shared" si="462"/>
        <v>0.15482894736842101</v>
      </c>
      <c r="AI261" s="177">
        <f t="shared" si="463"/>
        <v>1.3979576940257221</v>
      </c>
      <c r="AJ261" s="177">
        <f t="shared" si="464"/>
        <v>1.3979576940257221</v>
      </c>
      <c r="AK261" s="177">
        <f t="shared" si="465"/>
        <v>1.5853051293504814</v>
      </c>
      <c r="AM261" s="555">
        <f t="shared" si="466"/>
        <v>450</v>
      </c>
      <c r="AN261" s="469">
        <f t="shared" si="467"/>
        <v>350</v>
      </c>
      <c r="AP261">
        <f t="shared" si="468"/>
        <v>450</v>
      </c>
      <c r="AQ261">
        <f t="shared" si="469"/>
        <v>350</v>
      </c>
      <c r="AS261" s="5">
        <f t="shared" si="364"/>
        <v>2.8571428571428572</v>
      </c>
      <c r="AT261" s="5">
        <f t="shared" si="470"/>
        <v>0.39142815432720218</v>
      </c>
      <c r="AU261" s="5">
        <f t="shared" si="440"/>
        <v>2.4657147028156552</v>
      </c>
      <c r="AV261" s="5"/>
      <c r="AW261" s="177">
        <f t="shared" si="441"/>
        <v>0.13699985401452075</v>
      </c>
      <c r="AX261" s="177"/>
      <c r="BA261" s="469">
        <f t="shared" si="471"/>
        <v>99.208085235696529</v>
      </c>
      <c r="BB261" s="469">
        <f t="shared" si="472"/>
        <v>2.5644223728000002</v>
      </c>
      <c r="BC261" s="5">
        <f t="shared" si="442"/>
        <v>0.2054762252346379</v>
      </c>
      <c r="BD261" s="469">
        <f t="shared" si="473"/>
        <v>0</v>
      </c>
      <c r="BQ261" s="538">
        <f t="shared" si="474"/>
        <v>0.17190000000000003</v>
      </c>
      <c r="CG261" s="571">
        <f t="shared" si="475"/>
        <v>-50</v>
      </c>
      <c r="CH261">
        <f t="shared" si="476"/>
        <v>-50</v>
      </c>
    </row>
    <row r="262" spans="5:86" x14ac:dyDescent="0.2">
      <c r="E262" s="174">
        <v>46</v>
      </c>
      <c r="F262" s="221">
        <f t="shared" si="477"/>
        <v>0.46</v>
      </c>
      <c r="G262" s="221"/>
      <c r="H262" s="221">
        <f t="shared" si="443"/>
        <v>2.3000000000000003</v>
      </c>
      <c r="I262" s="551">
        <f t="shared" si="444"/>
        <v>25</v>
      </c>
      <c r="J262" s="451">
        <f t="shared" si="445"/>
        <v>10.64</v>
      </c>
      <c r="K262" s="451">
        <f t="shared" si="446"/>
        <v>35.64</v>
      </c>
      <c r="L262" s="451"/>
      <c r="M262" s="221">
        <f t="shared" si="447"/>
        <v>0.2985409652076319</v>
      </c>
      <c r="N262" s="176">
        <f t="shared" si="448"/>
        <v>14.130050505050503</v>
      </c>
      <c r="O262" s="176">
        <f t="shared" ref="O262:O316" si="478">T262*F262</f>
        <v>2.3000000000000003</v>
      </c>
      <c r="P262" s="221">
        <f t="shared" si="449"/>
        <v>2.8260101010101009</v>
      </c>
      <c r="Q262" s="221">
        <f t="shared" si="450"/>
        <v>5</v>
      </c>
      <c r="R262" s="221"/>
      <c r="S262" s="176">
        <f t="shared" si="451"/>
        <v>87.817122958108641</v>
      </c>
      <c r="T262" s="176">
        <f t="shared" si="452"/>
        <v>5</v>
      </c>
      <c r="U262" s="221">
        <f t="shared" si="453"/>
        <v>0.68481203007518798</v>
      </c>
      <c r="V262" s="221">
        <f t="shared" si="454"/>
        <v>0.19174736842105264</v>
      </c>
      <c r="W262" s="221">
        <f t="shared" si="455"/>
        <v>0.45053423031262357</v>
      </c>
      <c r="X262" s="201">
        <f t="shared" si="456"/>
        <v>350</v>
      </c>
      <c r="Y262" s="451">
        <f t="shared" si="418"/>
        <v>350</v>
      </c>
      <c r="AA262" s="221">
        <f t="shared" si="457"/>
        <v>3.0463363796697127</v>
      </c>
      <c r="AB262" s="177">
        <f t="shared" si="458"/>
        <v>2.004168670835337</v>
      </c>
      <c r="AC262" s="177">
        <f t="shared" si="459"/>
        <v>2.136880176535993</v>
      </c>
      <c r="AD262" s="177"/>
      <c r="AE262" s="177">
        <f t="shared" si="460"/>
        <v>0.53947368421052622</v>
      </c>
      <c r="AF262" s="555">
        <f t="shared" si="461"/>
        <v>1039.8572278405713</v>
      </c>
      <c r="AG262" s="538">
        <f t="shared" si="462"/>
        <v>0.15482894736842101</v>
      </c>
      <c r="AI262" s="177">
        <f t="shared" si="463"/>
        <v>1.4134052093134106</v>
      </c>
      <c r="AJ262" s="177">
        <f t="shared" si="464"/>
        <v>1.4134052093134106</v>
      </c>
      <c r="AK262" s="177">
        <f t="shared" si="465"/>
        <v>1.5956034728756072</v>
      </c>
      <c r="AM262" s="555">
        <f t="shared" si="466"/>
        <v>460</v>
      </c>
      <c r="AN262" s="469">
        <f t="shared" si="467"/>
        <v>350</v>
      </c>
      <c r="AP262">
        <f t="shared" si="468"/>
        <v>460</v>
      </c>
      <c r="AQ262">
        <f t="shared" si="469"/>
        <v>350</v>
      </c>
      <c r="AS262" s="5">
        <f t="shared" si="364"/>
        <v>2.8571428571428572</v>
      </c>
      <c r="AT262" s="5">
        <f t="shared" si="470"/>
        <v>0.39575345860775496</v>
      </c>
      <c r="AU262" s="5">
        <f t="shared" si="440"/>
        <v>2.4613893985351023</v>
      </c>
      <c r="AV262" s="5"/>
      <c r="AW262" s="177">
        <f t="shared" si="441"/>
        <v>0.13851371051271424</v>
      </c>
      <c r="AX262" s="177"/>
      <c r="BA262" s="469">
        <f t="shared" si="471"/>
        <v>99.208085235696529</v>
      </c>
      <c r="BB262" s="469">
        <f t="shared" si="472"/>
        <v>2.6489964152320002</v>
      </c>
      <c r="BC262" s="5">
        <f t="shared" si="442"/>
        <v>0.20967391172706426</v>
      </c>
      <c r="BD262" s="469">
        <f t="shared" si="473"/>
        <v>0</v>
      </c>
      <c r="BQ262" s="538">
        <f t="shared" si="474"/>
        <v>0.17572000000000002</v>
      </c>
      <c r="CG262" s="571">
        <f t="shared" si="475"/>
        <v>-50</v>
      </c>
      <c r="CH262">
        <f t="shared" si="476"/>
        <v>-50</v>
      </c>
    </row>
    <row r="263" spans="5:86" x14ac:dyDescent="0.2">
      <c r="E263" s="174">
        <v>47</v>
      </c>
      <c r="F263" s="221">
        <f t="shared" si="477"/>
        <v>0.47</v>
      </c>
      <c r="G263" s="221"/>
      <c r="H263" s="221">
        <f t="shared" si="443"/>
        <v>2.3499999999999996</v>
      </c>
      <c r="I263" s="551">
        <f t="shared" si="444"/>
        <v>25</v>
      </c>
      <c r="J263" s="451">
        <f t="shared" si="445"/>
        <v>10.64</v>
      </c>
      <c r="K263" s="451">
        <f t="shared" si="446"/>
        <v>35.64</v>
      </c>
      <c r="L263" s="451"/>
      <c r="M263" s="221">
        <f t="shared" si="447"/>
        <v>0.2985409652076319</v>
      </c>
      <c r="N263" s="176">
        <f t="shared" si="448"/>
        <v>14.130050505050503</v>
      </c>
      <c r="O263" s="176">
        <f t="shared" si="478"/>
        <v>2.3499999999999996</v>
      </c>
      <c r="P263" s="221">
        <f t="shared" si="449"/>
        <v>2.8260101010101009</v>
      </c>
      <c r="Q263" s="221">
        <f t="shared" si="450"/>
        <v>5</v>
      </c>
      <c r="R263" s="221"/>
      <c r="S263" s="176">
        <f t="shared" si="451"/>
        <v>85.684806900662778</v>
      </c>
      <c r="T263" s="176">
        <f t="shared" si="452"/>
        <v>5</v>
      </c>
      <c r="U263" s="221">
        <f t="shared" si="453"/>
        <v>0.6996992481203006</v>
      </c>
      <c r="V263" s="221">
        <f t="shared" si="454"/>
        <v>0.19591578947368413</v>
      </c>
      <c r="W263" s="221">
        <f t="shared" si="455"/>
        <v>0.46032845271072398</v>
      </c>
      <c r="X263" s="201">
        <f t="shared" si="456"/>
        <v>350</v>
      </c>
      <c r="Y263" s="451">
        <f t="shared" si="418"/>
        <v>350</v>
      </c>
      <c r="AA263" s="221">
        <f t="shared" si="457"/>
        <v>3.0463363796697127</v>
      </c>
      <c r="AB263" s="177">
        <f t="shared" si="458"/>
        <v>2.004168670835337</v>
      </c>
      <c r="AC263" s="177">
        <f t="shared" si="459"/>
        <v>2.136880176535993</v>
      </c>
      <c r="AD263" s="177"/>
      <c r="AE263" s="177">
        <f t="shared" si="460"/>
        <v>0.53947368421052622</v>
      </c>
      <c r="AF263" s="555">
        <f t="shared" si="461"/>
        <v>1062.4628197501488</v>
      </c>
      <c r="AG263" s="538">
        <f t="shared" si="462"/>
        <v>0.15482894736842101</v>
      </c>
      <c r="AI263" s="177">
        <f t="shared" si="463"/>
        <v>1.4286857097146515</v>
      </c>
      <c r="AJ263" s="177">
        <f t="shared" si="464"/>
        <v>1.4286857097146515</v>
      </c>
      <c r="AK263" s="177">
        <f t="shared" si="465"/>
        <v>1.605790473143101</v>
      </c>
      <c r="AM263" s="555">
        <f t="shared" si="466"/>
        <v>470</v>
      </c>
      <c r="AN263" s="469">
        <f t="shared" si="467"/>
        <v>350</v>
      </c>
      <c r="AP263">
        <f t="shared" si="468"/>
        <v>470</v>
      </c>
      <c r="AQ263">
        <f t="shared" si="469"/>
        <v>350</v>
      </c>
      <c r="AS263" s="5">
        <f t="shared" ref="AS263:AS316" si="479">1/AN263*1000</f>
        <v>2.8571428571428572</v>
      </c>
      <c r="AT263" s="5">
        <f t="shared" si="470"/>
        <v>0.40003199872010242</v>
      </c>
      <c r="AU263" s="5">
        <f t="shared" si="440"/>
        <v>2.4571108584227548</v>
      </c>
      <c r="AV263" s="5"/>
      <c r="AW263" s="177">
        <f t="shared" si="441"/>
        <v>0.14001119955203584</v>
      </c>
      <c r="AX263" s="177"/>
      <c r="BA263" s="469">
        <f t="shared" si="471"/>
        <v>99.208085235696529</v>
      </c>
      <c r="BB263" s="469">
        <f t="shared" si="472"/>
        <v>2.7347698871679995</v>
      </c>
      <c r="BC263" s="5">
        <f t="shared" si="442"/>
        <v>0.21385964878864713</v>
      </c>
      <c r="BD263" s="469">
        <f t="shared" si="473"/>
        <v>0</v>
      </c>
      <c r="BQ263" s="538">
        <f t="shared" si="474"/>
        <v>0.17954000000000001</v>
      </c>
      <c r="CG263" s="571">
        <f t="shared" si="475"/>
        <v>-50</v>
      </c>
      <c r="CH263">
        <f t="shared" si="476"/>
        <v>-50</v>
      </c>
    </row>
    <row r="264" spans="5:86" x14ac:dyDescent="0.2">
      <c r="E264" s="174">
        <v>48</v>
      </c>
      <c r="F264" s="221">
        <f t="shared" si="477"/>
        <v>0.48</v>
      </c>
      <c r="G264" s="221"/>
      <c r="H264" s="221">
        <f t="shared" si="443"/>
        <v>2.4</v>
      </c>
      <c r="I264" s="551">
        <f t="shared" si="444"/>
        <v>25</v>
      </c>
      <c r="J264" s="451">
        <f t="shared" si="445"/>
        <v>10.64</v>
      </c>
      <c r="K264" s="451">
        <f t="shared" si="446"/>
        <v>35.64</v>
      </c>
      <c r="L264" s="451"/>
      <c r="M264" s="221">
        <f t="shared" si="447"/>
        <v>0.2985409652076319</v>
      </c>
      <c r="N264" s="176">
        <f t="shared" si="448"/>
        <v>14.130050505050503</v>
      </c>
      <c r="O264" s="176">
        <f t="shared" si="478"/>
        <v>2.4</v>
      </c>
      <c r="P264" s="221">
        <f t="shared" si="449"/>
        <v>2.8260101010101009</v>
      </c>
      <c r="Q264" s="221">
        <f t="shared" si="450"/>
        <v>5</v>
      </c>
      <c r="R264" s="221"/>
      <c r="S264" s="176">
        <f t="shared" si="451"/>
        <v>83.641390944903165</v>
      </c>
      <c r="T264" s="176">
        <f t="shared" si="452"/>
        <v>5</v>
      </c>
      <c r="U264" s="221">
        <f t="shared" si="453"/>
        <v>0.71458646616541344</v>
      </c>
      <c r="V264" s="221">
        <f t="shared" si="454"/>
        <v>0.20008421052631575</v>
      </c>
      <c r="W264" s="221">
        <f t="shared" si="455"/>
        <v>0.47012267510882455</v>
      </c>
      <c r="X264" s="201">
        <f t="shared" si="456"/>
        <v>350</v>
      </c>
      <c r="Y264" s="451">
        <f t="shared" si="418"/>
        <v>350</v>
      </c>
      <c r="AA264" s="221">
        <f t="shared" si="457"/>
        <v>3.0463363796697127</v>
      </c>
      <c r="AB264" s="177">
        <f t="shared" si="458"/>
        <v>2.004168670835337</v>
      </c>
      <c r="AC264" s="177">
        <f t="shared" si="459"/>
        <v>2.136880176535993</v>
      </c>
      <c r="AD264" s="177"/>
      <c r="AE264" s="177">
        <f t="shared" si="460"/>
        <v>0.53947368421052622</v>
      </c>
      <c r="AF264" s="555">
        <f t="shared" si="461"/>
        <v>1085.0684116597265</v>
      </c>
      <c r="AG264" s="538">
        <f t="shared" si="462"/>
        <v>0.15482894736842101</v>
      </c>
      <c r="AI264" s="177">
        <f t="shared" si="463"/>
        <v>1.4438044980437721</v>
      </c>
      <c r="AJ264" s="177">
        <f t="shared" si="464"/>
        <v>1.4438044980437721</v>
      </c>
      <c r="AK264" s="177">
        <f t="shared" si="465"/>
        <v>1.6158696653625149</v>
      </c>
      <c r="AM264" s="555">
        <f t="shared" si="466"/>
        <v>480</v>
      </c>
      <c r="AN264" s="469">
        <f t="shared" si="467"/>
        <v>350</v>
      </c>
      <c r="AP264">
        <f t="shared" si="468"/>
        <v>480</v>
      </c>
      <c r="AQ264">
        <f t="shared" si="469"/>
        <v>350</v>
      </c>
      <c r="AS264" s="5">
        <f t="shared" si="479"/>
        <v>2.8571428571428572</v>
      </c>
      <c r="AT264" s="5">
        <f t="shared" si="470"/>
        <v>0.40426525945225622</v>
      </c>
      <c r="AU264" s="5">
        <f t="shared" si="440"/>
        <v>2.452877597690601</v>
      </c>
      <c r="AV264" s="5"/>
      <c r="AW264" s="177">
        <f t="shared" si="441"/>
        <v>0.14149284080828967</v>
      </c>
      <c r="AX264" s="177"/>
      <c r="BA264" s="469">
        <f t="shared" si="471"/>
        <v>99.208085235696529</v>
      </c>
      <c r="BB264" s="469">
        <f t="shared" si="472"/>
        <v>2.8217427886079998</v>
      </c>
      <c r="BC264" s="5">
        <f t="shared" si="442"/>
        <v>0.21803356423916451</v>
      </c>
      <c r="BD264" s="469">
        <f t="shared" si="473"/>
        <v>0</v>
      </c>
      <c r="BQ264" s="538">
        <f t="shared" si="474"/>
        <v>0.18336</v>
      </c>
      <c r="CG264" s="571">
        <f t="shared" si="475"/>
        <v>-50</v>
      </c>
      <c r="CH264">
        <f t="shared" si="476"/>
        <v>-50</v>
      </c>
    </row>
    <row r="265" spans="5:86" x14ac:dyDescent="0.2">
      <c r="E265" s="174">
        <v>49</v>
      </c>
      <c r="F265" s="221">
        <f t="shared" si="477"/>
        <v>0.49</v>
      </c>
      <c r="G265" s="221"/>
      <c r="H265" s="221">
        <f t="shared" si="443"/>
        <v>2.4500000000000002</v>
      </c>
      <c r="I265" s="551">
        <f t="shared" si="444"/>
        <v>25</v>
      </c>
      <c r="J265" s="451">
        <f t="shared" si="445"/>
        <v>10.64</v>
      </c>
      <c r="K265" s="451">
        <f t="shared" si="446"/>
        <v>35.64</v>
      </c>
      <c r="L265" s="451"/>
      <c r="M265" s="221">
        <f t="shared" si="447"/>
        <v>0.2985409652076319</v>
      </c>
      <c r="N265" s="176">
        <f t="shared" si="448"/>
        <v>14.130050505050503</v>
      </c>
      <c r="O265" s="176">
        <f t="shared" si="478"/>
        <v>2.4500000000000002</v>
      </c>
      <c r="P265" s="221">
        <f t="shared" si="449"/>
        <v>2.8260101010101009</v>
      </c>
      <c r="Q265" s="221">
        <f t="shared" si="450"/>
        <v>5</v>
      </c>
      <c r="R265" s="221"/>
      <c r="S265" s="176">
        <f t="shared" si="451"/>
        <v>81.681432696755891</v>
      </c>
      <c r="T265" s="176">
        <f t="shared" si="452"/>
        <v>5</v>
      </c>
      <c r="U265" s="221">
        <f t="shared" si="453"/>
        <v>0.72947368421052627</v>
      </c>
      <c r="V265" s="221">
        <f t="shared" si="454"/>
        <v>0.20425263157894735</v>
      </c>
      <c r="W265" s="221">
        <f t="shared" si="455"/>
        <v>0.47991689750692512</v>
      </c>
      <c r="X265" s="201">
        <f t="shared" si="456"/>
        <v>350</v>
      </c>
      <c r="Y265" s="451">
        <f t="shared" si="418"/>
        <v>350</v>
      </c>
      <c r="AA265" s="221">
        <f t="shared" si="457"/>
        <v>3.0463363796697127</v>
      </c>
      <c r="AB265" s="177">
        <f t="shared" si="458"/>
        <v>2.004168670835337</v>
      </c>
      <c r="AC265" s="177">
        <f t="shared" si="459"/>
        <v>2.136880176535993</v>
      </c>
      <c r="AD265" s="177"/>
      <c r="AE265" s="177">
        <f t="shared" si="460"/>
        <v>0.53947368421052622</v>
      </c>
      <c r="AF265" s="555">
        <f t="shared" si="461"/>
        <v>1107.6740035693042</v>
      </c>
      <c r="AG265" s="538">
        <f t="shared" si="462"/>
        <v>0.15482894736842101</v>
      </c>
      <c r="AI265" s="177">
        <f t="shared" si="463"/>
        <v>1.4587666023048376</v>
      </c>
      <c r="AJ265" s="177">
        <f t="shared" si="464"/>
        <v>1.4587666023048376</v>
      </c>
      <c r="AK265" s="177">
        <f t="shared" si="465"/>
        <v>1.6258444015365585</v>
      </c>
      <c r="AM265" s="555">
        <f t="shared" si="466"/>
        <v>490</v>
      </c>
      <c r="AN265" s="469">
        <f t="shared" si="467"/>
        <v>350</v>
      </c>
      <c r="AP265">
        <f t="shared" si="468"/>
        <v>490</v>
      </c>
      <c r="AQ265">
        <f t="shared" si="469"/>
        <v>350</v>
      </c>
      <c r="AS265" s="5">
        <f t="shared" si="479"/>
        <v>2.8571428571428572</v>
      </c>
      <c r="AT265" s="5">
        <f t="shared" si="470"/>
        <v>0.40845464864535447</v>
      </c>
      <c r="AU265" s="5">
        <f t="shared" si="440"/>
        <v>2.4486882084975026</v>
      </c>
      <c r="AV265" s="5"/>
      <c r="AW265" s="177">
        <f t="shared" si="441"/>
        <v>0.14295912702587407</v>
      </c>
      <c r="AX265" s="177"/>
      <c r="BA265" s="469">
        <f t="shared" si="471"/>
        <v>99.208085235696529</v>
      </c>
      <c r="BB265" s="469">
        <f t="shared" si="472"/>
        <v>2.9099151195519997</v>
      </c>
      <c r="BC265" s="5">
        <f t="shared" si="442"/>
        <v>0.22219578188218075</v>
      </c>
      <c r="BD265" s="469">
        <f t="shared" si="473"/>
        <v>0</v>
      </c>
      <c r="BQ265" s="538">
        <f t="shared" si="474"/>
        <v>0.18718000000000001</v>
      </c>
      <c r="CG265" s="571">
        <f t="shared" si="475"/>
        <v>-50</v>
      </c>
      <c r="CH265">
        <f t="shared" si="476"/>
        <v>-50</v>
      </c>
    </row>
    <row r="266" spans="5:86" x14ac:dyDescent="0.2">
      <c r="E266" s="174">
        <v>50</v>
      </c>
      <c r="F266" s="221">
        <f t="shared" si="477"/>
        <v>0.5</v>
      </c>
      <c r="G266" s="221"/>
      <c r="H266" s="221">
        <f t="shared" si="443"/>
        <v>2.5</v>
      </c>
      <c r="I266" s="551">
        <f t="shared" si="444"/>
        <v>25</v>
      </c>
      <c r="J266" s="451">
        <f t="shared" si="445"/>
        <v>10.64</v>
      </c>
      <c r="K266" s="451">
        <f t="shared" si="446"/>
        <v>35.64</v>
      </c>
      <c r="L266" s="451"/>
      <c r="M266" s="221">
        <f t="shared" si="447"/>
        <v>0.2985409652076319</v>
      </c>
      <c r="N266" s="176">
        <f t="shared" si="448"/>
        <v>14.130050505050503</v>
      </c>
      <c r="O266" s="176">
        <f t="shared" si="478"/>
        <v>2.5</v>
      </c>
      <c r="P266" s="221">
        <f t="shared" si="449"/>
        <v>2.8260101010101009</v>
      </c>
      <c r="Q266" s="221">
        <f t="shared" si="450"/>
        <v>5</v>
      </c>
      <c r="R266" s="221"/>
      <c r="S266" s="176">
        <f t="shared" si="451"/>
        <v>79.79992515896717</v>
      </c>
      <c r="T266" s="176">
        <f t="shared" si="452"/>
        <v>5</v>
      </c>
      <c r="U266" s="221">
        <f t="shared" si="453"/>
        <v>0.744360902255639</v>
      </c>
      <c r="V266" s="221">
        <f t="shared" si="454"/>
        <v>0.2084210526315789</v>
      </c>
      <c r="W266" s="221">
        <f t="shared" si="455"/>
        <v>0.48971111990502564</v>
      </c>
      <c r="X266" s="201">
        <f t="shared" si="456"/>
        <v>350</v>
      </c>
      <c r="Y266" s="451">
        <f t="shared" si="418"/>
        <v>350</v>
      </c>
      <c r="AA266" s="221">
        <f t="shared" si="457"/>
        <v>3.0463363796697127</v>
      </c>
      <c r="AB266" s="177">
        <f t="shared" si="458"/>
        <v>2.004168670835337</v>
      </c>
      <c r="AC266" s="177">
        <f t="shared" si="459"/>
        <v>2.136880176535993</v>
      </c>
      <c r="AD266" s="177"/>
      <c r="AE266" s="177">
        <f t="shared" si="460"/>
        <v>0.53947368421052622</v>
      </c>
      <c r="AF266" s="555">
        <f t="shared" si="461"/>
        <v>1130.2795954788819</v>
      </c>
      <c r="AG266" s="538">
        <f t="shared" si="462"/>
        <v>0.15482894736842101</v>
      </c>
      <c r="AI266" s="177">
        <f t="shared" si="463"/>
        <v>1.4735767952260146</v>
      </c>
      <c r="AJ266" s="177">
        <f t="shared" si="464"/>
        <v>1.4735767952260146</v>
      </c>
      <c r="AK266" s="177">
        <f t="shared" si="465"/>
        <v>1.6357178634840097</v>
      </c>
      <c r="AM266" s="555">
        <f t="shared" si="466"/>
        <v>500</v>
      </c>
      <c r="AN266" s="469">
        <f t="shared" si="467"/>
        <v>350</v>
      </c>
      <c r="AP266">
        <f t="shared" si="468"/>
        <v>500</v>
      </c>
      <c r="AQ266">
        <f t="shared" si="469"/>
        <v>350</v>
      </c>
      <c r="AS266" s="5">
        <f t="shared" si="479"/>
        <v>2.8571428571428572</v>
      </c>
      <c r="AT266" s="5">
        <f t="shared" si="470"/>
        <v>0.41260150266328405</v>
      </c>
      <c r="AU266" s="5">
        <f t="shared" si="440"/>
        <v>2.4445413544795733</v>
      </c>
      <c r="AV266" s="5"/>
      <c r="AW266" s="177">
        <f t="shared" si="441"/>
        <v>0.14441052593214943</v>
      </c>
      <c r="AX266" s="177"/>
      <c r="BA266" s="469">
        <f t="shared" si="471"/>
        <v>99.208085235696529</v>
      </c>
      <c r="BB266" s="469">
        <f t="shared" si="472"/>
        <v>2.9992868799999997</v>
      </c>
      <c r="BC266" s="5">
        <f t="shared" si="442"/>
        <v>0.22634642171107153</v>
      </c>
      <c r="BD266" s="469">
        <f t="shared" si="473"/>
        <v>0</v>
      </c>
      <c r="BQ266" s="538">
        <f t="shared" si="474"/>
        <v>0.191</v>
      </c>
      <c r="CG266" s="571">
        <f t="shared" si="475"/>
        <v>-50</v>
      </c>
      <c r="CH266">
        <f t="shared" si="476"/>
        <v>-50</v>
      </c>
    </row>
    <row r="267" spans="5:86" x14ac:dyDescent="0.2">
      <c r="E267" s="174">
        <v>51</v>
      </c>
      <c r="F267" s="221">
        <f t="shared" si="477"/>
        <v>0.51</v>
      </c>
      <c r="G267" s="221"/>
      <c r="H267" s="221">
        <f t="shared" si="443"/>
        <v>2.5499999999999998</v>
      </c>
      <c r="I267" s="551">
        <f t="shared" si="444"/>
        <v>25</v>
      </c>
      <c r="J267" s="451">
        <f t="shared" si="445"/>
        <v>10.64</v>
      </c>
      <c r="K267" s="451">
        <f t="shared" si="446"/>
        <v>35.64</v>
      </c>
      <c r="L267" s="451"/>
      <c r="M267" s="221">
        <f t="shared" si="447"/>
        <v>0.2985409652076319</v>
      </c>
      <c r="N267" s="176">
        <f t="shared" si="448"/>
        <v>14.130050505050503</v>
      </c>
      <c r="O267" s="176">
        <f t="shared" si="478"/>
        <v>2.5499999999999998</v>
      </c>
      <c r="P267" s="221">
        <f t="shared" si="449"/>
        <v>2.8260101010101009</v>
      </c>
      <c r="Q267" s="221">
        <f t="shared" si="450"/>
        <v>5</v>
      </c>
      <c r="R267" s="221"/>
      <c r="S267" s="176">
        <f t="shared" si="451"/>
        <v>77.992254045212633</v>
      </c>
      <c r="T267" s="176">
        <f t="shared" si="452"/>
        <v>5</v>
      </c>
      <c r="U267" s="221">
        <f t="shared" si="453"/>
        <v>0.75924812030075173</v>
      </c>
      <c r="V267" s="221">
        <f t="shared" si="454"/>
        <v>0.21258947368421049</v>
      </c>
      <c r="W267" s="221">
        <f t="shared" si="455"/>
        <v>0.49950534230312615</v>
      </c>
      <c r="X267" s="201">
        <f t="shared" si="456"/>
        <v>350</v>
      </c>
      <c r="Y267" s="451">
        <f t="shared" si="418"/>
        <v>350</v>
      </c>
      <c r="AA267" s="221">
        <f t="shared" si="457"/>
        <v>3.0463363796697127</v>
      </c>
      <c r="AB267" s="177">
        <f t="shared" si="458"/>
        <v>2.004168670835337</v>
      </c>
      <c r="AC267" s="177">
        <f t="shared" si="459"/>
        <v>2.136880176535993</v>
      </c>
      <c r="AD267" s="177"/>
      <c r="AE267" s="177">
        <f t="shared" si="460"/>
        <v>0.53947368421052622</v>
      </c>
      <c r="AF267" s="555">
        <f t="shared" si="461"/>
        <v>1152.8851873884594</v>
      </c>
      <c r="AG267" s="538">
        <f t="shared" si="462"/>
        <v>0.15482894736842101</v>
      </c>
      <c r="AI267" s="177">
        <f t="shared" si="463"/>
        <v>1.4882396120440899</v>
      </c>
      <c r="AJ267" s="177">
        <f t="shared" si="464"/>
        <v>1.4882396120440899</v>
      </c>
      <c r="AK267" s="177">
        <f t="shared" si="465"/>
        <v>1.6454930746960601</v>
      </c>
      <c r="AM267" s="555">
        <f t="shared" si="466"/>
        <v>510</v>
      </c>
      <c r="AN267" s="469">
        <f t="shared" si="467"/>
        <v>350</v>
      </c>
      <c r="AP267">
        <f t="shared" si="468"/>
        <v>510</v>
      </c>
      <c r="AQ267">
        <f t="shared" si="469"/>
        <v>350</v>
      </c>
      <c r="AS267" s="5">
        <f t="shared" si="479"/>
        <v>2.8571428571428572</v>
      </c>
      <c r="AT267" s="5">
        <f t="shared" si="470"/>
        <v>0.41670709137234518</v>
      </c>
      <c r="AU267" s="5">
        <f t="shared" si="440"/>
        <v>2.4404357657705118</v>
      </c>
      <c r="AV267" s="5"/>
      <c r="AW267" s="177">
        <f t="shared" si="441"/>
        <v>0.1458474819803208</v>
      </c>
      <c r="AX267" s="177"/>
      <c r="BA267" s="469">
        <f t="shared" si="471"/>
        <v>99.208085235696529</v>
      </c>
      <c r="BB267" s="469">
        <f t="shared" si="472"/>
        <v>3.0898580699520002</v>
      </c>
      <c r="BC267" s="5">
        <f t="shared" si="442"/>
        <v>0.23048560010054828</v>
      </c>
      <c r="BD267" s="469">
        <f t="shared" si="473"/>
        <v>0</v>
      </c>
      <c r="BQ267" s="538">
        <f t="shared" si="474"/>
        <v>0.19481999999999999</v>
      </c>
      <c r="CG267" s="571">
        <f t="shared" si="475"/>
        <v>-50</v>
      </c>
      <c r="CH267">
        <f t="shared" si="476"/>
        <v>-50</v>
      </c>
    </row>
    <row r="268" spans="5:86" x14ac:dyDescent="0.2">
      <c r="E268" s="174">
        <v>52</v>
      </c>
      <c r="F268" s="221">
        <f t="shared" si="477"/>
        <v>0.52</v>
      </c>
      <c r="G268" s="221"/>
      <c r="H268" s="221">
        <f t="shared" si="443"/>
        <v>2.6</v>
      </c>
      <c r="I268" s="551">
        <f t="shared" si="444"/>
        <v>25</v>
      </c>
      <c r="J268" s="451">
        <f t="shared" si="445"/>
        <v>10.64</v>
      </c>
      <c r="K268" s="451">
        <f t="shared" si="446"/>
        <v>35.64</v>
      </c>
      <c r="L268" s="451"/>
      <c r="M268" s="221">
        <f t="shared" si="447"/>
        <v>0.2985409652076319</v>
      </c>
      <c r="N268" s="176">
        <f t="shared" si="448"/>
        <v>14.130050505050503</v>
      </c>
      <c r="O268" s="176">
        <f t="shared" si="478"/>
        <v>2.6</v>
      </c>
      <c r="P268" s="221">
        <f t="shared" si="449"/>
        <v>2.8260101010101009</v>
      </c>
      <c r="Q268" s="221">
        <f t="shared" si="450"/>
        <v>5</v>
      </c>
      <c r="R268" s="221"/>
      <c r="S268" s="176">
        <f t="shared" si="451"/>
        <v>76.254160019502407</v>
      </c>
      <c r="T268" s="176">
        <f t="shared" si="452"/>
        <v>5</v>
      </c>
      <c r="U268" s="221">
        <f t="shared" si="453"/>
        <v>0.77413533834586457</v>
      </c>
      <c r="V268" s="221">
        <f t="shared" si="454"/>
        <v>0.21675789473684209</v>
      </c>
      <c r="W268" s="221">
        <f t="shared" si="455"/>
        <v>0.50929956470122661</v>
      </c>
      <c r="X268" s="201">
        <f t="shared" si="456"/>
        <v>350</v>
      </c>
      <c r="Y268" s="451">
        <f t="shared" si="418"/>
        <v>350</v>
      </c>
      <c r="AA268" s="221">
        <f t="shared" si="457"/>
        <v>3.0463363796697127</v>
      </c>
      <c r="AB268" s="177">
        <f t="shared" si="458"/>
        <v>2.004168670835337</v>
      </c>
      <c r="AC268" s="177">
        <f t="shared" si="459"/>
        <v>2.136880176535993</v>
      </c>
      <c r="AD268" s="177"/>
      <c r="AE268" s="177">
        <f t="shared" si="460"/>
        <v>0.53947368421052622</v>
      </c>
      <c r="AF268" s="555">
        <f t="shared" si="461"/>
        <v>1175.4907792980371</v>
      </c>
      <c r="AG268" s="538">
        <f t="shared" si="462"/>
        <v>0.15482894736842101</v>
      </c>
      <c r="AI268" s="177">
        <f t="shared" si="463"/>
        <v>1.5027593667269936</v>
      </c>
      <c r="AJ268" s="177">
        <f t="shared" si="464"/>
        <v>1.5027593667269936</v>
      </c>
      <c r="AK268" s="177">
        <f t="shared" si="465"/>
        <v>1.6551729111513291</v>
      </c>
      <c r="AM268" s="555">
        <f t="shared" si="466"/>
        <v>520</v>
      </c>
      <c r="AN268" s="469">
        <f t="shared" si="467"/>
        <v>350</v>
      </c>
      <c r="AP268">
        <f t="shared" si="468"/>
        <v>520</v>
      </c>
      <c r="AQ268">
        <f t="shared" si="469"/>
        <v>350</v>
      </c>
      <c r="AS268" s="5">
        <f t="shared" si="479"/>
        <v>2.8571428571428572</v>
      </c>
      <c r="AT268" s="5">
        <f t="shared" si="470"/>
        <v>0.4207726226835582</v>
      </c>
      <c r="AU268" s="5">
        <f t="shared" si="440"/>
        <v>2.4363702344592992</v>
      </c>
      <c r="AV268" s="5"/>
      <c r="AW268" s="177">
        <f t="shared" si="441"/>
        <v>0.14727041793924536</v>
      </c>
      <c r="AX268" s="177"/>
      <c r="BA268" s="469">
        <f t="shared" si="471"/>
        <v>99.208085235696529</v>
      </c>
      <c r="BB268" s="469">
        <f t="shared" si="472"/>
        <v>3.1816286894079999</v>
      </c>
      <c r="BC268" s="5">
        <f t="shared" si="442"/>
        <v>0.23461342998496948</v>
      </c>
      <c r="BD268" s="469">
        <f t="shared" si="473"/>
        <v>0</v>
      </c>
      <c r="BQ268" s="538">
        <f t="shared" si="474"/>
        <v>0.19864000000000001</v>
      </c>
      <c r="CG268" s="571">
        <f t="shared" si="475"/>
        <v>-50</v>
      </c>
      <c r="CH268">
        <f t="shared" si="476"/>
        <v>-50</v>
      </c>
    </row>
    <row r="269" spans="5:86" x14ac:dyDescent="0.2">
      <c r="E269" s="174">
        <v>53</v>
      </c>
      <c r="F269" s="221">
        <f t="shared" si="477"/>
        <v>0.53</v>
      </c>
      <c r="G269" s="221"/>
      <c r="H269" s="221">
        <f t="shared" si="443"/>
        <v>2.6500000000000004</v>
      </c>
      <c r="I269" s="551">
        <f t="shared" si="444"/>
        <v>25</v>
      </c>
      <c r="J269" s="451">
        <f t="shared" si="445"/>
        <v>10.64</v>
      </c>
      <c r="K269" s="451">
        <f t="shared" si="446"/>
        <v>35.64</v>
      </c>
      <c r="L269" s="451"/>
      <c r="M269" s="221">
        <f t="shared" si="447"/>
        <v>0.2985409652076319</v>
      </c>
      <c r="N269" s="176">
        <f t="shared" si="448"/>
        <v>14.130050505050503</v>
      </c>
      <c r="O269" s="176">
        <f t="shared" si="478"/>
        <v>2.6500000000000004</v>
      </c>
      <c r="P269" s="221">
        <f t="shared" si="449"/>
        <v>2.8260101010101009</v>
      </c>
      <c r="Q269" s="221">
        <f t="shared" si="450"/>
        <v>5</v>
      </c>
      <c r="R269" s="221"/>
      <c r="S269" s="176">
        <f t="shared" si="451"/>
        <v>74.581705210371879</v>
      </c>
      <c r="T269" s="176">
        <f t="shared" si="452"/>
        <v>5</v>
      </c>
      <c r="U269" s="221">
        <f t="shared" si="453"/>
        <v>0.7890225563909774</v>
      </c>
      <c r="V269" s="221">
        <f t="shared" si="454"/>
        <v>0.22092631578947364</v>
      </c>
      <c r="W269" s="221">
        <f t="shared" si="455"/>
        <v>0.51909378709932719</v>
      </c>
      <c r="X269" s="201">
        <f t="shared" si="456"/>
        <v>350</v>
      </c>
      <c r="Y269" s="451">
        <f t="shared" si="418"/>
        <v>350</v>
      </c>
      <c r="AA269" s="221">
        <f t="shared" si="457"/>
        <v>3.0463363796697127</v>
      </c>
      <c r="AB269" s="177">
        <f t="shared" si="458"/>
        <v>2.004168670835337</v>
      </c>
      <c r="AC269" s="177">
        <f t="shared" si="459"/>
        <v>2.136880176535993</v>
      </c>
      <c r="AD269" s="177"/>
      <c r="AE269" s="177">
        <f t="shared" si="460"/>
        <v>0.53947368421052622</v>
      </c>
      <c r="AF269" s="555">
        <f t="shared" si="461"/>
        <v>1198.096371207615</v>
      </c>
      <c r="AG269" s="538">
        <f t="shared" si="462"/>
        <v>0.15482894736842101</v>
      </c>
      <c r="AI269" s="177">
        <f t="shared" si="463"/>
        <v>1.5171401667987985</v>
      </c>
      <c r="AJ269" s="177">
        <f t="shared" si="464"/>
        <v>1.5171401667987985</v>
      </c>
      <c r="AK269" s="177">
        <f t="shared" si="465"/>
        <v>1.664760111199199</v>
      </c>
      <c r="AM269" s="555">
        <f t="shared" si="466"/>
        <v>530</v>
      </c>
      <c r="AN269" s="469">
        <f t="shared" si="467"/>
        <v>350</v>
      </c>
      <c r="AP269">
        <f t="shared" si="468"/>
        <v>530</v>
      </c>
      <c r="AQ269">
        <f t="shared" si="469"/>
        <v>350</v>
      </c>
      <c r="AS269" s="5">
        <f t="shared" si="479"/>
        <v>2.8571428571428572</v>
      </c>
      <c r="AT269" s="5">
        <f t="shared" si="470"/>
        <v>0.42479924670366359</v>
      </c>
      <c r="AU269" s="5">
        <f t="shared" si="440"/>
        <v>2.4323436104391938</v>
      </c>
      <c r="AV269" s="5"/>
      <c r="AW269" s="177">
        <f t="shared" si="441"/>
        <v>0.14867973634628226</v>
      </c>
      <c r="AX269" s="177"/>
      <c r="BA269" s="469">
        <f t="shared" si="471"/>
        <v>99.208085235696529</v>
      </c>
      <c r="BB269" s="469">
        <f t="shared" si="472"/>
        <v>3.2745987383680002</v>
      </c>
      <c r="BC269" s="5">
        <f t="shared" si="442"/>
        <v>0.23873002102458751</v>
      </c>
      <c r="BD269" s="469">
        <f t="shared" si="473"/>
        <v>0</v>
      </c>
      <c r="BQ269" s="538">
        <f t="shared" si="474"/>
        <v>0.20246</v>
      </c>
      <c r="CG269" s="571">
        <f t="shared" si="475"/>
        <v>-50</v>
      </c>
      <c r="CH269">
        <f t="shared" si="476"/>
        <v>-50</v>
      </c>
    </row>
    <row r="270" spans="5:86" x14ac:dyDescent="0.2">
      <c r="E270" s="174">
        <v>54</v>
      </c>
      <c r="F270" s="221">
        <f t="shared" si="477"/>
        <v>0.54</v>
      </c>
      <c r="G270" s="221"/>
      <c r="H270" s="221">
        <f t="shared" si="443"/>
        <v>2.7</v>
      </c>
      <c r="I270" s="551">
        <f t="shared" si="444"/>
        <v>25</v>
      </c>
      <c r="J270" s="451">
        <f t="shared" si="445"/>
        <v>10.64</v>
      </c>
      <c r="K270" s="451">
        <f t="shared" si="446"/>
        <v>35.64</v>
      </c>
      <c r="L270" s="451"/>
      <c r="M270" s="221">
        <f t="shared" si="447"/>
        <v>0.2985409652076319</v>
      </c>
      <c r="N270" s="176">
        <f t="shared" si="448"/>
        <v>14.130050505050503</v>
      </c>
      <c r="O270" s="176">
        <f t="shared" si="478"/>
        <v>2.7</v>
      </c>
      <c r="P270" s="221">
        <f t="shared" si="449"/>
        <v>2.8260101010101009</v>
      </c>
      <c r="Q270" s="221">
        <f t="shared" si="450"/>
        <v>5</v>
      </c>
      <c r="R270" s="221"/>
      <c r="S270" s="176">
        <f t="shared" si="451"/>
        <v>72.971243445718898</v>
      </c>
      <c r="T270" s="176">
        <f t="shared" si="452"/>
        <v>5</v>
      </c>
      <c r="U270" s="221">
        <f t="shared" si="453"/>
        <v>0.80390977443609013</v>
      </c>
      <c r="V270" s="221">
        <f t="shared" si="454"/>
        <v>0.22509473684210521</v>
      </c>
      <c r="W270" s="221">
        <f t="shared" si="455"/>
        <v>0.52888800949742765</v>
      </c>
      <c r="X270" s="201">
        <f t="shared" si="456"/>
        <v>350</v>
      </c>
      <c r="Y270" s="451">
        <f t="shared" si="418"/>
        <v>350</v>
      </c>
      <c r="AA270" s="221">
        <f t="shared" si="457"/>
        <v>3.0463363796697127</v>
      </c>
      <c r="AB270" s="177">
        <f t="shared" si="458"/>
        <v>2.004168670835337</v>
      </c>
      <c r="AC270" s="177">
        <f t="shared" si="459"/>
        <v>2.136880176535993</v>
      </c>
      <c r="AD270" s="177"/>
      <c r="AE270" s="177">
        <f t="shared" si="460"/>
        <v>0.53947368421052622</v>
      </c>
      <c r="AF270" s="555">
        <f t="shared" si="461"/>
        <v>1220.7019631171925</v>
      </c>
      <c r="AG270" s="538">
        <f t="shared" si="462"/>
        <v>0.15482894736842101</v>
      </c>
      <c r="AI270" s="177">
        <f t="shared" si="463"/>
        <v>1.5313859269115861</v>
      </c>
      <c r="AJ270" s="177">
        <f t="shared" si="464"/>
        <v>1.5313859269115861</v>
      </c>
      <c r="AK270" s="177">
        <f t="shared" si="465"/>
        <v>1.6742572846077242</v>
      </c>
      <c r="AM270" s="555">
        <f t="shared" si="466"/>
        <v>540</v>
      </c>
      <c r="AN270" s="469">
        <f t="shared" si="467"/>
        <v>350</v>
      </c>
      <c r="AP270">
        <f t="shared" si="468"/>
        <v>540</v>
      </c>
      <c r="AQ270">
        <f t="shared" si="469"/>
        <v>350</v>
      </c>
      <c r="AS270" s="5">
        <f t="shared" si="479"/>
        <v>2.8571428571428572</v>
      </c>
      <c r="AT270" s="5">
        <f t="shared" si="470"/>
        <v>0.42878805953524413</v>
      </c>
      <c r="AU270" s="5">
        <f t="shared" si="440"/>
        <v>2.428354797607613</v>
      </c>
      <c r="AV270" s="5"/>
      <c r="AW270" s="177">
        <f t="shared" si="441"/>
        <v>0.15007582083733545</v>
      </c>
      <c r="AX270" s="177"/>
      <c r="BA270" s="469">
        <f t="shared" si="471"/>
        <v>99.208085235696529</v>
      </c>
      <c r="BB270" s="469">
        <f t="shared" si="472"/>
        <v>3.3687682168319997</v>
      </c>
      <c r="BC270" s="5">
        <f t="shared" si="442"/>
        <v>0.24283547976076125</v>
      </c>
      <c r="BD270" s="469">
        <f t="shared" si="473"/>
        <v>0</v>
      </c>
      <c r="BQ270" s="538">
        <f t="shared" si="474"/>
        <v>0.20628000000000002</v>
      </c>
      <c r="CG270" s="571">
        <f t="shared" si="475"/>
        <v>-50</v>
      </c>
      <c r="CH270">
        <f t="shared" si="476"/>
        <v>-50</v>
      </c>
    </row>
    <row r="271" spans="5:86" x14ac:dyDescent="0.2">
      <c r="E271" s="174">
        <v>55</v>
      </c>
      <c r="F271" s="221">
        <f t="shared" si="477"/>
        <v>0.55000000000000004</v>
      </c>
      <c r="G271" s="221"/>
      <c r="H271" s="221">
        <f t="shared" si="443"/>
        <v>2.75</v>
      </c>
      <c r="I271" s="551">
        <f t="shared" si="444"/>
        <v>25</v>
      </c>
      <c r="J271" s="451">
        <f t="shared" si="445"/>
        <v>10.64</v>
      </c>
      <c r="K271" s="451">
        <f t="shared" si="446"/>
        <v>35.64</v>
      </c>
      <c r="L271" s="451"/>
      <c r="M271" s="221">
        <f t="shared" si="447"/>
        <v>0.2985409652076319</v>
      </c>
      <c r="N271" s="176">
        <f t="shared" si="448"/>
        <v>14.130050505050503</v>
      </c>
      <c r="O271" s="176">
        <f t="shared" si="478"/>
        <v>2.75</v>
      </c>
      <c r="P271" s="221">
        <f t="shared" si="449"/>
        <v>2.8260101010101009</v>
      </c>
      <c r="Q271" s="221">
        <f t="shared" si="450"/>
        <v>5</v>
      </c>
      <c r="R271" s="221"/>
      <c r="S271" s="176">
        <f t="shared" si="451"/>
        <v>71.419393734750884</v>
      </c>
      <c r="T271" s="176">
        <f t="shared" si="452"/>
        <v>5</v>
      </c>
      <c r="U271" s="221">
        <f t="shared" si="453"/>
        <v>0.81879699248120286</v>
      </c>
      <c r="V271" s="221">
        <f t="shared" si="454"/>
        <v>0.22926315789473681</v>
      </c>
      <c r="W271" s="221">
        <f t="shared" si="455"/>
        <v>0.53868223189552822</v>
      </c>
      <c r="X271" s="201">
        <f t="shared" si="456"/>
        <v>350</v>
      </c>
      <c r="Y271" s="451">
        <f t="shared" si="418"/>
        <v>350</v>
      </c>
      <c r="AA271" s="221">
        <f t="shared" si="457"/>
        <v>3.0463363796697127</v>
      </c>
      <c r="AB271" s="177">
        <f t="shared" si="458"/>
        <v>2.004168670835337</v>
      </c>
      <c r="AC271" s="177">
        <f t="shared" si="459"/>
        <v>2.136880176535993</v>
      </c>
      <c r="AD271" s="177"/>
      <c r="AE271" s="177">
        <f t="shared" si="460"/>
        <v>0.53947368421052622</v>
      </c>
      <c r="AF271" s="555">
        <f t="shared" si="461"/>
        <v>1243.3075550267702</v>
      </c>
      <c r="AG271" s="538">
        <f t="shared" si="462"/>
        <v>0.15482894736842101</v>
      </c>
      <c r="AI271" s="177">
        <f t="shared" si="463"/>
        <v>1.5455003812912598</v>
      </c>
      <c r="AJ271" s="177">
        <f t="shared" si="464"/>
        <v>1.5455003812912598</v>
      </c>
      <c r="AK271" s="177">
        <f t="shared" si="465"/>
        <v>1.6836669208608399</v>
      </c>
      <c r="AM271" s="555">
        <f t="shared" si="466"/>
        <v>550</v>
      </c>
      <c r="AN271" s="469">
        <f t="shared" si="467"/>
        <v>350</v>
      </c>
      <c r="AP271">
        <f t="shared" si="468"/>
        <v>550</v>
      </c>
      <c r="AQ271">
        <f t="shared" si="469"/>
        <v>350</v>
      </c>
      <c r="AS271" s="5">
        <f t="shared" si="479"/>
        <v>2.8571428571428572</v>
      </c>
      <c r="AT271" s="5">
        <f t="shared" si="470"/>
        <v>0.43274010676155272</v>
      </c>
      <c r="AU271" s="5">
        <f t="shared" si="440"/>
        <v>2.4244027503813044</v>
      </c>
      <c r="AV271" s="5"/>
      <c r="AW271" s="177">
        <f t="shared" si="441"/>
        <v>0.15145903736654345</v>
      </c>
      <c r="AX271" s="177"/>
      <c r="BA271" s="469">
        <f t="shared" si="471"/>
        <v>99.208085235696529</v>
      </c>
      <c r="BB271" s="469">
        <f t="shared" si="472"/>
        <v>3.4641371248000006</v>
      </c>
      <c r="BC271" s="5">
        <f t="shared" si="442"/>
        <v>0.24692990976105875</v>
      </c>
      <c r="BD271" s="469">
        <f t="shared" si="473"/>
        <v>0</v>
      </c>
      <c r="BQ271" s="538">
        <f t="shared" si="474"/>
        <v>0.21010000000000001</v>
      </c>
      <c r="CG271" s="571">
        <f t="shared" si="475"/>
        <v>-50</v>
      </c>
      <c r="CH271">
        <f t="shared" si="476"/>
        <v>-50</v>
      </c>
    </row>
    <row r="272" spans="5:86" x14ac:dyDescent="0.2">
      <c r="E272" s="174">
        <v>56</v>
      </c>
      <c r="F272" s="221">
        <f t="shared" si="477"/>
        <v>0.56000000000000005</v>
      </c>
      <c r="G272" s="221"/>
      <c r="H272" s="221">
        <f t="shared" si="443"/>
        <v>2.8000000000000003</v>
      </c>
      <c r="I272" s="551">
        <f t="shared" si="444"/>
        <v>25</v>
      </c>
      <c r="J272" s="451">
        <f t="shared" si="445"/>
        <v>10.64</v>
      </c>
      <c r="K272" s="451">
        <f t="shared" si="446"/>
        <v>35.64</v>
      </c>
      <c r="L272" s="451"/>
      <c r="M272" s="221">
        <f t="shared" si="447"/>
        <v>0.2985409652076319</v>
      </c>
      <c r="N272" s="176">
        <f t="shared" si="448"/>
        <v>14.130050505050503</v>
      </c>
      <c r="O272" s="176">
        <f t="shared" si="478"/>
        <v>2.8000000000000003</v>
      </c>
      <c r="P272" s="221">
        <f t="shared" si="449"/>
        <v>2.8260101010101009</v>
      </c>
      <c r="Q272" s="221">
        <f t="shared" si="450"/>
        <v>5</v>
      </c>
      <c r="R272" s="221"/>
      <c r="S272" s="176">
        <f t="shared" si="451"/>
        <v>69.923016591152958</v>
      </c>
      <c r="T272" s="176">
        <f t="shared" si="452"/>
        <v>5</v>
      </c>
      <c r="U272" s="221">
        <f t="shared" si="453"/>
        <v>0.83368421052631581</v>
      </c>
      <c r="V272" s="221">
        <f t="shared" si="454"/>
        <v>0.23343157894736841</v>
      </c>
      <c r="W272" s="221">
        <f t="shared" si="455"/>
        <v>0.54847645429362879</v>
      </c>
      <c r="X272" s="201">
        <f t="shared" si="456"/>
        <v>350</v>
      </c>
      <c r="Y272" s="451">
        <f t="shared" si="418"/>
        <v>350</v>
      </c>
      <c r="AA272" s="221">
        <f t="shared" si="457"/>
        <v>3.0463363796697127</v>
      </c>
      <c r="AB272" s="177">
        <f t="shared" si="458"/>
        <v>2.004168670835337</v>
      </c>
      <c r="AC272" s="177">
        <f t="shared" si="459"/>
        <v>2.136880176535993</v>
      </c>
      <c r="AD272" s="177"/>
      <c r="AE272" s="177">
        <f t="shared" si="460"/>
        <v>0.53947368421052622</v>
      </c>
      <c r="AF272" s="555">
        <f t="shared" si="461"/>
        <v>1265.9131469363476</v>
      </c>
      <c r="AG272" s="538">
        <f t="shared" si="462"/>
        <v>0.15482894736842101</v>
      </c>
      <c r="AI272" s="177">
        <f t="shared" si="463"/>
        <v>1.5594870951694344</v>
      </c>
      <c r="AJ272" s="177">
        <f t="shared" si="464"/>
        <v>1.5594870951694344</v>
      </c>
      <c r="AK272" s="177">
        <f t="shared" si="465"/>
        <v>1.6929913967796231</v>
      </c>
      <c r="AM272" s="555">
        <f t="shared" si="466"/>
        <v>560</v>
      </c>
      <c r="AN272" s="469">
        <f t="shared" si="467"/>
        <v>350</v>
      </c>
      <c r="AP272">
        <f t="shared" si="468"/>
        <v>560</v>
      </c>
      <c r="AQ272">
        <f t="shared" si="469"/>
        <v>350</v>
      </c>
      <c r="AS272" s="5">
        <f t="shared" si="479"/>
        <v>2.8571428571428572</v>
      </c>
      <c r="AT272" s="5">
        <f t="shared" si="470"/>
        <v>0.43665638664744161</v>
      </c>
      <c r="AU272" s="5">
        <f t="shared" si="440"/>
        <v>2.4204864704954154</v>
      </c>
      <c r="AV272" s="5"/>
      <c r="AW272" s="177">
        <f t="shared" si="441"/>
        <v>0.15282973532660457</v>
      </c>
      <c r="AX272" s="177"/>
      <c r="BA272" s="469">
        <f t="shared" si="471"/>
        <v>99.208085235696529</v>
      </c>
      <c r="BB272" s="469">
        <f t="shared" si="472"/>
        <v>3.5607054622719998</v>
      </c>
      <c r="BC272" s="5">
        <f t="shared" si="442"/>
        <v>0.25101341175508007</v>
      </c>
      <c r="BD272" s="469">
        <f t="shared" si="473"/>
        <v>0</v>
      </c>
      <c r="BQ272" s="538">
        <f t="shared" si="474"/>
        <v>0.21392000000000003</v>
      </c>
      <c r="CG272" s="571">
        <f t="shared" si="475"/>
        <v>-50</v>
      </c>
      <c r="CH272">
        <f t="shared" si="476"/>
        <v>-50</v>
      </c>
    </row>
    <row r="273" spans="5:86" x14ac:dyDescent="0.2">
      <c r="E273" s="174">
        <v>57</v>
      </c>
      <c r="F273" s="221">
        <f t="shared" si="477"/>
        <v>0.56999999999999995</v>
      </c>
      <c r="G273" s="221"/>
      <c r="H273" s="221">
        <f t="shared" si="443"/>
        <v>2.8499999999999996</v>
      </c>
      <c r="I273" s="551">
        <f t="shared" si="444"/>
        <v>25</v>
      </c>
      <c r="J273" s="451">
        <f t="shared" si="445"/>
        <v>10.64</v>
      </c>
      <c r="K273" s="451">
        <f t="shared" si="446"/>
        <v>35.64</v>
      </c>
      <c r="L273" s="451"/>
      <c r="M273" s="221">
        <f t="shared" si="447"/>
        <v>0.2985409652076319</v>
      </c>
      <c r="N273" s="176">
        <f t="shared" si="448"/>
        <v>14.130050505050503</v>
      </c>
      <c r="O273" s="176">
        <f t="shared" si="478"/>
        <v>2.8499999999999996</v>
      </c>
      <c r="P273" s="221">
        <f t="shared" si="449"/>
        <v>2.8260101010101009</v>
      </c>
      <c r="Q273" s="221">
        <f t="shared" si="450"/>
        <v>5</v>
      </c>
      <c r="R273" s="221"/>
      <c r="S273" s="176">
        <f t="shared" si="451"/>
        <v>68.479192848555115</v>
      </c>
      <c r="T273" s="176">
        <f t="shared" si="452"/>
        <v>5</v>
      </c>
      <c r="U273" s="221">
        <f t="shared" si="453"/>
        <v>0.84857142857142831</v>
      </c>
      <c r="V273" s="221">
        <f t="shared" si="454"/>
        <v>0.23759999999999992</v>
      </c>
      <c r="W273" s="221">
        <f t="shared" si="455"/>
        <v>0.55827067669172914</v>
      </c>
      <c r="X273" s="201">
        <f t="shared" si="456"/>
        <v>350</v>
      </c>
      <c r="Y273" s="451">
        <f t="shared" si="418"/>
        <v>350</v>
      </c>
      <c r="AA273" s="221">
        <f t="shared" si="457"/>
        <v>3.0463363796697127</v>
      </c>
      <c r="AB273" s="177">
        <f t="shared" si="458"/>
        <v>2.004168670835337</v>
      </c>
      <c r="AC273" s="177">
        <f t="shared" si="459"/>
        <v>2.136880176535993</v>
      </c>
      <c r="AD273" s="177"/>
      <c r="AE273" s="177">
        <f t="shared" si="460"/>
        <v>0.53947368421052622</v>
      </c>
      <c r="AF273" s="555">
        <f t="shared" si="461"/>
        <v>1288.5187388459251</v>
      </c>
      <c r="AG273" s="538">
        <f t="shared" si="462"/>
        <v>0.15482894736842101</v>
      </c>
      <c r="AI273" s="177">
        <f t="shared" si="463"/>
        <v>1.5733494753005677</v>
      </c>
      <c r="AJ273" s="177">
        <f t="shared" si="464"/>
        <v>1.5733494753005677</v>
      </c>
      <c r="AK273" s="177">
        <f t="shared" si="465"/>
        <v>1.7022329835337118</v>
      </c>
      <c r="AM273" s="555">
        <f t="shared" si="466"/>
        <v>570</v>
      </c>
      <c r="AN273" s="469">
        <f t="shared" si="467"/>
        <v>350</v>
      </c>
      <c r="AP273">
        <f t="shared" si="468"/>
        <v>570</v>
      </c>
      <c r="AQ273">
        <f t="shared" si="469"/>
        <v>350</v>
      </c>
      <c r="AS273" s="5">
        <f t="shared" si="479"/>
        <v>2.8571428571428572</v>
      </c>
      <c r="AT273" s="5">
        <f t="shared" si="470"/>
        <v>0.44053785308415894</v>
      </c>
      <c r="AU273" s="5">
        <f t="shared" si="440"/>
        <v>2.4166050040586984</v>
      </c>
      <c r="AV273" s="5"/>
      <c r="AW273" s="177">
        <f t="shared" si="441"/>
        <v>0.15418824857945562</v>
      </c>
      <c r="AX273" s="177"/>
      <c r="BA273" s="469">
        <f t="shared" si="471"/>
        <v>99.208085235696529</v>
      </c>
      <c r="BB273" s="469">
        <f t="shared" si="472"/>
        <v>3.6584732292479991</v>
      </c>
      <c r="BC273" s="5">
        <f t="shared" si="442"/>
        <v>0.2550860837617514</v>
      </c>
      <c r="BD273" s="469">
        <f t="shared" si="473"/>
        <v>0</v>
      </c>
      <c r="BQ273" s="538">
        <f t="shared" si="474"/>
        <v>0.21773999999999996</v>
      </c>
      <c r="CG273" s="571">
        <f t="shared" si="475"/>
        <v>-50</v>
      </c>
      <c r="CH273">
        <f t="shared" si="476"/>
        <v>-50</v>
      </c>
    </row>
    <row r="274" spans="5:86" x14ac:dyDescent="0.2">
      <c r="E274" s="174">
        <v>58</v>
      </c>
      <c r="F274" s="221">
        <f t="shared" si="477"/>
        <v>0.57999999999999996</v>
      </c>
      <c r="G274" s="221"/>
      <c r="H274" s="221">
        <f t="shared" si="443"/>
        <v>2.9</v>
      </c>
      <c r="I274" s="551">
        <f t="shared" si="444"/>
        <v>25</v>
      </c>
      <c r="J274" s="451">
        <f t="shared" si="445"/>
        <v>10.64</v>
      </c>
      <c r="K274" s="451">
        <f t="shared" si="446"/>
        <v>35.64</v>
      </c>
      <c r="L274" s="451"/>
      <c r="M274" s="221">
        <f t="shared" si="447"/>
        <v>0.2985409652076319</v>
      </c>
      <c r="N274" s="176">
        <f t="shared" si="448"/>
        <v>14.130050505050503</v>
      </c>
      <c r="O274" s="176">
        <f t="shared" si="478"/>
        <v>2.9</v>
      </c>
      <c r="P274" s="221">
        <f t="shared" si="449"/>
        <v>2.8260101010101009</v>
      </c>
      <c r="Q274" s="221">
        <f t="shared" si="450"/>
        <v>5</v>
      </c>
      <c r="R274" s="221"/>
      <c r="S274" s="176">
        <f t="shared" si="451"/>
        <v>67.085204667504172</v>
      </c>
      <c r="T274" s="176">
        <f t="shared" si="452"/>
        <v>5</v>
      </c>
      <c r="U274" s="221">
        <f t="shared" si="453"/>
        <v>0.86345864661654126</v>
      </c>
      <c r="V274" s="221">
        <f t="shared" si="454"/>
        <v>0.24176842105263158</v>
      </c>
      <c r="W274" s="221">
        <f t="shared" si="455"/>
        <v>0.56806489908982982</v>
      </c>
      <c r="X274" s="201">
        <f t="shared" si="456"/>
        <v>350</v>
      </c>
      <c r="Y274" s="451">
        <f t="shared" si="418"/>
        <v>350</v>
      </c>
      <c r="AA274" s="221">
        <f t="shared" si="457"/>
        <v>3.0463363796697127</v>
      </c>
      <c r="AB274" s="177">
        <f t="shared" si="458"/>
        <v>2.004168670835337</v>
      </c>
      <c r="AC274" s="177">
        <f t="shared" si="459"/>
        <v>2.136880176535993</v>
      </c>
      <c r="AD274" s="177"/>
      <c r="AE274" s="177">
        <f t="shared" si="460"/>
        <v>0.53947368421052622</v>
      </c>
      <c r="AF274" s="555">
        <f t="shared" si="461"/>
        <v>1311.124330755503</v>
      </c>
      <c r="AG274" s="538">
        <f t="shared" si="462"/>
        <v>0.15482894736842101</v>
      </c>
      <c r="AI274" s="177">
        <f t="shared" si="463"/>
        <v>1.5870907796522362</v>
      </c>
      <c r="AJ274" s="177">
        <f t="shared" si="464"/>
        <v>1.5870907796522362</v>
      </c>
      <c r="AK274" s="177">
        <f t="shared" si="465"/>
        <v>1.7113938531014909</v>
      </c>
      <c r="AM274" s="555">
        <f t="shared" si="466"/>
        <v>580</v>
      </c>
      <c r="AN274" s="469">
        <f t="shared" si="467"/>
        <v>350</v>
      </c>
      <c r="AP274">
        <f t="shared" si="468"/>
        <v>580</v>
      </c>
      <c r="AQ274">
        <f t="shared" si="469"/>
        <v>350</v>
      </c>
      <c r="AS274" s="5">
        <f t="shared" si="479"/>
        <v>2.8571428571428572</v>
      </c>
      <c r="AT274" s="5">
        <f t="shared" si="470"/>
        <v>0.44438541830262618</v>
      </c>
      <c r="AU274" s="5">
        <f t="shared" si="440"/>
        <v>2.4127574388402309</v>
      </c>
      <c r="AV274" s="5"/>
      <c r="AW274" s="177">
        <f t="shared" si="441"/>
        <v>0.15553489640591917</v>
      </c>
      <c r="AX274" s="177"/>
      <c r="BA274" s="469">
        <f t="shared" si="471"/>
        <v>99.208085235696529</v>
      </c>
      <c r="BB274" s="469">
        <f t="shared" si="472"/>
        <v>3.7574404257279994</v>
      </c>
      <c r="BC274" s="5">
        <f t="shared" si="442"/>
        <v>0.25914802120876551</v>
      </c>
      <c r="BD274" s="469">
        <f t="shared" si="473"/>
        <v>0</v>
      </c>
      <c r="BQ274" s="538">
        <f t="shared" si="474"/>
        <v>0.22155999999999998</v>
      </c>
      <c r="CG274" s="571">
        <f t="shared" si="475"/>
        <v>-50</v>
      </c>
      <c r="CH274">
        <f t="shared" si="476"/>
        <v>-50</v>
      </c>
    </row>
    <row r="275" spans="5:86" x14ac:dyDescent="0.2">
      <c r="E275" s="174">
        <v>59</v>
      </c>
      <c r="F275" s="221">
        <f t="shared" si="477"/>
        <v>0.59</v>
      </c>
      <c r="G275" s="221"/>
      <c r="H275" s="221">
        <f t="shared" si="443"/>
        <v>2.9499999999999997</v>
      </c>
      <c r="I275" s="551">
        <f t="shared" si="444"/>
        <v>25</v>
      </c>
      <c r="J275" s="451">
        <f t="shared" si="445"/>
        <v>10.64</v>
      </c>
      <c r="K275" s="451">
        <f t="shared" si="446"/>
        <v>35.64</v>
      </c>
      <c r="L275" s="451"/>
      <c r="M275" s="221">
        <f t="shared" si="447"/>
        <v>0.2985409652076319</v>
      </c>
      <c r="N275" s="176">
        <f t="shared" si="448"/>
        <v>14.130050505050503</v>
      </c>
      <c r="O275" s="176">
        <f t="shared" si="478"/>
        <v>2.9499999999999997</v>
      </c>
      <c r="P275" s="221">
        <f t="shared" si="449"/>
        <v>2.8260101010101009</v>
      </c>
      <c r="Q275" s="221">
        <f t="shared" si="450"/>
        <v>5</v>
      </c>
      <c r="R275" s="221"/>
      <c r="S275" s="176">
        <f t="shared" si="451"/>
        <v>65.738518473931023</v>
      </c>
      <c r="T275" s="176">
        <f t="shared" si="452"/>
        <v>5</v>
      </c>
      <c r="U275" s="221">
        <f t="shared" si="453"/>
        <v>0.87834586466165399</v>
      </c>
      <c r="V275" s="221">
        <f t="shared" si="454"/>
        <v>0.24593684210526309</v>
      </c>
      <c r="W275" s="221">
        <f t="shared" si="455"/>
        <v>0.57785912148793017</v>
      </c>
      <c r="X275" s="201">
        <f t="shared" si="456"/>
        <v>350</v>
      </c>
      <c r="Y275" s="451">
        <f t="shared" si="418"/>
        <v>350</v>
      </c>
      <c r="AA275" s="221">
        <f t="shared" si="457"/>
        <v>3.0463363796697127</v>
      </c>
      <c r="AB275" s="177">
        <f t="shared" si="458"/>
        <v>2.004168670835337</v>
      </c>
      <c r="AC275" s="177">
        <f t="shared" si="459"/>
        <v>2.136880176535993</v>
      </c>
      <c r="AD275" s="177"/>
      <c r="AE275" s="177">
        <f t="shared" si="460"/>
        <v>0.53947368421052622</v>
      </c>
      <c r="AF275" s="555">
        <f t="shared" si="461"/>
        <v>1333.7299226650805</v>
      </c>
      <c r="AG275" s="538">
        <f t="shared" si="462"/>
        <v>0.15482894736842101</v>
      </c>
      <c r="AI275" s="177">
        <f t="shared" si="463"/>
        <v>1.6007141263466487</v>
      </c>
      <c r="AJ275" s="177">
        <f t="shared" si="464"/>
        <v>1.6007141263466487</v>
      </c>
      <c r="AK275" s="177">
        <f t="shared" si="465"/>
        <v>1.7204760842310991</v>
      </c>
      <c r="AM275" s="555">
        <f t="shared" si="466"/>
        <v>590</v>
      </c>
      <c r="AN275" s="469">
        <f t="shared" si="467"/>
        <v>350</v>
      </c>
      <c r="AP275">
        <f t="shared" si="468"/>
        <v>590</v>
      </c>
      <c r="AQ275">
        <f t="shared" si="469"/>
        <v>350</v>
      </c>
      <c r="AS275" s="5">
        <f t="shared" si="479"/>
        <v>2.8571428571428572</v>
      </c>
      <c r="AT275" s="5">
        <f t="shared" si="470"/>
        <v>0.44819995537706164</v>
      </c>
      <c r="AU275" s="5">
        <f t="shared" si="440"/>
        <v>2.4089429017657955</v>
      </c>
      <c r="AV275" s="5"/>
      <c r="AW275" s="177">
        <f t="shared" si="441"/>
        <v>0.15686998438197158</v>
      </c>
      <c r="AX275" s="177"/>
      <c r="BA275" s="469">
        <f t="shared" si="471"/>
        <v>99.208085235696529</v>
      </c>
      <c r="BB275" s="469">
        <f t="shared" si="472"/>
        <v>3.8576070517119998</v>
      </c>
      <c r="BC275" s="5">
        <f t="shared" si="442"/>
        <v>0.26319931704478128</v>
      </c>
      <c r="BD275" s="469">
        <f t="shared" si="473"/>
        <v>0</v>
      </c>
      <c r="BQ275" s="538">
        <f t="shared" si="474"/>
        <v>0.22537999999999997</v>
      </c>
      <c r="CG275" s="571">
        <f t="shared" si="475"/>
        <v>-50</v>
      </c>
      <c r="CH275">
        <f t="shared" si="476"/>
        <v>-50</v>
      </c>
    </row>
    <row r="276" spans="5:86" x14ac:dyDescent="0.2">
      <c r="E276" s="174">
        <v>60</v>
      </c>
      <c r="F276" s="221">
        <f t="shared" si="477"/>
        <v>0.6</v>
      </c>
      <c r="G276" s="221"/>
      <c r="H276" s="221">
        <f t="shared" si="443"/>
        <v>3</v>
      </c>
      <c r="I276" s="551">
        <f t="shared" si="444"/>
        <v>25</v>
      </c>
      <c r="J276" s="451">
        <f t="shared" si="445"/>
        <v>10.64</v>
      </c>
      <c r="K276" s="451">
        <f t="shared" si="446"/>
        <v>35.64</v>
      </c>
      <c r="L276" s="451"/>
      <c r="M276" s="221">
        <f t="shared" si="447"/>
        <v>0.2985409652076319</v>
      </c>
      <c r="N276" s="176">
        <f t="shared" si="448"/>
        <v>14.130050505050503</v>
      </c>
      <c r="O276" s="176">
        <f t="shared" si="478"/>
        <v>3</v>
      </c>
      <c r="P276" s="221">
        <f t="shared" si="449"/>
        <v>2.8260101010101009</v>
      </c>
      <c r="Q276" s="221">
        <f t="shared" si="450"/>
        <v>5</v>
      </c>
      <c r="R276" s="221"/>
      <c r="S276" s="176">
        <f t="shared" si="451"/>
        <v>64.436769603772319</v>
      </c>
      <c r="T276" s="176">
        <f t="shared" si="452"/>
        <v>5</v>
      </c>
      <c r="U276" s="221">
        <f t="shared" si="453"/>
        <v>0.89323308270676682</v>
      </c>
      <c r="V276" s="221">
        <f t="shared" si="454"/>
        <v>0.25010526315789472</v>
      </c>
      <c r="W276" s="221">
        <f t="shared" si="455"/>
        <v>0.58765334388603074</v>
      </c>
      <c r="X276" s="201">
        <f t="shared" si="456"/>
        <v>350</v>
      </c>
      <c r="Y276" s="451">
        <f t="shared" ref="Y276:Y316" si="480">MIN(1/(V276+W276)*1000, 350)</f>
        <v>350</v>
      </c>
      <c r="AA276" s="221">
        <f t="shared" si="457"/>
        <v>3.0463363796697127</v>
      </c>
      <c r="AB276" s="177">
        <f t="shared" si="458"/>
        <v>2.004168670835337</v>
      </c>
      <c r="AC276" s="177">
        <f t="shared" si="459"/>
        <v>2.136880176535993</v>
      </c>
      <c r="AD276" s="177"/>
      <c r="AE276" s="177">
        <f t="shared" si="460"/>
        <v>0.53947368421052622</v>
      </c>
      <c r="AF276" s="555">
        <f t="shared" si="461"/>
        <v>1356.3355145746582</v>
      </c>
      <c r="AG276" s="538">
        <f t="shared" si="462"/>
        <v>0.15482894736842101</v>
      </c>
      <c r="AI276" s="177">
        <f t="shared" si="463"/>
        <v>1.6142225019229182</v>
      </c>
      <c r="AJ276" s="177">
        <f t="shared" si="464"/>
        <v>1.6142225019229182</v>
      </c>
      <c r="AK276" s="177">
        <f t="shared" si="465"/>
        <v>1.7294816679486122</v>
      </c>
      <c r="AM276" s="555">
        <f t="shared" si="466"/>
        <v>600</v>
      </c>
      <c r="AN276" s="469">
        <f t="shared" si="467"/>
        <v>350</v>
      </c>
      <c r="AP276">
        <f t="shared" si="468"/>
        <v>600</v>
      </c>
      <c r="AQ276">
        <f t="shared" si="469"/>
        <v>350</v>
      </c>
      <c r="AS276" s="5">
        <f t="shared" si="479"/>
        <v>2.8571428571428572</v>
      </c>
      <c r="AT276" s="5">
        <f t="shared" si="470"/>
        <v>0.45198230053841709</v>
      </c>
      <c r="AU276" s="5">
        <f t="shared" si="440"/>
        <v>2.4051605566044403</v>
      </c>
      <c r="AV276" s="5"/>
      <c r="AW276" s="177">
        <f t="shared" si="441"/>
        <v>0.15819380518844597</v>
      </c>
      <c r="AX276" s="177"/>
      <c r="BA276" s="469">
        <f t="shared" si="471"/>
        <v>99.208085235696529</v>
      </c>
      <c r="BB276" s="469">
        <f t="shared" si="472"/>
        <v>3.9589731071999998</v>
      </c>
      <c r="BC276" s="5">
        <f t="shared" si="442"/>
        <v>0.26724006184493776</v>
      </c>
      <c r="BD276" s="469">
        <f t="shared" si="473"/>
        <v>0</v>
      </c>
      <c r="BQ276" s="538">
        <f t="shared" si="474"/>
        <v>0.22919999999999999</v>
      </c>
      <c r="CG276" s="571">
        <f t="shared" si="475"/>
        <v>-50</v>
      </c>
      <c r="CH276">
        <f t="shared" si="476"/>
        <v>-50</v>
      </c>
    </row>
    <row r="277" spans="5:86" x14ac:dyDescent="0.2">
      <c r="E277" s="174">
        <v>61</v>
      </c>
      <c r="F277" s="221">
        <f t="shared" si="477"/>
        <v>0.61</v>
      </c>
      <c r="G277" s="221"/>
      <c r="H277" s="221">
        <f t="shared" si="443"/>
        <v>3.05</v>
      </c>
      <c r="I277" s="551">
        <f t="shared" si="444"/>
        <v>25</v>
      </c>
      <c r="J277" s="451">
        <f t="shared" si="445"/>
        <v>10.64</v>
      </c>
      <c r="K277" s="451">
        <f t="shared" si="446"/>
        <v>35.64</v>
      </c>
      <c r="L277" s="451"/>
      <c r="M277" s="221">
        <f t="shared" si="447"/>
        <v>0.2985409652076319</v>
      </c>
      <c r="N277" s="176">
        <f t="shared" si="448"/>
        <v>14.130050505050503</v>
      </c>
      <c r="O277" s="176">
        <f t="shared" si="478"/>
        <v>3.05</v>
      </c>
      <c r="P277" s="221">
        <f t="shared" si="449"/>
        <v>2.8260101010101009</v>
      </c>
      <c r="Q277" s="221">
        <f t="shared" si="450"/>
        <v>5</v>
      </c>
      <c r="R277" s="221"/>
      <c r="S277" s="176">
        <f t="shared" si="451"/>
        <v>63.17774845795828</v>
      </c>
      <c r="T277" s="176">
        <f t="shared" si="452"/>
        <v>5</v>
      </c>
      <c r="U277" s="221">
        <f t="shared" si="453"/>
        <v>0.90812030075187955</v>
      </c>
      <c r="V277" s="221">
        <f t="shared" si="454"/>
        <v>0.25427368421052626</v>
      </c>
      <c r="W277" s="221">
        <f t="shared" si="455"/>
        <v>0.5974475662841312</v>
      </c>
      <c r="X277" s="201">
        <f t="shared" si="456"/>
        <v>350</v>
      </c>
      <c r="Y277" s="451">
        <f t="shared" si="480"/>
        <v>350</v>
      </c>
      <c r="AA277" s="221">
        <f t="shared" si="457"/>
        <v>3.0463363796697127</v>
      </c>
      <c r="AB277" s="177">
        <f t="shared" si="458"/>
        <v>2.004168670835337</v>
      </c>
      <c r="AC277" s="177">
        <f t="shared" si="459"/>
        <v>2.136880176535993</v>
      </c>
      <c r="AD277" s="177"/>
      <c r="AE277" s="177">
        <f t="shared" si="460"/>
        <v>0.53947368421052622</v>
      </c>
      <c r="AF277" s="555">
        <f t="shared" si="461"/>
        <v>1378.9411064842357</v>
      </c>
      <c r="AG277" s="538">
        <f t="shared" si="462"/>
        <v>0.15482894736842101</v>
      </c>
      <c r="AI277" s="177">
        <f t="shared" si="463"/>
        <v>1.6276187689821155</v>
      </c>
      <c r="AJ277" s="177">
        <f t="shared" si="464"/>
        <v>1.6276187689821155</v>
      </c>
      <c r="AK277" s="177">
        <f t="shared" si="465"/>
        <v>1.7384125126547438</v>
      </c>
      <c r="AM277" s="555">
        <f t="shared" si="466"/>
        <v>610</v>
      </c>
      <c r="AN277" s="469">
        <f t="shared" si="467"/>
        <v>350</v>
      </c>
      <c r="AP277">
        <f t="shared" si="468"/>
        <v>610</v>
      </c>
      <c r="AQ277">
        <f t="shared" si="469"/>
        <v>350</v>
      </c>
      <c r="AS277" s="5">
        <f t="shared" si="479"/>
        <v>2.8571428571428572</v>
      </c>
      <c r="AT277" s="5">
        <f t="shared" si="470"/>
        <v>0.45573325531499237</v>
      </c>
      <c r="AU277" s="5">
        <f t="shared" si="440"/>
        <v>2.401409601827865</v>
      </c>
      <c r="AV277" s="5"/>
      <c r="AW277" s="177">
        <f t="shared" si="441"/>
        <v>0.15950663936024734</v>
      </c>
      <c r="AX277" s="177"/>
      <c r="BA277" s="469">
        <f t="shared" si="471"/>
        <v>99.208085235696529</v>
      </c>
      <c r="BB277" s="469">
        <f t="shared" si="472"/>
        <v>4.061538592192</v>
      </c>
      <c r="BC277" s="5">
        <f t="shared" si="442"/>
        <v>0.27127034391018467</v>
      </c>
      <c r="BD277" s="469">
        <f t="shared" si="473"/>
        <v>0</v>
      </c>
      <c r="BQ277" s="538">
        <f t="shared" si="474"/>
        <v>0.23301999999999998</v>
      </c>
      <c r="CG277" s="571">
        <f t="shared" si="475"/>
        <v>-50</v>
      </c>
      <c r="CH277">
        <f t="shared" si="476"/>
        <v>-50</v>
      </c>
    </row>
    <row r="278" spans="5:86" x14ac:dyDescent="0.2">
      <c r="E278" s="174">
        <v>62</v>
      </c>
      <c r="F278" s="221">
        <f t="shared" si="477"/>
        <v>0.62</v>
      </c>
      <c r="G278" s="221"/>
      <c r="H278" s="221">
        <f t="shared" si="443"/>
        <v>3.1</v>
      </c>
      <c r="I278" s="551">
        <f t="shared" si="444"/>
        <v>25</v>
      </c>
      <c r="J278" s="451">
        <f t="shared" si="445"/>
        <v>10.64</v>
      </c>
      <c r="K278" s="451">
        <f t="shared" si="446"/>
        <v>35.64</v>
      </c>
      <c r="L278" s="451"/>
      <c r="M278" s="221">
        <f t="shared" si="447"/>
        <v>0.2985409652076319</v>
      </c>
      <c r="N278" s="176">
        <f t="shared" si="448"/>
        <v>14.130050505050503</v>
      </c>
      <c r="O278" s="176">
        <f t="shared" si="478"/>
        <v>3.1</v>
      </c>
      <c r="P278" s="221">
        <f t="shared" si="449"/>
        <v>2.8260101010101009</v>
      </c>
      <c r="Q278" s="221">
        <f t="shared" si="450"/>
        <v>5</v>
      </c>
      <c r="R278" s="221"/>
      <c r="S278" s="176">
        <f t="shared" si="451"/>
        <v>61.959387997241677</v>
      </c>
      <c r="T278" s="176">
        <f t="shared" si="452"/>
        <v>5</v>
      </c>
      <c r="U278" s="221">
        <f t="shared" si="453"/>
        <v>0.92300751879699239</v>
      </c>
      <c r="V278" s="221">
        <f t="shared" si="454"/>
        <v>0.25844210526315786</v>
      </c>
      <c r="W278" s="221">
        <f t="shared" si="455"/>
        <v>0.60724178868223189</v>
      </c>
      <c r="X278" s="201">
        <f t="shared" si="456"/>
        <v>350</v>
      </c>
      <c r="Y278" s="451">
        <f t="shared" si="480"/>
        <v>350</v>
      </c>
      <c r="AA278" s="221">
        <f t="shared" si="457"/>
        <v>3.0463363796697127</v>
      </c>
      <c r="AB278" s="177">
        <f t="shared" si="458"/>
        <v>2.004168670835337</v>
      </c>
      <c r="AC278" s="177">
        <f t="shared" si="459"/>
        <v>2.136880176535993</v>
      </c>
      <c r="AD278" s="177"/>
      <c r="AE278" s="177">
        <f t="shared" si="460"/>
        <v>0.53947368421052622</v>
      </c>
      <c r="AF278" s="555">
        <f t="shared" si="461"/>
        <v>1401.5466983938134</v>
      </c>
      <c r="AG278" s="538">
        <f t="shared" si="462"/>
        <v>0.15482894736842101</v>
      </c>
      <c r="AI278" s="177">
        <f t="shared" si="463"/>
        <v>1.6409056732705354</v>
      </c>
      <c r="AJ278" s="177">
        <f t="shared" si="464"/>
        <v>1.6409056732705354</v>
      </c>
      <c r="AK278" s="177">
        <f t="shared" si="465"/>
        <v>1.7472704488470234</v>
      </c>
      <c r="AM278" s="555">
        <f t="shared" si="466"/>
        <v>620</v>
      </c>
      <c r="AN278" s="469">
        <f t="shared" si="467"/>
        <v>350</v>
      </c>
      <c r="AP278">
        <f t="shared" si="468"/>
        <v>620</v>
      </c>
      <c r="AQ278">
        <f t="shared" si="469"/>
        <v>350</v>
      </c>
      <c r="AS278" s="5">
        <f t="shared" si="479"/>
        <v>2.8571428571428572</v>
      </c>
      <c r="AT278" s="5">
        <f t="shared" si="470"/>
        <v>0.45945358851574991</v>
      </c>
      <c r="AU278" s="5">
        <f t="shared" si="440"/>
        <v>2.3976892686271074</v>
      </c>
      <c r="AV278" s="5"/>
      <c r="AW278" s="177">
        <f t="shared" si="441"/>
        <v>0.16080875598051247</v>
      </c>
      <c r="AX278" s="177"/>
      <c r="BA278" s="469">
        <f t="shared" si="471"/>
        <v>99.208085235696529</v>
      </c>
      <c r="BB278" s="469">
        <f t="shared" si="472"/>
        <v>4.1653035066879998</v>
      </c>
      <c r="BC278" s="5">
        <f t="shared" si="442"/>
        <v>0.27529024936089008</v>
      </c>
      <c r="BD278" s="469">
        <f t="shared" si="473"/>
        <v>0</v>
      </c>
      <c r="BQ278" s="538">
        <f t="shared" si="474"/>
        <v>0.23683999999999999</v>
      </c>
      <c r="CG278" s="571">
        <f t="shared" si="475"/>
        <v>-50</v>
      </c>
      <c r="CH278">
        <f t="shared" si="476"/>
        <v>-50</v>
      </c>
    </row>
    <row r="279" spans="5:86" x14ac:dyDescent="0.2">
      <c r="E279" s="174">
        <v>63</v>
      </c>
      <c r="F279" s="221">
        <f t="shared" si="477"/>
        <v>0.63</v>
      </c>
      <c r="G279" s="221"/>
      <c r="H279" s="221">
        <f t="shared" si="443"/>
        <v>3.15</v>
      </c>
      <c r="I279" s="551">
        <f t="shared" si="444"/>
        <v>25</v>
      </c>
      <c r="J279" s="451">
        <f t="shared" si="445"/>
        <v>10.64</v>
      </c>
      <c r="K279" s="451">
        <f t="shared" si="446"/>
        <v>35.64</v>
      </c>
      <c r="L279" s="451"/>
      <c r="M279" s="221">
        <f t="shared" si="447"/>
        <v>0.2985409652076319</v>
      </c>
      <c r="N279" s="176">
        <f t="shared" si="448"/>
        <v>14.130050505050503</v>
      </c>
      <c r="O279" s="176">
        <f t="shared" si="478"/>
        <v>3.15</v>
      </c>
      <c r="P279" s="221">
        <f t="shared" si="449"/>
        <v>2.8260101010101009</v>
      </c>
      <c r="Q279" s="221">
        <f t="shared" si="450"/>
        <v>5</v>
      </c>
      <c r="R279" s="221"/>
      <c r="S279" s="176">
        <f t="shared" si="451"/>
        <v>60.779752427996449</v>
      </c>
      <c r="T279" s="176">
        <f t="shared" si="452"/>
        <v>5</v>
      </c>
      <c r="U279" s="221">
        <f t="shared" si="453"/>
        <v>0.93789473684210511</v>
      </c>
      <c r="V279" s="221">
        <f t="shared" si="454"/>
        <v>0.26261052631578946</v>
      </c>
      <c r="W279" s="221">
        <f t="shared" si="455"/>
        <v>0.61703601108033224</v>
      </c>
      <c r="X279" s="201">
        <f t="shared" si="456"/>
        <v>350</v>
      </c>
      <c r="Y279" s="451">
        <f t="shared" si="480"/>
        <v>350</v>
      </c>
      <c r="AA279" s="221">
        <f t="shared" si="457"/>
        <v>3.0463363796697127</v>
      </c>
      <c r="AB279" s="177">
        <f t="shared" si="458"/>
        <v>2.004168670835337</v>
      </c>
      <c r="AC279" s="177">
        <f t="shared" si="459"/>
        <v>2.136880176535993</v>
      </c>
      <c r="AD279" s="177"/>
      <c r="AE279" s="177">
        <f t="shared" si="460"/>
        <v>0.53947368421052622</v>
      </c>
      <c r="AF279" s="555">
        <f t="shared" si="461"/>
        <v>1424.1522903033913</v>
      </c>
      <c r="AG279" s="538">
        <f t="shared" si="462"/>
        <v>0.15482894736842101</v>
      </c>
      <c r="AI279" s="177">
        <f t="shared" si="463"/>
        <v>1.6540858502508267</v>
      </c>
      <c r="AJ279" s="177">
        <f t="shared" si="464"/>
        <v>1.6540858502508267</v>
      </c>
      <c r="AK279" s="177">
        <f t="shared" si="465"/>
        <v>1.7560572335005511</v>
      </c>
      <c r="AM279" s="555">
        <f t="shared" si="466"/>
        <v>630</v>
      </c>
      <c r="AN279" s="469">
        <f t="shared" si="467"/>
        <v>350</v>
      </c>
      <c r="AP279">
        <f t="shared" si="468"/>
        <v>630</v>
      </c>
      <c r="AQ279">
        <f t="shared" si="469"/>
        <v>350</v>
      </c>
      <c r="AS279" s="5">
        <f t="shared" si="479"/>
        <v>2.8571428571428572</v>
      </c>
      <c r="AT279" s="5">
        <f t="shared" si="470"/>
        <v>0.46314403807023141</v>
      </c>
      <c r="AU279" s="5">
        <f t="shared" si="440"/>
        <v>2.3939988190726256</v>
      </c>
      <c r="AV279" s="5"/>
      <c r="AW279" s="177">
        <f t="shared" si="441"/>
        <v>0.162100413324581</v>
      </c>
      <c r="AX279" s="177"/>
      <c r="BA279" s="469">
        <f t="shared" si="471"/>
        <v>99.208085235696529</v>
      </c>
      <c r="BB279" s="469">
        <f t="shared" si="472"/>
        <v>4.2702678506880005</v>
      </c>
      <c r="BC279" s="5">
        <f t="shared" si="442"/>
        <v>0.27929986222513964</v>
      </c>
      <c r="BD279" s="469">
        <f t="shared" si="473"/>
        <v>0</v>
      </c>
      <c r="BQ279" s="538">
        <f t="shared" si="474"/>
        <v>0.24065999999999999</v>
      </c>
      <c r="CG279" s="571">
        <f t="shared" si="475"/>
        <v>-50</v>
      </c>
      <c r="CH279">
        <f t="shared" si="476"/>
        <v>-50</v>
      </c>
    </row>
    <row r="280" spans="5:86" x14ac:dyDescent="0.2">
      <c r="E280" s="174">
        <v>64</v>
      </c>
      <c r="F280" s="221">
        <f t="shared" si="477"/>
        <v>0.64</v>
      </c>
      <c r="G280" s="221"/>
      <c r="H280" s="221">
        <f t="shared" ref="H280:H311" si="481">F280*Vout</f>
        <v>3.2</v>
      </c>
      <c r="I280" s="551">
        <f t="shared" ref="I280:I316" si="482">VIN_max</f>
        <v>25</v>
      </c>
      <c r="J280" s="451">
        <f t="shared" ref="J280:J316" si="483">(T280+Vfwd1)*Nps</f>
        <v>10.64</v>
      </c>
      <c r="K280" s="451">
        <f t="shared" ref="K280:K316" si="484">(Vout+Vfwd1)*Nps+I280</f>
        <v>35.64</v>
      </c>
      <c r="L280" s="451"/>
      <c r="M280" s="221">
        <f t="shared" ref="M280:M316" si="485">(Vout+Vfwd1)*Nps/((Vout+Vfwd1)*Nps+I280)</f>
        <v>0.2985409652076319</v>
      </c>
      <c r="N280" s="176">
        <f t="shared" ref="N280:N311" si="486">M280*I280*(Isw_max+VIN_max/Lmag*ILIM_delay)*0.5*Efficiency</f>
        <v>14.130050505050503</v>
      </c>
      <c r="O280" s="176">
        <f t="shared" si="478"/>
        <v>3.2</v>
      </c>
      <c r="P280" s="221">
        <f t="shared" ref="P280:P311" si="487">N280/Vout</f>
        <v>2.8260101010101009</v>
      </c>
      <c r="Q280" s="221">
        <f t="shared" ref="Q280:Q316" si="488">MIN(Vout,N280/F280)</f>
        <v>5</v>
      </c>
      <c r="R280" s="221"/>
      <c r="S280" s="176">
        <f t="shared" ref="S280:S316" si="489">(SQRT(Isw_max^2*Nps^2*I280^2+4*Isw_max*F280/Efficiency*(Nps^2*Vfwd1*I280-Nps*I280^2)+4*(F280/Efficiency)^2*Nps^2*Vfwd1^2+8*(F280/Efficiency)^2*Nps*Vfwd1*I280+4*(F280/Efficiency)^2*I280^2)-2*F280/Efficiency*I280-2*F280/Efficiency*Nps*Vfwd1+Isw_max*Nps*I280)/(4*F280/Efficiency*Nps)</f>
        <v>59.637026948723758</v>
      </c>
      <c r="T280" s="176">
        <f t="shared" ref="T280:T311" si="490">MIN(Vout, S280)</f>
        <v>5</v>
      </c>
      <c r="U280" s="221">
        <f t="shared" ref="U280:U316" si="491">MIN(2*Vout*F280/(Efficiency*I280*M280), Isw_max)</f>
        <v>0.95278195488721795</v>
      </c>
      <c r="V280" s="221">
        <f t="shared" ref="V280:V311" si="492">L*U280/I280*1000000</f>
        <v>0.26677894736842106</v>
      </c>
      <c r="W280" s="221">
        <f t="shared" ref="W280:W316" si="493">L*U280/J280*1000000</f>
        <v>0.62683023347843281</v>
      </c>
      <c r="X280" s="201">
        <f t="shared" ref="X280:X316" si="494">IF(1/((350000*L)*(1/I280+1/J280))&gt;Isw_min, 350, 0.001/((Isw_min*L)*(1/I280+1/J280)))</f>
        <v>350</v>
      </c>
      <c r="Y280" s="451">
        <f t="shared" si="480"/>
        <v>350</v>
      </c>
      <c r="AA280" s="221">
        <f t="shared" ref="AA280:AA316" si="495">1/((X280*1000*L)*(1/I280+1/J280))</f>
        <v>3.0463363796697127</v>
      </c>
      <c r="AB280" s="177">
        <f t="shared" ref="AB280:AB311" si="496">L*AA280/J280*1000000</f>
        <v>2.004168670835337</v>
      </c>
      <c r="AC280" s="177">
        <f t="shared" ref="AC280:AC311" si="497">0.5*AB280*AA280*Nps*X280/1000</f>
        <v>2.136880176535993</v>
      </c>
      <c r="AD280" s="177"/>
      <c r="AE280" s="177">
        <f t="shared" ref="AE280:AE316" si="498">L*Isw_min/J280*1000000</f>
        <v>0.53947368421052622</v>
      </c>
      <c r="AF280" s="555">
        <f t="shared" ref="AF280:AF311" si="499">MAX(12000,F280/(0.5*AE280/1000000*Isw_min*Nps))/1000</f>
        <v>1446.7578822129688</v>
      </c>
      <c r="AG280" s="538">
        <f t="shared" ref="AG280:AG316" si="500">0.5*AE280/1000000*Isw_min*Nps*X280*1000</f>
        <v>0.15482894736842101</v>
      </c>
      <c r="AI280" s="177">
        <f t="shared" ref="AI280:AI316" si="501">SQRT(F280/(0.5*L/J280*Fsw_DCM*Nps))</f>
        <v>1.6671618312055287</v>
      </c>
      <c r="AJ280" s="177">
        <f t="shared" ref="AJ280:AJ311" si="502">MAX(IF(F280&gt;AC280,U280,AI280),Isw_min)</f>
        <v>1.6671618312055287</v>
      </c>
      <c r="AK280" s="177">
        <f t="shared" ref="AK280:AK311" si="503">IF(F280&gt;AG280, (AJ280-Isw_min)/1.2*0.8+1.2, AF280*0.2/350+1)</f>
        <v>1.764774554137019</v>
      </c>
      <c r="AM280" s="555">
        <f t="shared" ref="AM280:AM316" si="504">F280*1000</f>
        <v>640</v>
      </c>
      <c r="AN280" s="469">
        <f t="shared" ref="AN280:AN316" si="505">IF(F280&gt;AG280, Y280, AF280)</f>
        <v>350</v>
      </c>
      <c r="AP280">
        <f t="shared" ref="AP280:AP316" si="506">IF(H280&gt;N280, "",AM280)</f>
        <v>640</v>
      </c>
      <c r="AQ280">
        <f t="shared" ref="AQ280:AQ316" si="507">IF(H280&gt;N280, "",AN280)</f>
        <v>350</v>
      </c>
      <c r="AS280" s="5">
        <f t="shared" si="479"/>
        <v>2.8571428571428572</v>
      </c>
      <c r="AT280" s="5">
        <f t="shared" ref="AT280:AT316" si="508">L*AJ280/I280*1000000</f>
        <v>0.46680531273754811</v>
      </c>
      <c r="AU280" s="5">
        <f t="shared" si="440"/>
        <v>2.390337544405309</v>
      </c>
      <c r="AV280" s="5"/>
      <c r="AW280" s="177">
        <f t="shared" si="441"/>
        <v>0.16338185945814182</v>
      </c>
      <c r="AX280" s="177"/>
      <c r="BA280" s="469">
        <f t="shared" ref="BA280:BA316" si="509">L*Isw_max^2/(2*Vout_ripple*Vout)*1000000000*((1+M280)/2)^2</f>
        <v>99.208085235696529</v>
      </c>
      <c r="BB280" s="469">
        <f t="shared" ref="BB280:BB316" si="510">L*F280^2/(2*Cout*Vout*Nps^2)*1000000000*((1+M280)/(1-M280))^2+F280*RCoutEsr</f>
        <v>4.3764316241919996</v>
      </c>
      <c r="BC280" s="5">
        <f t="shared" si="442"/>
        <v>0.28329926452211068</v>
      </c>
      <c r="BD280" s="469">
        <f t="shared" ref="BD280:BD316" si="511">((CB280/I280/Efficiency)*AU280/Cin+(CB280/I280/Efficiency)*RCinEsr)*1000</f>
        <v>0</v>
      </c>
      <c r="BQ280" s="538">
        <f t="shared" ref="BQ280:BQ316" si="512">(Vfwd2*F280+BG280^2*Rdiode)*(1+Diode_TC/1000*(Ta-25))</f>
        <v>0.24448</v>
      </c>
      <c r="CG280" s="571">
        <f t="shared" ref="CG280:CG316" si="513">IF(ABS(F280-Ioutmax_Vinmax)&lt;Iout/200, AN280, -50)</f>
        <v>-50</v>
      </c>
      <c r="CH280">
        <f t="shared" ref="CH280:CH316" si="514">IF(ABS(F280-Ioutmax_Vinmin)&lt;Iout/200, N280*CC280, -50)</f>
        <v>-50</v>
      </c>
    </row>
    <row r="281" spans="5:86" x14ac:dyDescent="0.2">
      <c r="E281" s="174">
        <v>65</v>
      </c>
      <c r="F281" s="221">
        <f t="shared" ref="F281:F312" si="515">IF(PLOT_TYPE=1, E281/100*Iout_max, min_I*EXP(N281*rr/100))</f>
        <v>0.65</v>
      </c>
      <c r="G281" s="221"/>
      <c r="H281" s="221">
        <f t="shared" si="481"/>
        <v>3.25</v>
      </c>
      <c r="I281" s="551">
        <f t="shared" si="482"/>
        <v>25</v>
      </c>
      <c r="J281" s="451">
        <f t="shared" si="483"/>
        <v>10.64</v>
      </c>
      <c r="K281" s="451">
        <f t="shared" si="484"/>
        <v>35.64</v>
      </c>
      <c r="L281" s="451"/>
      <c r="M281" s="221">
        <f t="shared" si="485"/>
        <v>0.2985409652076319</v>
      </c>
      <c r="N281" s="176">
        <f t="shared" si="486"/>
        <v>14.130050505050503</v>
      </c>
      <c r="O281" s="176">
        <f t="shared" si="478"/>
        <v>3.25</v>
      </c>
      <c r="P281" s="221">
        <f t="shared" si="487"/>
        <v>2.8260101010101009</v>
      </c>
      <c r="Q281" s="221">
        <f t="shared" si="488"/>
        <v>5</v>
      </c>
      <c r="R281" s="221"/>
      <c r="S281" s="176">
        <f t="shared" si="489"/>
        <v>58.52950844303578</v>
      </c>
      <c r="T281" s="176">
        <f t="shared" si="490"/>
        <v>5</v>
      </c>
      <c r="U281" s="221">
        <f t="shared" si="491"/>
        <v>0.96766917293233068</v>
      </c>
      <c r="V281" s="221">
        <f t="shared" si="492"/>
        <v>0.27094736842105255</v>
      </c>
      <c r="W281" s="221">
        <f t="shared" si="493"/>
        <v>0.63662445587653327</v>
      </c>
      <c r="X281" s="201">
        <f t="shared" si="494"/>
        <v>350</v>
      </c>
      <c r="Y281" s="451">
        <f t="shared" si="480"/>
        <v>350</v>
      </c>
      <c r="AA281" s="221">
        <f t="shared" si="495"/>
        <v>3.0463363796697127</v>
      </c>
      <c r="AB281" s="177">
        <f t="shared" si="496"/>
        <v>2.004168670835337</v>
      </c>
      <c r="AC281" s="177">
        <f t="shared" si="497"/>
        <v>2.136880176535993</v>
      </c>
      <c r="AD281" s="177"/>
      <c r="AE281" s="177">
        <f t="shared" si="498"/>
        <v>0.53947368421052622</v>
      </c>
      <c r="AF281" s="555">
        <f t="shared" si="499"/>
        <v>1469.3634741225464</v>
      </c>
      <c r="AG281" s="538">
        <f t="shared" si="500"/>
        <v>0.15482894736842101</v>
      </c>
      <c r="AI281" s="177">
        <f t="shared" si="501"/>
        <v>1.6801360489130466</v>
      </c>
      <c r="AJ281" s="177">
        <f t="shared" si="502"/>
        <v>1.6801360489130466</v>
      </c>
      <c r="AK281" s="177">
        <f t="shared" si="503"/>
        <v>1.7734240326086979</v>
      </c>
      <c r="AM281" s="555">
        <f t="shared" si="504"/>
        <v>650</v>
      </c>
      <c r="AN281" s="469">
        <f t="shared" si="505"/>
        <v>350</v>
      </c>
      <c r="AP281">
        <f t="shared" si="506"/>
        <v>650</v>
      </c>
      <c r="AQ281">
        <f t="shared" si="507"/>
        <v>350</v>
      </c>
      <c r="AS281" s="5">
        <f t="shared" si="479"/>
        <v>2.8571428571428572</v>
      </c>
      <c r="AT281" s="5">
        <f t="shared" si="508"/>
        <v>0.47043809369565298</v>
      </c>
      <c r="AU281" s="5">
        <f t="shared" si="440"/>
        <v>2.3867047634472041</v>
      </c>
      <c r="AV281" s="5"/>
      <c r="AW281" s="177">
        <f t="shared" si="441"/>
        <v>0.16465333279347855</v>
      </c>
      <c r="AX281" s="177"/>
      <c r="BA281" s="469">
        <f t="shared" si="509"/>
        <v>99.208085235696529</v>
      </c>
      <c r="BB281" s="469">
        <f t="shared" si="510"/>
        <v>4.4837948272000006</v>
      </c>
      <c r="BC281" s="5">
        <f t="shared" si="442"/>
        <v>0.28728853634086715</v>
      </c>
      <c r="BD281" s="469">
        <f t="shared" si="511"/>
        <v>0</v>
      </c>
      <c r="BQ281" s="538">
        <f t="shared" si="512"/>
        <v>0.24829999999999999</v>
      </c>
      <c r="CG281" s="571">
        <f t="shared" si="513"/>
        <v>-50</v>
      </c>
      <c r="CH281">
        <f t="shared" si="514"/>
        <v>-50</v>
      </c>
    </row>
    <row r="282" spans="5:86" x14ac:dyDescent="0.2">
      <c r="E282" s="174">
        <v>66</v>
      </c>
      <c r="F282" s="221">
        <f t="shared" si="515"/>
        <v>0.66</v>
      </c>
      <c r="G282" s="221"/>
      <c r="H282" s="221">
        <f t="shared" si="481"/>
        <v>3.3000000000000003</v>
      </c>
      <c r="I282" s="551">
        <f t="shared" si="482"/>
        <v>25</v>
      </c>
      <c r="J282" s="451">
        <f t="shared" si="483"/>
        <v>10.64</v>
      </c>
      <c r="K282" s="451">
        <f t="shared" si="484"/>
        <v>35.64</v>
      </c>
      <c r="L282" s="451"/>
      <c r="M282" s="221">
        <f t="shared" si="485"/>
        <v>0.2985409652076319</v>
      </c>
      <c r="N282" s="176">
        <f t="shared" si="486"/>
        <v>14.130050505050503</v>
      </c>
      <c r="O282" s="176">
        <f t="shared" si="478"/>
        <v>3.3000000000000003</v>
      </c>
      <c r="P282" s="221">
        <f t="shared" si="487"/>
        <v>2.8260101010101009</v>
      </c>
      <c r="Q282" s="221">
        <f t="shared" si="488"/>
        <v>5</v>
      </c>
      <c r="R282" s="221"/>
      <c r="S282" s="176">
        <f t="shared" si="489"/>
        <v>57.455597018732711</v>
      </c>
      <c r="T282" s="176">
        <f t="shared" si="490"/>
        <v>5</v>
      </c>
      <c r="U282" s="221">
        <f t="shared" si="491"/>
        <v>0.98255639097744352</v>
      </c>
      <c r="V282" s="221">
        <f t="shared" si="492"/>
        <v>0.2751157894736842</v>
      </c>
      <c r="W282" s="221">
        <f t="shared" si="493"/>
        <v>0.64641867827463384</v>
      </c>
      <c r="X282" s="201">
        <f t="shared" si="494"/>
        <v>350</v>
      </c>
      <c r="Y282" s="451">
        <f t="shared" si="480"/>
        <v>350</v>
      </c>
      <c r="AA282" s="221">
        <f t="shared" si="495"/>
        <v>3.0463363796697127</v>
      </c>
      <c r="AB282" s="177">
        <f t="shared" si="496"/>
        <v>2.004168670835337</v>
      </c>
      <c r="AC282" s="177">
        <f t="shared" si="497"/>
        <v>2.136880176535993</v>
      </c>
      <c r="AD282" s="177"/>
      <c r="AE282" s="177">
        <f t="shared" si="498"/>
        <v>0.53947368421052622</v>
      </c>
      <c r="AF282" s="555">
        <f t="shared" si="499"/>
        <v>1491.9690660321239</v>
      </c>
      <c r="AG282" s="538">
        <f t="shared" si="500"/>
        <v>0.15482894736842101</v>
      </c>
      <c r="AI282" s="177">
        <f t="shared" si="501"/>
        <v>1.6930108429321162</v>
      </c>
      <c r="AJ282" s="177">
        <f t="shared" si="502"/>
        <v>1.6930108429321162</v>
      </c>
      <c r="AK282" s="177">
        <f t="shared" si="503"/>
        <v>1.7820072286214108</v>
      </c>
      <c r="AM282" s="555">
        <f t="shared" si="504"/>
        <v>660</v>
      </c>
      <c r="AN282" s="469">
        <f t="shared" si="505"/>
        <v>350</v>
      </c>
      <c r="AP282">
        <f t="shared" si="506"/>
        <v>660</v>
      </c>
      <c r="AQ282">
        <f t="shared" si="507"/>
        <v>350</v>
      </c>
      <c r="AS282" s="5">
        <f t="shared" si="479"/>
        <v>2.8571428571428572</v>
      </c>
      <c r="AT282" s="5">
        <f t="shared" si="508"/>
        <v>0.47404303602099251</v>
      </c>
      <c r="AU282" s="5">
        <f t="shared" si="440"/>
        <v>2.3830998211218648</v>
      </c>
      <c r="AV282" s="5"/>
      <c r="AW282" s="177">
        <f t="shared" si="441"/>
        <v>0.16591506260734737</v>
      </c>
      <c r="AX282" s="177"/>
      <c r="BA282" s="469">
        <f t="shared" si="509"/>
        <v>99.208085235696529</v>
      </c>
      <c r="BB282" s="469">
        <f t="shared" si="510"/>
        <v>4.5923574597119998</v>
      </c>
      <c r="BC282" s="5">
        <f t="shared" si="442"/>
        <v>0.29126775591489451</v>
      </c>
      <c r="BD282" s="469">
        <f t="shared" si="511"/>
        <v>0</v>
      </c>
      <c r="BQ282" s="538">
        <f t="shared" si="512"/>
        <v>0.25212000000000001</v>
      </c>
      <c r="CG282" s="571">
        <f t="shared" si="513"/>
        <v>-50</v>
      </c>
      <c r="CH282">
        <f t="shared" si="514"/>
        <v>-50</v>
      </c>
    </row>
    <row r="283" spans="5:86" x14ac:dyDescent="0.2">
      <c r="E283" s="174">
        <v>67</v>
      </c>
      <c r="F283" s="221">
        <f t="shared" si="515"/>
        <v>0.67</v>
      </c>
      <c r="G283" s="221"/>
      <c r="H283" s="221">
        <f t="shared" si="481"/>
        <v>3.35</v>
      </c>
      <c r="I283" s="551">
        <f t="shared" si="482"/>
        <v>25</v>
      </c>
      <c r="J283" s="451">
        <f t="shared" si="483"/>
        <v>10.64</v>
      </c>
      <c r="K283" s="451">
        <f t="shared" si="484"/>
        <v>35.64</v>
      </c>
      <c r="L283" s="451"/>
      <c r="M283" s="221">
        <f t="shared" si="485"/>
        <v>0.2985409652076319</v>
      </c>
      <c r="N283" s="176">
        <f t="shared" si="486"/>
        <v>14.130050505050503</v>
      </c>
      <c r="O283" s="176">
        <f t="shared" si="478"/>
        <v>3.35</v>
      </c>
      <c r="P283" s="221">
        <f t="shared" si="487"/>
        <v>2.8260101010101009</v>
      </c>
      <c r="Q283" s="221">
        <f t="shared" si="488"/>
        <v>5</v>
      </c>
      <c r="R283" s="221"/>
      <c r="S283" s="176">
        <f t="shared" si="489"/>
        <v>56.413788304575661</v>
      </c>
      <c r="T283" s="176">
        <f t="shared" si="490"/>
        <v>5</v>
      </c>
      <c r="U283" s="221">
        <f t="shared" si="491"/>
        <v>0.99744360902255624</v>
      </c>
      <c r="V283" s="221">
        <f t="shared" si="492"/>
        <v>0.27928421052631575</v>
      </c>
      <c r="W283" s="221">
        <f t="shared" si="493"/>
        <v>0.6562129006727343</v>
      </c>
      <c r="X283" s="201">
        <f t="shared" si="494"/>
        <v>350</v>
      </c>
      <c r="Y283" s="451">
        <f t="shared" si="480"/>
        <v>350</v>
      </c>
      <c r="AA283" s="221">
        <f t="shared" si="495"/>
        <v>3.0463363796697127</v>
      </c>
      <c r="AB283" s="177">
        <f t="shared" si="496"/>
        <v>2.004168670835337</v>
      </c>
      <c r="AC283" s="177">
        <f t="shared" si="497"/>
        <v>2.136880176535993</v>
      </c>
      <c r="AD283" s="177"/>
      <c r="AE283" s="177">
        <f t="shared" si="498"/>
        <v>0.53947368421052622</v>
      </c>
      <c r="AF283" s="555">
        <f t="shared" si="499"/>
        <v>1514.5746579417018</v>
      </c>
      <c r="AG283" s="538">
        <f t="shared" si="500"/>
        <v>0.15482894736842101</v>
      </c>
      <c r="AI283" s="177">
        <f t="shared" si="501"/>
        <v>1.7057884645272654</v>
      </c>
      <c r="AJ283" s="177">
        <f t="shared" si="502"/>
        <v>1.7057884645272654</v>
      </c>
      <c r="AK283" s="177">
        <f t="shared" si="503"/>
        <v>1.7905256430181771</v>
      </c>
      <c r="AM283" s="555">
        <f t="shared" si="504"/>
        <v>670</v>
      </c>
      <c r="AN283" s="469">
        <f t="shared" si="505"/>
        <v>350</v>
      </c>
      <c r="AP283">
        <f t="shared" si="506"/>
        <v>670</v>
      </c>
      <c r="AQ283">
        <f t="shared" si="507"/>
        <v>350</v>
      </c>
      <c r="AS283" s="5">
        <f t="shared" si="479"/>
        <v>2.8571428571428572</v>
      </c>
      <c r="AT283" s="5">
        <f t="shared" si="508"/>
        <v>0.47762077006763426</v>
      </c>
      <c r="AU283" s="5">
        <f t="shared" si="440"/>
        <v>2.3795220870752232</v>
      </c>
      <c r="AV283" s="5"/>
      <c r="AW283" s="177">
        <f t="shared" si="441"/>
        <v>0.16716726952367197</v>
      </c>
      <c r="AX283" s="177"/>
      <c r="BA283" s="469">
        <f t="shared" si="509"/>
        <v>99.208085235696529</v>
      </c>
      <c r="BB283" s="469">
        <f t="shared" si="510"/>
        <v>4.7021195217280001</v>
      </c>
      <c r="BC283" s="5">
        <f t="shared" si="442"/>
        <v>0.29523699969266659</v>
      </c>
      <c r="BD283" s="469">
        <f t="shared" si="511"/>
        <v>0</v>
      </c>
      <c r="BQ283" s="538">
        <f t="shared" si="512"/>
        <v>0.25594</v>
      </c>
      <c r="CG283" s="571">
        <f t="shared" si="513"/>
        <v>-50</v>
      </c>
      <c r="CH283">
        <f t="shared" si="514"/>
        <v>-50</v>
      </c>
    </row>
    <row r="284" spans="5:86" x14ac:dyDescent="0.2">
      <c r="E284" s="174">
        <v>68</v>
      </c>
      <c r="F284" s="221">
        <f t="shared" si="515"/>
        <v>0.68</v>
      </c>
      <c r="G284" s="221"/>
      <c r="H284" s="221">
        <f t="shared" si="481"/>
        <v>3.4000000000000004</v>
      </c>
      <c r="I284" s="551">
        <f t="shared" si="482"/>
        <v>25</v>
      </c>
      <c r="J284" s="451">
        <f t="shared" si="483"/>
        <v>10.64</v>
      </c>
      <c r="K284" s="451">
        <f t="shared" si="484"/>
        <v>35.64</v>
      </c>
      <c r="L284" s="451"/>
      <c r="M284" s="221">
        <f t="shared" si="485"/>
        <v>0.2985409652076319</v>
      </c>
      <c r="N284" s="176">
        <f t="shared" si="486"/>
        <v>14.130050505050503</v>
      </c>
      <c r="O284" s="176">
        <f t="shared" si="478"/>
        <v>3.4000000000000004</v>
      </c>
      <c r="P284" s="221">
        <f t="shared" si="487"/>
        <v>2.8260101010101009</v>
      </c>
      <c r="Q284" s="221">
        <f t="shared" si="488"/>
        <v>5</v>
      </c>
      <c r="R284" s="221"/>
      <c r="S284" s="176">
        <f t="shared" si="489"/>
        <v>55.402666426757122</v>
      </c>
      <c r="T284" s="176">
        <f t="shared" si="490"/>
        <v>5</v>
      </c>
      <c r="U284" s="221">
        <f t="shared" si="491"/>
        <v>1.0123308270676692</v>
      </c>
      <c r="V284" s="221">
        <f t="shared" si="492"/>
        <v>0.28345263157894734</v>
      </c>
      <c r="W284" s="221">
        <f t="shared" si="493"/>
        <v>0.66600712307083498</v>
      </c>
      <c r="X284" s="201">
        <f t="shared" si="494"/>
        <v>350</v>
      </c>
      <c r="Y284" s="451">
        <f t="shared" si="480"/>
        <v>350</v>
      </c>
      <c r="AA284" s="221">
        <f t="shared" si="495"/>
        <v>3.0463363796697127</v>
      </c>
      <c r="AB284" s="177">
        <f t="shared" si="496"/>
        <v>2.004168670835337</v>
      </c>
      <c r="AC284" s="177">
        <f t="shared" si="497"/>
        <v>2.136880176535993</v>
      </c>
      <c r="AD284" s="177"/>
      <c r="AE284" s="177">
        <f t="shared" si="498"/>
        <v>0.53947368421052622</v>
      </c>
      <c r="AF284" s="555">
        <f t="shared" si="499"/>
        <v>1537.1802498512793</v>
      </c>
      <c r="AG284" s="538">
        <f t="shared" si="500"/>
        <v>0.15482894736842101</v>
      </c>
      <c r="AI284" s="177">
        <f t="shared" si="501"/>
        <v>1.7184710812646391</v>
      </c>
      <c r="AJ284" s="177">
        <f t="shared" si="502"/>
        <v>1.7184710812646391</v>
      </c>
      <c r="AK284" s="177">
        <f t="shared" si="503"/>
        <v>1.7989807208430926</v>
      </c>
      <c r="AM284" s="555">
        <f t="shared" si="504"/>
        <v>680</v>
      </c>
      <c r="AN284" s="469">
        <f t="shared" si="505"/>
        <v>350</v>
      </c>
      <c r="AP284">
        <f t="shared" si="506"/>
        <v>680</v>
      </c>
      <c r="AQ284">
        <f t="shared" si="507"/>
        <v>350</v>
      </c>
      <c r="AS284" s="5">
        <f t="shared" si="479"/>
        <v>2.8571428571428572</v>
      </c>
      <c r="AT284" s="5">
        <f t="shared" si="508"/>
        <v>0.48117190275409899</v>
      </c>
      <c r="AU284" s="5">
        <f t="shared" si="440"/>
        <v>2.3759709543887584</v>
      </c>
      <c r="AV284" s="5"/>
      <c r="AW284" s="177">
        <f t="shared" si="441"/>
        <v>0.16841016596393465</v>
      </c>
      <c r="AX284" s="177"/>
      <c r="BA284" s="469">
        <f t="shared" si="509"/>
        <v>99.208085235696529</v>
      </c>
      <c r="BB284" s="469">
        <f t="shared" si="510"/>
        <v>4.8130810132480004</v>
      </c>
      <c r="BC284" s="5">
        <f t="shared" si="442"/>
        <v>0.29919634240451026</v>
      </c>
      <c r="BD284" s="469">
        <f t="shared" si="511"/>
        <v>0</v>
      </c>
      <c r="BQ284" s="538">
        <f t="shared" si="512"/>
        <v>0.25975999999999999</v>
      </c>
      <c r="CG284" s="571">
        <f t="shared" si="513"/>
        <v>-50</v>
      </c>
      <c r="CH284">
        <f t="shared" si="514"/>
        <v>-50</v>
      </c>
    </row>
    <row r="285" spans="5:86" x14ac:dyDescent="0.2">
      <c r="E285" s="174">
        <v>69</v>
      </c>
      <c r="F285" s="221">
        <f t="shared" si="515"/>
        <v>0.69</v>
      </c>
      <c r="G285" s="221"/>
      <c r="H285" s="221">
        <f t="shared" si="481"/>
        <v>3.4499999999999997</v>
      </c>
      <c r="I285" s="551">
        <f t="shared" si="482"/>
        <v>25</v>
      </c>
      <c r="J285" s="451">
        <f t="shared" si="483"/>
        <v>10.64</v>
      </c>
      <c r="K285" s="451">
        <f t="shared" si="484"/>
        <v>35.64</v>
      </c>
      <c r="L285" s="451"/>
      <c r="M285" s="221">
        <f t="shared" si="485"/>
        <v>0.2985409652076319</v>
      </c>
      <c r="N285" s="176">
        <f t="shared" si="486"/>
        <v>14.130050505050503</v>
      </c>
      <c r="O285" s="176">
        <f t="shared" si="478"/>
        <v>3.4499999999999997</v>
      </c>
      <c r="P285" s="221">
        <f t="shared" si="487"/>
        <v>2.8260101010101009</v>
      </c>
      <c r="Q285" s="221">
        <f t="shared" si="488"/>
        <v>5</v>
      </c>
      <c r="R285" s="221"/>
      <c r="S285" s="176">
        <f t="shared" si="489"/>
        <v>54.420897596114308</v>
      </c>
      <c r="T285" s="176">
        <f t="shared" si="490"/>
        <v>5</v>
      </c>
      <c r="U285" s="221">
        <f t="shared" si="491"/>
        <v>1.0272180451127817</v>
      </c>
      <c r="V285" s="221">
        <f t="shared" si="492"/>
        <v>0.28762105263157889</v>
      </c>
      <c r="W285" s="221">
        <f t="shared" si="493"/>
        <v>0.67580134546893533</v>
      </c>
      <c r="X285" s="201">
        <f t="shared" si="494"/>
        <v>350</v>
      </c>
      <c r="Y285" s="451">
        <f t="shared" si="480"/>
        <v>350</v>
      </c>
      <c r="AA285" s="221">
        <f t="shared" si="495"/>
        <v>3.0463363796697127</v>
      </c>
      <c r="AB285" s="177">
        <f t="shared" si="496"/>
        <v>2.004168670835337</v>
      </c>
      <c r="AC285" s="177">
        <f t="shared" si="497"/>
        <v>2.136880176535993</v>
      </c>
      <c r="AD285" s="177"/>
      <c r="AE285" s="177">
        <f t="shared" si="498"/>
        <v>0.53947368421052622</v>
      </c>
      <c r="AF285" s="555">
        <f t="shared" si="499"/>
        <v>1559.7858417608568</v>
      </c>
      <c r="AG285" s="538">
        <f t="shared" si="500"/>
        <v>0.15482894736842101</v>
      </c>
      <c r="AI285" s="177">
        <f t="shared" si="501"/>
        <v>1.7310607813047549</v>
      </c>
      <c r="AJ285" s="177">
        <f t="shared" si="502"/>
        <v>1.7310607813047549</v>
      </c>
      <c r="AK285" s="177">
        <f t="shared" si="503"/>
        <v>1.8073738542031701</v>
      </c>
      <c r="AM285" s="555">
        <f t="shared" si="504"/>
        <v>690</v>
      </c>
      <c r="AN285" s="469">
        <f t="shared" si="505"/>
        <v>350</v>
      </c>
      <c r="AP285">
        <f t="shared" si="506"/>
        <v>690</v>
      </c>
      <c r="AQ285">
        <f t="shared" si="507"/>
        <v>350</v>
      </c>
      <c r="AS285" s="5">
        <f t="shared" si="479"/>
        <v>2.8571428571428572</v>
      </c>
      <c r="AT285" s="5">
        <f t="shared" si="508"/>
        <v>0.48469701876533139</v>
      </c>
      <c r="AU285" s="5">
        <f t="shared" si="440"/>
        <v>2.372445838377526</v>
      </c>
      <c r="AV285" s="5"/>
      <c r="AW285" s="177">
        <f t="shared" si="441"/>
        <v>0.16964395656786599</v>
      </c>
      <c r="AX285" s="177"/>
      <c r="BA285" s="469">
        <f t="shared" si="509"/>
        <v>99.208085235696529</v>
      </c>
      <c r="BB285" s="469">
        <f t="shared" si="510"/>
        <v>4.9252419342719991</v>
      </c>
      <c r="BC285" s="5">
        <f t="shared" si="442"/>
        <v>0.30314585712601716</v>
      </c>
      <c r="BD285" s="469">
        <f t="shared" si="511"/>
        <v>0</v>
      </c>
      <c r="BQ285" s="538">
        <f t="shared" si="512"/>
        <v>0.26357999999999998</v>
      </c>
      <c r="CG285" s="571">
        <f t="shared" si="513"/>
        <v>-50</v>
      </c>
      <c r="CH285">
        <f t="shared" si="514"/>
        <v>-50</v>
      </c>
    </row>
    <row r="286" spans="5:86" x14ac:dyDescent="0.2">
      <c r="E286" s="174">
        <v>70</v>
      </c>
      <c r="F286" s="221">
        <f t="shared" si="515"/>
        <v>0.7</v>
      </c>
      <c r="G286" s="221"/>
      <c r="H286" s="221">
        <f t="shared" si="481"/>
        <v>3.5</v>
      </c>
      <c r="I286" s="551">
        <f t="shared" si="482"/>
        <v>25</v>
      </c>
      <c r="J286" s="451">
        <f t="shared" si="483"/>
        <v>10.64</v>
      </c>
      <c r="K286" s="451">
        <f t="shared" si="484"/>
        <v>35.64</v>
      </c>
      <c r="L286" s="451"/>
      <c r="M286" s="221">
        <f t="shared" si="485"/>
        <v>0.2985409652076319</v>
      </c>
      <c r="N286" s="176">
        <f t="shared" si="486"/>
        <v>14.130050505050503</v>
      </c>
      <c r="O286" s="176">
        <f t="shared" si="478"/>
        <v>3.5</v>
      </c>
      <c r="P286" s="221">
        <f t="shared" si="487"/>
        <v>2.8260101010101009</v>
      </c>
      <c r="Q286" s="221">
        <f t="shared" si="488"/>
        <v>5</v>
      </c>
      <c r="R286" s="221"/>
      <c r="S286" s="176">
        <f t="shared" si="489"/>
        <v>53.467224245010982</v>
      </c>
      <c r="T286" s="176">
        <f t="shared" si="490"/>
        <v>5</v>
      </c>
      <c r="U286" s="221">
        <f t="shared" si="491"/>
        <v>1.0421052631578946</v>
      </c>
      <c r="V286" s="221">
        <f t="shared" si="492"/>
        <v>0.29178947368421049</v>
      </c>
      <c r="W286" s="221">
        <f t="shared" si="493"/>
        <v>0.6855955678670359</v>
      </c>
      <c r="X286" s="201">
        <f t="shared" si="494"/>
        <v>350</v>
      </c>
      <c r="Y286" s="451">
        <f t="shared" si="480"/>
        <v>350</v>
      </c>
      <c r="AA286" s="221">
        <f t="shared" si="495"/>
        <v>3.0463363796697127</v>
      </c>
      <c r="AB286" s="177">
        <f t="shared" si="496"/>
        <v>2.004168670835337</v>
      </c>
      <c r="AC286" s="177">
        <f t="shared" si="497"/>
        <v>2.136880176535993</v>
      </c>
      <c r="AD286" s="177"/>
      <c r="AE286" s="177">
        <f t="shared" si="498"/>
        <v>0.53947368421052622</v>
      </c>
      <c r="AF286" s="555">
        <f t="shared" si="499"/>
        <v>1582.3914336704345</v>
      </c>
      <c r="AG286" s="538">
        <f t="shared" si="500"/>
        <v>0.15482894736842101</v>
      </c>
      <c r="AI286" s="177">
        <f t="shared" si="501"/>
        <v>1.7435595774162693</v>
      </c>
      <c r="AJ286" s="177">
        <f t="shared" si="502"/>
        <v>1.7435595774162693</v>
      </c>
      <c r="AK286" s="177">
        <f t="shared" si="503"/>
        <v>1.8157063849441797</v>
      </c>
      <c r="AM286" s="555">
        <f t="shared" si="504"/>
        <v>700</v>
      </c>
      <c r="AN286" s="469">
        <f t="shared" si="505"/>
        <v>350</v>
      </c>
      <c r="AP286">
        <f t="shared" si="506"/>
        <v>700</v>
      </c>
      <c r="AQ286">
        <f t="shared" si="507"/>
        <v>350</v>
      </c>
      <c r="AS286" s="5">
        <f t="shared" si="479"/>
        <v>2.8571428571428572</v>
      </c>
      <c r="AT286" s="5">
        <f t="shared" si="508"/>
        <v>0.48819668167655533</v>
      </c>
      <c r="AU286" s="5">
        <f t="shared" si="440"/>
        <v>2.3689461754663017</v>
      </c>
      <c r="AV286" s="5"/>
      <c r="AW286" s="177">
        <f t="shared" si="441"/>
        <v>0.17086883858679436</v>
      </c>
      <c r="AX286" s="177"/>
      <c r="BA286" s="469">
        <f t="shared" si="509"/>
        <v>99.208085235696529</v>
      </c>
      <c r="BB286" s="469">
        <f t="shared" si="510"/>
        <v>5.0386022847999996</v>
      </c>
      <c r="BC286" s="5">
        <f t="shared" si="442"/>
        <v>0.30708561533822426</v>
      </c>
      <c r="BD286" s="469">
        <f t="shared" si="511"/>
        <v>0</v>
      </c>
      <c r="BQ286" s="538">
        <f t="shared" si="512"/>
        <v>0.26739999999999997</v>
      </c>
      <c r="CG286" s="571">
        <f t="shared" si="513"/>
        <v>-50</v>
      </c>
      <c r="CH286">
        <f t="shared" si="514"/>
        <v>-50</v>
      </c>
    </row>
    <row r="287" spans="5:86" x14ac:dyDescent="0.2">
      <c r="E287" s="174">
        <v>71</v>
      </c>
      <c r="F287" s="221">
        <f t="shared" si="515"/>
        <v>0.71</v>
      </c>
      <c r="G287" s="221"/>
      <c r="H287" s="221">
        <f t="shared" si="481"/>
        <v>3.55</v>
      </c>
      <c r="I287" s="551">
        <f t="shared" si="482"/>
        <v>25</v>
      </c>
      <c r="J287" s="451">
        <f t="shared" si="483"/>
        <v>10.64</v>
      </c>
      <c r="K287" s="451">
        <f t="shared" si="484"/>
        <v>35.64</v>
      </c>
      <c r="L287" s="451"/>
      <c r="M287" s="221">
        <f t="shared" si="485"/>
        <v>0.2985409652076319</v>
      </c>
      <c r="N287" s="176">
        <f t="shared" si="486"/>
        <v>14.130050505050503</v>
      </c>
      <c r="O287" s="176">
        <f t="shared" si="478"/>
        <v>3.55</v>
      </c>
      <c r="P287" s="221">
        <f t="shared" si="487"/>
        <v>2.8260101010101009</v>
      </c>
      <c r="Q287" s="221">
        <f t="shared" si="488"/>
        <v>5</v>
      </c>
      <c r="R287" s="221"/>
      <c r="S287" s="176">
        <f t="shared" si="489"/>
        <v>52.540459659695252</v>
      </c>
      <c r="T287" s="176">
        <f t="shared" si="490"/>
        <v>5</v>
      </c>
      <c r="U287" s="221">
        <f t="shared" si="491"/>
        <v>1.0569924812030074</v>
      </c>
      <c r="V287" s="221">
        <f t="shared" si="492"/>
        <v>0.29595789473684203</v>
      </c>
      <c r="W287" s="221">
        <f t="shared" si="493"/>
        <v>0.69538979026513636</v>
      </c>
      <c r="X287" s="201">
        <f t="shared" si="494"/>
        <v>350</v>
      </c>
      <c r="Y287" s="451">
        <f t="shared" si="480"/>
        <v>350</v>
      </c>
      <c r="AA287" s="221">
        <f t="shared" si="495"/>
        <v>3.0463363796697127</v>
      </c>
      <c r="AB287" s="177">
        <f t="shared" si="496"/>
        <v>2.004168670835337</v>
      </c>
      <c r="AC287" s="177">
        <f t="shared" si="497"/>
        <v>2.136880176535993</v>
      </c>
      <c r="AD287" s="177"/>
      <c r="AE287" s="177">
        <f t="shared" si="498"/>
        <v>0.53947368421052622</v>
      </c>
      <c r="AF287" s="555">
        <f t="shared" si="499"/>
        <v>1604.997025580012</v>
      </c>
      <c r="AG287" s="538">
        <f t="shared" si="500"/>
        <v>0.15482894736842101</v>
      </c>
      <c r="AI287" s="177">
        <f t="shared" si="501"/>
        <v>1.7559694107325934</v>
      </c>
      <c r="AJ287" s="177">
        <f t="shared" si="502"/>
        <v>1.7559694107325934</v>
      </c>
      <c r="AK287" s="177">
        <f t="shared" si="503"/>
        <v>1.8239796071550622</v>
      </c>
      <c r="AM287" s="555">
        <f t="shared" si="504"/>
        <v>710</v>
      </c>
      <c r="AN287" s="469">
        <f t="shared" si="505"/>
        <v>350</v>
      </c>
      <c r="AP287">
        <f t="shared" si="506"/>
        <v>710</v>
      </c>
      <c r="AQ287">
        <f t="shared" si="507"/>
        <v>350</v>
      </c>
      <c r="AS287" s="5">
        <f t="shared" si="479"/>
        <v>2.8571428571428572</v>
      </c>
      <c r="AT287" s="5">
        <f t="shared" si="508"/>
        <v>0.49167143500512617</v>
      </c>
      <c r="AU287" s="5">
        <f t="shared" si="440"/>
        <v>2.3654714221377309</v>
      </c>
      <c r="AV287" s="5"/>
      <c r="AW287" s="177">
        <f t="shared" si="441"/>
        <v>0.17208500225179416</v>
      </c>
      <c r="AX287" s="177"/>
      <c r="BA287" s="469">
        <f t="shared" si="509"/>
        <v>99.208085235696529</v>
      </c>
      <c r="BB287" s="469">
        <f t="shared" si="510"/>
        <v>5.1531620648319993</v>
      </c>
      <c r="BC287" s="5">
        <f t="shared" si="442"/>
        <v>0.31101568698477566</v>
      </c>
      <c r="BD287" s="469">
        <f t="shared" si="511"/>
        <v>0</v>
      </c>
      <c r="BQ287" s="538">
        <f t="shared" si="512"/>
        <v>0.27121999999999996</v>
      </c>
      <c r="CG287" s="571">
        <f t="shared" si="513"/>
        <v>-50</v>
      </c>
      <c r="CH287">
        <f t="shared" si="514"/>
        <v>-50</v>
      </c>
    </row>
    <row r="288" spans="5:86" x14ac:dyDescent="0.2">
      <c r="E288" s="174">
        <v>72</v>
      </c>
      <c r="F288" s="221">
        <f t="shared" si="515"/>
        <v>0.72</v>
      </c>
      <c r="G288" s="221"/>
      <c r="H288" s="221">
        <f t="shared" si="481"/>
        <v>3.5999999999999996</v>
      </c>
      <c r="I288" s="551">
        <f t="shared" si="482"/>
        <v>25</v>
      </c>
      <c r="J288" s="451">
        <f t="shared" si="483"/>
        <v>10.64</v>
      </c>
      <c r="K288" s="451">
        <f t="shared" si="484"/>
        <v>35.64</v>
      </c>
      <c r="L288" s="451"/>
      <c r="M288" s="221">
        <f t="shared" si="485"/>
        <v>0.2985409652076319</v>
      </c>
      <c r="N288" s="176">
        <f t="shared" si="486"/>
        <v>14.130050505050503</v>
      </c>
      <c r="O288" s="176">
        <f t="shared" si="478"/>
        <v>3.5999999999999996</v>
      </c>
      <c r="P288" s="221">
        <f t="shared" si="487"/>
        <v>2.8260101010101009</v>
      </c>
      <c r="Q288" s="221">
        <f t="shared" si="488"/>
        <v>5</v>
      </c>
      <c r="R288" s="221"/>
      <c r="S288" s="176">
        <f t="shared" si="489"/>
        <v>51.639483059962011</v>
      </c>
      <c r="T288" s="176">
        <f t="shared" si="490"/>
        <v>5</v>
      </c>
      <c r="U288" s="221">
        <f t="shared" si="491"/>
        <v>1.0718796992481201</v>
      </c>
      <c r="V288" s="221">
        <f t="shared" si="492"/>
        <v>0.30012631578947363</v>
      </c>
      <c r="W288" s="221">
        <f t="shared" si="493"/>
        <v>0.70518401266323683</v>
      </c>
      <c r="X288" s="201">
        <f t="shared" si="494"/>
        <v>350</v>
      </c>
      <c r="Y288" s="451">
        <f t="shared" si="480"/>
        <v>350</v>
      </c>
      <c r="AA288" s="221">
        <f t="shared" si="495"/>
        <v>3.0463363796697127</v>
      </c>
      <c r="AB288" s="177">
        <f t="shared" si="496"/>
        <v>2.004168670835337</v>
      </c>
      <c r="AC288" s="177">
        <f t="shared" si="497"/>
        <v>2.136880176535993</v>
      </c>
      <c r="AD288" s="177"/>
      <c r="AE288" s="177">
        <f t="shared" si="498"/>
        <v>0.53947368421052622</v>
      </c>
      <c r="AF288" s="555">
        <f t="shared" si="499"/>
        <v>1627.6026174895899</v>
      </c>
      <c r="AG288" s="538">
        <f t="shared" si="500"/>
        <v>0.15482894736842101</v>
      </c>
      <c r="AI288" s="177">
        <f t="shared" si="501"/>
        <v>1.7682921542712176</v>
      </c>
      <c r="AJ288" s="177">
        <f t="shared" si="502"/>
        <v>1.7682921542712176</v>
      </c>
      <c r="AK288" s="177">
        <f t="shared" si="503"/>
        <v>1.8321947695141452</v>
      </c>
      <c r="AM288" s="555">
        <f t="shared" si="504"/>
        <v>720</v>
      </c>
      <c r="AN288" s="469">
        <f t="shared" si="505"/>
        <v>350</v>
      </c>
      <c r="AP288">
        <f t="shared" si="506"/>
        <v>720</v>
      </c>
      <c r="AQ288">
        <f t="shared" si="507"/>
        <v>350</v>
      </c>
      <c r="AS288" s="5">
        <f t="shared" si="479"/>
        <v>2.8571428571428572</v>
      </c>
      <c r="AT288" s="5">
        <f t="shared" si="508"/>
        <v>0.4951218031959409</v>
      </c>
      <c r="AU288" s="5">
        <f t="shared" si="440"/>
        <v>2.3620210539469162</v>
      </c>
      <c r="AV288" s="5"/>
      <c r="AW288" s="177">
        <f t="shared" si="441"/>
        <v>0.17329263111857932</v>
      </c>
      <c r="AX288" s="177"/>
      <c r="BA288" s="469">
        <f t="shared" si="509"/>
        <v>99.208085235696529</v>
      </c>
      <c r="BB288" s="469">
        <f t="shared" si="510"/>
        <v>5.2689212743679992</v>
      </c>
      <c r="BC288" s="5">
        <f t="shared" si="442"/>
        <v>0.3149361405262554</v>
      </c>
      <c r="BD288" s="469">
        <f t="shared" si="511"/>
        <v>0</v>
      </c>
      <c r="BQ288" s="538">
        <f t="shared" si="512"/>
        <v>0.27503999999999995</v>
      </c>
      <c r="CG288" s="571">
        <f t="shared" si="513"/>
        <v>-50</v>
      </c>
      <c r="CH288">
        <f t="shared" si="514"/>
        <v>-50</v>
      </c>
    </row>
    <row r="289" spans="5:86" x14ac:dyDescent="0.2">
      <c r="E289" s="174">
        <v>73</v>
      </c>
      <c r="F289" s="221">
        <f t="shared" si="515"/>
        <v>0.73</v>
      </c>
      <c r="G289" s="221"/>
      <c r="H289" s="221">
        <f t="shared" si="481"/>
        <v>3.65</v>
      </c>
      <c r="I289" s="551">
        <f t="shared" si="482"/>
        <v>25</v>
      </c>
      <c r="J289" s="451">
        <f t="shared" si="483"/>
        <v>10.64</v>
      </c>
      <c r="K289" s="451">
        <f t="shared" si="484"/>
        <v>35.64</v>
      </c>
      <c r="L289" s="451"/>
      <c r="M289" s="221">
        <f t="shared" si="485"/>
        <v>0.2985409652076319</v>
      </c>
      <c r="N289" s="176">
        <f t="shared" si="486"/>
        <v>14.130050505050503</v>
      </c>
      <c r="O289" s="176">
        <f t="shared" si="478"/>
        <v>3.65</v>
      </c>
      <c r="P289" s="221">
        <f t="shared" si="487"/>
        <v>2.8260101010101009</v>
      </c>
      <c r="Q289" s="221">
        <f t="shared" si="488"/>
        <v>5</v>
      </c>
      <c r="R289" s="221"/>
      <c r="S289" s="176">
        <f t="shared" si="489"/>
        <v>50.763235083227798</v>
      </c>
      <c r="T289" s="176">
        <f t="shared" si="490"/>
        <v>5</v>
      </c>
      <c r="U289" s="221">
        <f t="shared" si="491"/>
        <v>1.0867669172932328</v>
      </c>
      <c r="V289" s="221">
        <f t="shared" si="492"/>
        <v>0.30429473684210517</v>
      </c>
      <c r="W289" s="221">
        <f t="shared" si="493"/>
        <v>0.71497823506133729</v>
      </c>
      <c r="X289" s="201">
        <f t="shared" si="494"/>
        <v>350</v>
      </c>
      <c r="Y289" s="451">
        <f t="shared" si="480"/>
        <v>350</v>
      </c>
      <c r="AA289" s="221">
        <f t="shared" si="495"/>
        <v>3.0463363796697127</v>
      </c>
      <c r="AB289" s="177">
        <f t="shared" si="496"/>
        <v>2.004168670835337</v>
      </c>
      <c r="AC289" s="177">
        <f t="shared" si="497"/>
        <v>2.136880176535993</v>
      </c>
      <c r="AD289" s="177"/>
      <c r="AE289" s="177">
        <f t="shared" si="498"/>
        <v>0.53947368421052622</v>
      </c>
      <c r="AF289" s="555">
        <f t="shared" si="499"/>
        <v>1650.2082093991673</v>
      </c>
      <c r="AG289" s="538">
        <f t="shared" si="500"/>
        <v>0.15482894736842101</v>
      </c>
      <c r="AI289" s="177">
        <f t="shared" si="501"/>
        <v>1.7805296162338089</v>
      </c>
      <c r="AJ289" s="177">
        <f t="shared" si="502"/>
        <v>1.7805296162338089</v>
      </c>
      <c r="AK289" s="177">
        <f t="shared" si="503"/>
        <v>1.8403530774892061</v>
      </c>
      <c r="AM289" s="555">
        <f t="shared" si="504"/>
        <v>730</v>
      </c>
      <c r="AN289" s="469">
        <f t="shared" si="505"/>
        <v>350</v>
      </c>
      <c r="AP289">
        <f t="shared" si="506"/>
        <v>730</v>
      </c>
      <c r="AQ289">
        <f t="shared" si="507"/>
        <v>350</v>
      </c>
      <c r="AS289" s="5">
        <f t="shared" si="479"/>
        <v>2.8571428571428572</v>
      </c>
      <c r="AT289" s="5">
        <f t="shared" si="508"/>
        <v>0.49854829254546645</v>
      </c>
      <c r="AU289" s="5">
        <f t="shared" si="440"/>
        <v>2.3585945645973907</v>
      </c>
      <c r="AV289" s="5"/>
      <c r="AW289" s="177">
        <f t="shared" si="441"/>
        <v>0.17449190239091325</v>
      </c>
      <c r="AX289" s="177"/>
      <c r="BA289" s="469">
        <f t="shared" si="509"/>
        <v>99.208085235696529</v>
      </c>
      <c r="BB289" s="469">
        <f t="shared" si="510"/>
        <v>5.3858799134079991</v>
      </c>
      <c r="BC289" s="5">
        <f t="shared" si="442"/>
        <v>0.31884704299186944</v>
      </c>
      <c r="BD289" s="469">
        <f t="shared" si="511"/>
        <v>0</v>
      </c>
      <c r="BQ289" s="538">
        <f t="shared" si="512"/>
        <v>0.27886</v>
      </c>
      <c r="CG289" s="571">
        <f t="shared" si="513"/>
        <v>-50</v>
      </c>
      <c r="CH289">
        <f t="shared" si="514"/>
        <v>-50</v>
      </c>
    </row>
    <row r="290" spans="5:86" x14ac:dyDescent="0.2">
      <c r="E290" s="174">
        <v>74</v>
      </c>
      <c r="F290" s="221">
        <f t="shared" si="515"/>
        <v>0.74</v>
      </c>
      <c r="G290" s="221"/>
      <c r="H290" s="221">
        <f t="shared" si="481"/>
        <v>3.7</v>
      </c>
      <c r="I290" s="551">
        <f t="shared" si="482"/>
        <v>25</v>
      </c>
      <c r="J290" s="451">
        <f t="shared" si="483"/>
        <v>10.64</v>
      </c>
      <c r="K290" s="451">
        <f t="shared" si="484"/>
        <v>35.64</v>
      </c>
      <c r="L290" s="451"/>
      <c r="M290" s="221">
        <f t="shared" si="485"/>
        <v>0.2985409652076319</v>
      </c>
      <c r="N290" s="176">
        <f t="shared" si="486"/>
        <v>14.130050505050503</v>
      </c>
      <c r="O290" s="176">
        <f t="shared" si="478"/>
        <v>3.7</v>
      </c>
      <c r="P290" s="221">
        <f t="shared" si="487"/>
        <v>2.8260101010101009</v>
      </c>
      <c r="Q290" s="221">
        <f t="shared" si="488"/>
        <v>5</v>
      </c>
      <c r="R290" s="221"/>
      <c r="S290" s="176">
        <f t="shared" si="489"/>
        <v>49.910713634762971</v>
      </c>
      <c r="T290" s="176">
        <f t="shared" si="490"/>
        <v>5</v>
      </c>
      <c r="U290" s="221">
        <f t="shared" si="491"/>
        <v>1.1016541353383458</v>
      </c>
      <c r="V290" s="221">
        <f t="shared" si="492"/>
        <v>0.30846315789473677</v>
      </c>
      <c r="W290" s="221">
        <f t="shared" si="493"/>
        <v>0.72477245745943797</v>
      </c>
      <c r="X290" s="201">
        <f t="shared" si="494"/>
        <v>350</v>
      </c>
      <c r="Y290" s="451">
        <f t="shared" si="480"/>
        <v>350</v>
      </c>
      <c r="AA290" s="221">
        <f t="shared" si="495"/>
        <v>3.0463363796697127</v>
      </c>
      <c r="AB290" s="177">
        <f t="shared" si="496"/>
        <v>2.004168670835337</v>
      </c>
      <c r="AC290" s="177">
        <f t="shared" si="497"/>
        <v>2.136880176535993</v>
      </c>
      <c r="AD290" s="177"/>
      <c r="AE290" s="177">
        <f t="shared" si="498"/>
        <v>0.53947368421052622</v>
      </c>
      <c r="AF290" s="555">
        <f t="shared" si="499"/>
        <v>1672.813801308745</v>
      </c>
      <c r="AG290" s="538">
        <f t="shared" si="500"/>
        <v>0.15482894736842101</v>
      </c>
      <c r="AI290" s="177">
        <f t="shared" si="501"/>
        <v>1.7926835431035468</v>
      </c>
      <c r="AJ290" s="177">
        <f t="shared" si="502"/>
        <v>1.7926835431035468</v>
      </c>
      <c r="AK290" s="177">
        <f t="shared" si="503"/>
        <v>1.8484556954023645</v>
      </c>
      <c r="AM290" s="555">
        <f t="shared" si="504"/>
        <v>740</v>
      </c>
      <c r="AN290" s="469">
        <f t="shared" si="505"/>
        <v>350</v>
      </c>
      <c r="AP290">
        <f t="shared" si="506"/>
        <v>740</v>
      </c>
      <c r="AQ290">
        <f t="shared" si="507"/>
        <v>350</v>
      </c>
      <c r="AS290" s="5">
        <f t="shared" si="479"/>
        <v>2.8571428571428572</v>
      </c>
      <c r="AT290" s="5">
        <f t="shared" si="508"/>
        <v>0.5019513920689932</v>
      </c>
      <c r="AU290" s="5">
        <f t="shared" si="440"/>
        <v>2.3551914650738639</v>
      </c>
      <c r="AV290" s="5"/>
      <c r="AW290" s="177">
        <f t="shared" si="441"/>
        <v>0.1756829872241476</v>
      </c>
      <c r="AX290" s="177"/>
      <c r="BA290" s="469">
        <f t="shared" si="509"/>
        <v>99.208085235696529</v>
      </c>
      <c r="BB290" s="469">
        <f t="shared" si="510"/>
        <v>5.5040379819519991</v>
      </c>
      <c r="BC290" s="5">
        <f t="shared" si="442"/>
        <v>0.3227484600286406</v>
      </c>
      <c r="BD290" s="469">
        <f t="shared" si="511"/>
        <v>0</v>
      </c>
      <c r="BQ290" s="538">
        <f t="shared" si="512"/>
        <v>0.28267999999999999</v>
      </c>
      <c r="CG290" s="571">
        <f t="shared" si="513"/>
        <v>-50</v>
      </c>
      <c r="CH290">
        <f t="shared" si="514"/>
        <v>-50</v>
      </c>
    </row>
    <row r="291" spans="5:86" x14ac:dyDescent="0.2">
      <c r="E291" s="174">
        <v>75</v>
      </c>
      <c r="F291" s="221">
        <f t="shared" si="515"/>
        <v>0.75</v>
      </c>
      <c r="G291" s="221"/>
      <c r="H291" s="221">
        <f t="shared" si="481"/>
        <v>3.75</v>
      </c>
      <c r="I291" s="551">
        <f t="shared" si="482"/>
        <v>25</v>
      </c>
      <c r="J291" s="451">
        <f t="shared" si="483"/>
        <v>10.64</v>
      </c>
      <c r="K291" s="451">
        <f t="shared" si="484"/>
        <v>35.64</v>
      </c>
      <c r="L291" s="451"/>
      <c r="M291" s="221">
        <f t="shared" si="485"/>
        <v>0.2985409652076319</v>
      </c>
      <c r="N291" s="176">
        <f t="shared" si="486"/>
        <v>14.130050505050503</v>
      </c>
      <c r="O291" s="176">
        <f t="shared" si="478"/>
        <v>3.75</v>
      </c>
      <c r="P291" s="221">
        <f t="shared" si="487"/>
        <v>2.8260101010101009</v>
      </c>
      <c r="Q291" s="221">
        <f t="shared" si="488"/>
        <v>5</v>
      </c>
      <c r="R291" s="221"/>
      <c r="S291" s="176">
        <f t="shared" si="489"/>
        <v>49.080970069906321</v>
      </c>
      <c r="T291" s="176">
        <f t="shared" si="490"/>
        <v>5</v>
      </c>
      <c r="U291" s="221">
        <f t="shared" si="491"/>
        <v>1.1165413533834585</v>
      </c>
      <c r="V291" s="221">
        <f t="shared" si="492"/>
        <v>0.31263157894736837</v>
      </c>
      <c r="W291" s="221">
        <f t="shared" si="493"/>
        <v>0.73456667985753843</v>
      </c>
      <c r="X291" s="201">
        <f t="shared" si="494"/>
        <v>350</v>
      </c>
      <c r="Y291" s="451">
        <f t="shared" si="480"/>
        <v>350</v>
      </c>
      <c r="AA291" s="221">
        <f t="shared" si="495"/>
        <v>3.0463363796697127</v>
      </c>
      <c r="AB291" s="177">
        <f t="shared" si="496"/>
        <v>2.004168670835337</v>
      </c>
      <c r="AC291" s="177">
        <f t="shared" si="497"/>
        <v>2.136880176535993</v>
      </c>
      <c r="AD291" s="177"/>
      <c r="AE291" s="177">
        <f t="shared" si="498"/>
        <v>0.53947368421052622</v>
      </c>
      <c r="AF291" s="555">
        <f t="shared" si="499"/>
        <v>1695.4193932183227</v>
      </c>
      <c r="AG291" s="538">
        <f t="shared" si="500"/>
        <v>0.15482894736842101</v>
      </c>
      <c r="AI291" s="177">
        <f t="shared" si="501"/>
        <v>1.8047556225547152</v>
      </c>
      <c r="AJ291" s="177">
        <f t="shared" si="502"/>
        <v>1.8047556225547152</v>
      </c>
      <c r="AK291" s="177">
        <f t="shared" si="503"/>
        <v>1.8565037483698101</v>
      </c>
      <c r="AM291" s="555">
        <f t="shared" si="504"/>
        <v>750</v>
      </c>
      <c r="AN291" s="469">
        <f t="shared" si="505"/>
        <v>350</v>
      </c>
      <c r="AP291">
        <f t="shared" si="506"/>
        <v>750</v>
      </c>
      <c r="AQ291">
        <f t="shared" si="507"/>
        <v>350</v>
      </c>
      <c r="AS291" s="5">
        <f t="shared" si="479"/>
        <v>2.8571428571428572</v>
      </c>
      <c r="AT291" s="5">
        <f t="shared" si="508"/>
        <v>0.50533157431532028</v>
      </c>
      <c r="AU291" s="5">
        <f t="shared" si="440"/>
        <v>2.351811282827537</v>
      </c>
      <c r="AV291" s="5"/>
      <c r="AW291" s="177">
        <f t="shared" si="441"/>
        <v>0.1768660510103621</v>
      </c>
      <c r="AX291" s="177"/>
      <c r="BA291" s="469">
        <f t="shared" si="509"/>
        <v>99.208085235696529</v>
      </c>
      <c r="BB291" s="469">
        <f t="shared" si="510"/>
        <v>5.6233954799999992</v>
      </c>
      <c r="BC291" s="5">
        <f t="shared" si="442"/>
        <v>0.32664045594826902</v>
      </c>
      <c r="BD291" s="469">
        <f t="shared" si="511"/>
        <v>0</v>
      </c>
      <c r="BQ291" s="538">
        <f t="shared" si="512"/>
        <v>0.28650000000000003</v>
      </c>
      <c r="CG291" s="571">
        <f t="shared" si="513"/>
        <v>-50</v>
      </c>
      <c r="CH291">
        <f t="shared" si="514"/>
        <v>-50</v>
      </c>
    </row>
    <row r="292" spans="5:86" x14ac:dyDescent="0.2">
      <c r="E292" s="174">
        <v>76</v>
      </c>
      <c r="F292" s="221">
        <f t="shared" si="515"/>
        <v>0.76</v>
      </c>
      <c r="G292" s="221"/>
      <c r="H292" s="221">
        <f t="shared" si="481"/>
        <v>3.8</v>
      </c>
      <c r="I292" s="551">
        <f t="shared" si="482"/>
        <v>25</v>
      </c>
      <c r="J292" s="451">
        <f t="shared" si="483"/>
        <v>10.64</v>
      </c>
      <c r="K292" s="451">
        <f t="shared" si="484"/>
        <v>35.64</v>
      </c>
      <c r="L292" s="451"/>
      <c r="M292" s="221">
        <f t="shared" si="485"/>
        <v>0.2985409652076319</v>
      </c>
      <c r="N292" s="176">
        <f t="shared" si="486"/>
        <v>14.130050505050503</v>
      </c>
      <c r="O292" s="176">
        <f t="shared" si="478"/>
        <v>3.8</v>
      </c>
      <c r="P292" s="221">
        <f t="shared" si="487"/>
        <v>2.8260101010101009</v>
      </c>
      <c r="Q292" s="221">
        <f t="shared" si="488"/>
        <v>5</v>
      </c>
      <c r="R292" s="221"/>
      <c r="S292" s="176">
        <f t="shared" si="489"/>
        <v>48.273105677685066</v>
      </c>
      <c r="T292" s="176">
        <f t="shared" si="490"/>
        <v>5</v>
      </c>
      <c r="U292" s="221">
        <f t="shared" si="491"/>
        <v>1.1314285714285712</v>
      </c>
      <c r="V292" s="221">
        <f t="shared" si="492"/>
        <v>0.31679999999999992</v>
      </c>
      <c r="W292" s="221">
        <f t="shared" si="493"/>
        <v>0.744360902255639</v>
      </c>
      <c r="X292" s="201">
        <f t="shared" si="494"/>
        <v>350</v>
      </c>
      <c r="Y292" s="451">
        <f t="shared" si="480"/>
        <v>350</v>
      </c>
      <c r="AA292" s="221">
        <f t="shared" si="495"/>
        <v>3.0463363796697127</v>
      </c>
      <c r="AB292" s="177">
        <f t="shared" si="496"/>
        <v>2.004168670835337</v>
      </c>
      <c r="AC292" s="177">
        <f t="shared" si="497"/>
        <v>2.136880176535993</v>
      </c>
      <c r="AD292" s="177"/>
      <c r="AE292" s="177">
        <f t="shared" si="498"/>
        <v>0.53947368421052622</v>
      </c>
      <c r="AF292" s="555">
        <f t="shared" si="499"/>
        <v>1718.0249851279002</v>
      </c>
      <c r="AG292" s="538">
        <f t="shared" si="500"/>
        <v>0.15482894736842101</v>
      </c>
      <c r="AI292" s="177">
        <f t="shared" si="501"/>
        <v>1.8167474861882784</v>
      </c>
      <c r="AJ292" s="177">
        <f t="shared" si="502"/>
        <v>1.8167474861882784</v>
      </c>
      <c r="AK292" s="177">
        <f t="shared" si="503"/>
        <v>1.8644983241255191</v>
      </c>
      <c r="AM292" s="555">
        <f t="shared" si="504"/>
        <v>760</v>
      </c>
      <c r="AN292" s="469">
        <f t="shared" si="505"/>
        <v>350</v>
      </c>
      <c r="AP292">
        <f t="shared" si="506"/>
        <v>760</v>
      </c>
      <c r="AQ292">
        <f t="shared" si="507"/>
        <v>350</v>
      </c>
      <c r="AS292" s="5">
        <f t="shared" si="479"/>
        <v>2.8571428571428572</v>
      </c>
      <c r="AT292" s="5">
        <f t="shared" si="508"/>
        <v>0.50868929613271796</v>
      </c>
      <c r="AU292" s="5">
        <f t="shared" si="440"/>
        <v>2.3484535610101394</v>
      </c>
      <c r="AV292" s="5"/>
      <c r="AW292" s="177">
        <f t="shared" si="441"/>
        <v>0.17804125364645129</v>
      </c>
      <c r="AX292" s="177"/>
      <c r="BA292" s="469">
        <f t="shared" si="509"/>
        <v>99.208085235696529</v>
      </c>
      <c r="BB292" s="469">
        <f t="shared" si="510"/>
        <v>5.7439524075519994</v>
      </c>
      <c r="BC292" s="5">
        <f t="shared" si="442"/>
        <v>0.33052309377179734</v>
      </c>
      <c r="BD292" s="469">
        <f t="shared" si="511"/>
        <v>0</v>
      </c>
      <c r="BQ292" s="538">
        <f t="shared" si="512"/>
        <v>0.29032000000000002</v>
      </c>
      <c r="CG292" s="571">
        <f t="shared" si="513"/>
        <v>-50</v>
      </c>
      <c r="CH292">
        <f t="shared" si="514"/>
        <v>-50</v>
      </c>
    </row>
    <row r="293" spans="5:86" x14ac:dyDescent="0.2">
      <c r="E293" s="174">
        <v>77</v>
      </c>
      <c r="F293" s="221">
        <f t="shared" si="515"/>
        <v>0.77</v>
      </c>
      <c r="G293" s="221"/>
      <c r="H293" s="221">
        <f t="shared" si="481"/>
        <v>3.85</v>
      </c>
      <c r="I293" s="551">
        <f t="shared" si="482"/>
        <v>25</v>
      </c>
      <c r="J293" s="451">
        <f t="shared" si="483"/>
        <v>10.64</v>
      </c>
      <c r="K293" s="451">
        <f t="shared" si="484"/>
        <v>35.64</v>
      </c>
      <c r="L293" s="451"/>
      <c r="M293" s="221">
        <f t="shared" si="485"/>
        <v>0.2985409652076319</v>
      </c>
      <c r="N293" s="176">
        <f t="shared" si="486"/>
        <v>14.130050505050503</v>
      </c>
      <c r="O293" s="176">
        <f t="shared" si="478"/>
        <v>3.85</v>
      </c>
      <c r="P293" s="221">
        <f t="shared" si="487"/>
        <v>2.8260101010101009</v>
      </c>
      <c r="Q293" s="221">
        <f t="shared" si="488"/>
        <v>5</v>
      </c>
      <c r="R293" s="221"/>
      <c r="S293" s="176">
        <f t="shared" si="489"/>
        <v>47.486268438439716</v>
      </c>
      <c r="T293" s="176">
        <f t="shared" si="490"/>
        <v>5</v>
      </c>
      <c r="U293" s="221">
        <f t="shared" si="491"/>
        <v>1.1463157894736842</v>
      </c>
      <c r="V293" s="221">
        <f t="shared" si="492"/>
        <v>0.32096842105263157</v>
      </c>
      <c r="W293" s="221">
        <f t="shared" si="493"/>
        <v>0.75415512465373957</v>
      </c>
      <c r="X293" s="201">
        <f t="shared" si="494"/>
        <v>350</v>
      </c>
      <c r="Y293" s="451">
        <f t="shared" si="480"/>
        <v>350</v>
      </c>
      <c r="AA293" s="221">
        <f t="shared" si="495"/>
        <v>3.0463363796697127</v>
      </c>
      <c r="AB293" s="177">
        <f t="shared" si="496"/>
        <v>2.004168670835337</v>
      </c>
      <c r="AC293" s="177">
        <f t="shared" si="497"/>
        <v>2.136880176535993</v>
      </c>
      <c r="AD293" s="177"/>
      <c r="AE293" s="177">
        <f t="shared" si="498"/>
        <v>0.53947368421052622</v>
      </c>
      <c r="AF293" s="555">
        <f t="shared" si="499"/>
        <v>1740.6305770374781</v>
      </c>
      <c r="AG293" s="538">
        <f t="shared" si="500"/>
        <v>0.15482894736842101</v>
      </c>
      <c r="AI293" s="177">
        <f t="shared" si="501"/>
        <v>1.8286607121059939</v>
      </c>
      <c r="AJ293" s="177">
        <f t="shared" si="502"/>
        <v>1.8286607121059939</v>
      </c>
      <c r="AK293" s="177">
        <f t="shared" si="503"/>
        <v>1.8724404747373293</v>
      </c>
      <c r="AM293" s="555">
        <f t="shared" si="504"/>
        <v>770</v>
      </c>
      <c r="AN293" s="469">
        <f t="shared" si="505"/>
        <v>350</v>
      </c>
      <c r="AP293">
        <f t="shared" si="506"/>
        <v>770</v>
      </c>
      <c r="AQ293">
        <f t="shared" si="507"/>
        <v>350</v>
      </c>
      <c r="AS293" s="5">
        <f t="shared" si="479"/>
        <v>2.8571428571428572</v>
      </c>
      <c r="AT293" s="5">
        <f t="shared" si="508"/>
        <v>0.51202499938967838</v>
      </c>
      <c r="AU293" s="5">
        <f t="shared" si="440"/>
        <v>2.3451178577531788</v>
      </c>
      <c r="AV293" s="5"/>
      <c r="AW293" s="177">
        <f t="shared" si="441"/>
        <v>0.17920874978638743</v>
      </c>
      <c r="AX293" s="177"/>
      <c r="BA293" s="469">
        <f t="shared" si="509"/>
        <v>99.208085235696529</v>
      </c>
      <c r="BB293" s="469">
        <f t="shared" si="510"/>
        <v>5.8657087646079997</v>
      </c>
      <c r="BC293" s="5">
        <f t="shared" si="442"/>
        <v>0.33439643527221247</v>
      </c>
      <c r="BD293" s="469">
        <f t="shared" si="511"/>
        <v>0</v>
      </c>
      <c r="BQ293" s="538">
        <f t="shared" si="512"/>
        <v>0.29414000000000001</v>
      </c>
      <c r="CG293" s="571">
        <f t="shared" si="513"/>
        <v>-50</v>
      </c>
      <c r="CH293">
        <f t="shared" si="514"/>
        <v>-50</v>
      </c>
    </row>
    <row r="294" spans="5:86" x14ac:dyDescent="0.2">
      <c r="E294" s="174">
        <v>78</v>
      </c>
      <c r="F294" s="221">
        <f t="shared" si="515"/>
        <v>0.78</v>
      </c>
      <c r="G294" s="221"/>
      <c r="H294" s="221">
        <f t="shared" si="481"/>
        <v>3.9000000000000004</v>
      </c>
      <c r="I294" s="551">
        <f t="shared" si="482"/>
        <v>25</v>
      </c>
      <c r="J294" s="451">
        <f t="shared" si="483"/>
        <v>10.64</v>
      </c>
      <c r="K294" s="451">
        <f t="shared" si="484"/>
        <v>35.64</v>
      </c>
      <c r="L294" s="451"/>
      <c r="M294" s="221">
        <f t="shared" si="485"/>
        <v>0.2985409652076319</v>
      </c>
      <c r="N294" s="176">
        <f t="shared" si="486"/>
        <v>14.130050505050503</v>
      </c>
      <c r="O294" s="176">
        <f t="shared" si="478"/>
        <v>3.9000000000000004</v>
      </c>
      <c r="P294" s="221">
        <f t="shared" si="487"/>
        <v>2.8260101010101009</v>
      </c>
      <c r="Q294" s="221">
        <f t="shared" si="488"/>
        <v>5</v>
      </c>
      <c r="R294" s="221"/>
      <c r="S294" s="176">
        <f t="shared" si="489"/>
        <v>46.719650030863285</v>
      </c>
      <c r="T294" s="176">
        <f t="shared" si="490"/>
        <v>5</v>
      </c>
      <c r="U294" s="221">
        <f t="shared" si="491"/>
        <v>1.1612030075187969</v>
      </c>
      <c r="V294" s="221">
        <f t="shared" si="492"/>
        <v>0.32513684210526317</v>
      </c>
      <c r="W294" s="221">
        <f t="shared" si="493"/>
        <v>0.76394934705184003</v>
      </c>
      <c r="X294" s="201">
        <f t="shared" si="494"/>
        <v>350</v>
      </c>
      <c r="Y294" s="451">
        <f t="shared" si="480"/>
        <v>350</v>
      </c>
      <c r="AA294" s="221">
        <f t="shared" si="495"/>
        <v>3.0463363796697127</v>
      </c>
      <c r="AB294" s="177">
        <f t="shared" si="496"/>
        <v>2.004168670835337</v>
      </c>
      <c r="AC294" s="177">
        <f t="shared" si="497"/>
        <v>2.136880176535993</v>
      </c>
      <c r="AD294" s="177"/>
      <c r="AE294" s="177">
        <f t="shared" si="498"/>
        <v>0.53947368421052622</v>
      </c>
      <c r="AF294" s="555">
        <f t="shared" si="499"/>
        <v>1763.2361689470556</v>
      </c>
      <c r="AG294" s="538">
        <f t="shared" si="500"/>
        <v>0.15482894736842101</v>
      </c>
      <c r="AI294" s="177">
        <f t="shared" si="501"/>
        <v>1.8404968273345574</v>
      </c>
      <c r="AJ294" s="177">
        <f t="shared" si="502"/>
        <v>1.8404968273345574</v>
      </c>
      <c r="AK294" s="177">
        <f t="shared" si="503"/>
        <v>1.8803312182230383</v>
      </c>
      <c r="AM294" s="555">
        <f t="shared" si="504"/>
        <v>780</v>
      </c>
      <c r="AN294" s="469">
        <f t="shared" si="505"/>
        <v>350</v>
      </c>
      <c r="AP294">
        <f t="shared" si="506"/>
        <v>780</v>
      </c>
      <c r="AQ294">
        <f t="shared" si="507"/>
        <v>350</v>
      </c>
      <c r="AS294" s="5">
        <f t="shared" si="479"/>
        <v>2.8571428571428572</v>
      </c>
      <c r="AT294" s="5">
        <f t="shared" si="508"/>
        <v>0.51533911165367607</v>
      </c>
      <c r="AU294" s="5">
        <f t="shared" si="440"/>
        <v>2.3418037454891811</v>
      </c>
      <c r="AV294" s="5"/>
      <c r="AW294" s="177">
        <f t="shared" si="441"/>
        <v>0.18036868907878661</v>
      </c>
      <c r="AX294" s="177"/>
      <c r="BA294" s="469">
        <f t="shared" si="509"/>
        <v>99.208085235696529</v>
      </c>
      <c r="BB294" s="469">
        <f t="shared" si="510"/>
        <v>5.9886645511680001</v>
      </c>
      <c r="BC294" s="5">
        <f t="shared" si="442"/>
        <v>0.33826054101510394</v>
      </c>
      <c r="BD294" s="469">
        <f t="shared" si="511"/>
        <v>0</v>
      </c>
      <c r="BQ294" s="538">
        <f t="shared" si="512"/>
        <v>0.29796000000000006</v>
      </c>
      <c r="CG294" s="571">
        <f t="shared" si="513"/>
        <v>-50</v>
      </c>
      <c r="CH294">
        <f t="shared" si="514"/>
        <v>-50</v>
      </c>
    </row>
    <row r="295" spans="5:86" x14ac:dyDescent="0.2">
      <c r="E295" s="174">
        <v>79</v>
      </c>
      <c r="F295" s="221">
        <f t="shared" si="515"/>
        <v>0.79</v>
      </c>
      <c r="G295" s="221"/>
      <c r="H295" s="221">
        <f t="shared" si="481"/>
        <v>3.95</v>
      </c>
      <c r="I295" s="551">
        <f t="shared" si="482"/>
        <v>25</v>
      </c>
      <c r="J295" s="451">
        <f t="shared" si="483"/>
        <v>10.64</v>
      </c>
      <c r="K295" s="451">
        <f t="shared" si="484"/>
        <v>35.64</v>
      </c>
      <c r="L295" s="451"/>
      <c r="M295" s="221">
        <f t="shared" si="485"/>
        <v>0.2985409652076319</v>
      </c>
      <c r="N295" s="176">
        <f t="shared" si="486"/>
        <v>14.130050505050503</v>
      </c>
      <c r="O295" s="176">
        <f t="shared" si="478"/>
        <v>3.95</v>
      </c>
      <c r="P295" s="221">
        <f t="shared" si="487"/>
        <v>2.8260101010101009</v>
      </c>
      <c r="Q295" s="221">
        <f t="shared" si="488"/>
        <v>5</v>
      </c>
      <c r="R295" s="221"/>
      <c r="S295" s="176">
        <f t="shared" si="489"/>
        <v>45.97248306635553</v>
      </c>
      <c r="T295" s="176">
        <f t="shared" si="490"/>
        <v>5</v>
      </c>
      <c r="U295" s="221">
        <f t="shared" si="491"/>
        <v>1.1760902255639096</v>
      </c>
      <c r="V295" s="221">
        <f t="shared" si="492"/>
        <v>0.32930526315789471</v>
      </c>
      <c r="W295" s="221">
        <f t="shared" si="493"/>
        <v>0.7737435694499406</v>
      </c>
      <c r="X295" s="201">
        <f t="shared" si="494"/>
        <v>350</v>
      </c>
      <c r="Y295" s="451">
        <f t="shared" si="480"/>
        <v>350</v>
      </c>
      <c r="AA295" s="221">
        <f t="shared" si="495"/>
        <v>3.0463363796697127</v>
      </c>
      <c r="AB295" s="177">
        <f t="shared" si="496"/>
        <v>2.004168670835337</v>
      </c>
      <c r="AC295" s="177">
        <f t="shared" si="497"/>
        <v>2.136880176535993</v>
      </c>
      <c r="AD295" s="177"/>
      <c r="AE295" s="177">
        <f t="shared" si="498"/>
        <v>0.53947368421052622</v>
      </c>
      <c r="AF295" s="555">
        <f t="shared" si="499"/>
        <v>1785.8417608566333</v>
      </c>
      <c r="AG295" s="538">
        <f t="shared" si="500"/>
        <v>0.15482894736842101</v>
      </c>
      <c r="AI295" s="177">
        <f t="shared" si="501"/>
        <v>1.8522573101103268</v>
      </c>
      <c r="AJ295" s="177">
        <f t="shared" si="502"/>
        <v>1.8522573101103268</v>
      </c>
      <c r="AK295" s="177">
        <f t="shared" si="503"/>
        <v>1.8881715400735513</v>
      </c>
      <c r="AM295" s="555">
        <f t="shared" si="504"/>
        <v>790</v>
      </c>
      <c r="AN295" s="469">
        <f t="shared" si="505"/>
        <v>350</v>
      </c>
      <c r="AP295">
        <f t="shared" si="506"/>
        <v>790</v>
      </c>
      <c r="AQ295">
        <f t="shared" si="507"/>
        <v>350</v>
      </c>
      <c r="AS295" s="5">
        <f t="shared" si="479"/>
        <v>2.8571428571428572</v>
      </c>
      <c r="AT295" s="5">
        <f t="shared" si="508"/>
        <v>0.51863204683089148</v>
      </c>
      <c r="AU295" s="5">
        <f t="shared" si="440"/>
        <v>2.3385108103119658</v>
      </c>
      <c r="AV295" s="5"/>
      <c r="AW295" s="177">
        <f t="shared" si="441"/>
        <v>0.18152121639081201</v>
      </c>
      <c r="AX295" s="177"/>
      <c r="BA295" s="469">
        <f t="shared" si="509"/>
        <v>99.208085235696529</v>
      </c>
      <c r="BB295" s="469">
        <f t="shared" si="510"/>
        <v>6.1128197672320006</v>
      </c>
      <c r="BC295" s="5">
        <f t="shared" si="442"/>
        <v>0.34211547039749129</v>
      </c>
      <c r="BD295" s="469">
        <f t="shared" si="511"/>
        <v>0</v>
      </c>
      <c r="BQ295" s="538">
        <f t="shared" si="512"/>
        <v>0.30178000000000005</v>
      </c>
      <c r="CG295" s="571">
        <f t="shared" si="513"/>
        <v>-50</v>
      </c>
      <c r="CH295">
        <f t="shared" si="514"/>
        <v>-50</v>
      </c>
    </row>
    <row r="296" spans="5:86" x14ac:dyDescent="0.2">
      <c r="E296" s="174">
        <v>80</v>
      </c>
      <c r="F296" s="221">
        <f t="shared" si="515"/>
        <v>0.8</v>
      </c>
      <c r="G296" s="221"/>
      <c r="H296" s="221">
        <f t="shared" si="481"/>
        <v>4</v>
      </c>
      <c r="I296" s="551">
        <f t="shared" si="482"/>
        <v>25</v>
      </c>
      <c r="J296" s="451">
        <f t="shared" si="483"/>
        <v>10.64</v>
      </c>
      <c r="K296" s="451">
        <f t="shared" si="484"/>
        <v>35.64</v>
      </c>
      <c r="L296" s="451"/>
      <c r="M296" s="221">
        <f t="shared" si="485"/>
        <v>0.2985409652076319</v>
      </c>
      <c r="N296" s="176">
        <f t="shared" si="486"/>
        <v>14.130050505050503</v>
      </c>
      <c r="O296" s="176">
        <f t="shared" si="478"/>
        <v>4</v>
      </c>
      <c r="P296" s="221">
        <f t="shared" si="487"/>
        <v>2.8260101010101009</v>
      </c>
      <c r="Q296" s="221">
        <f t="shared" si="488"/>
        <v>5</v>
      </c>
      <c r="R296" s="221"/>
      <c r="S296" s="176">
        <f t="shared" si="489"/>
        <v>45.244038530801447</v>
      </c>
      <c r="T296" s="176">
        <f t="shared" si="490"/>
        <v>5</v>
      </c>
      <c r="U296" s="221">
        <f t="shared" si="491"/>
        <v>1.1909774436090224</v>
      </c>
      <c r="V296" s="221">
        <f t="shared" si="492"/>
        <v>0.33347368421052631</v>
      </c>
      <c r="W296" s="221">
        <f t="shared" si="493"/>
        <v>0.78353779184804107</v>
      </c>
      <c r="X296" s="201">
        <f t="shared" si="494"/>
        <v>350</v>
      </c>
      <c r="Y296" s="451">
        <f t="shared" si="480"/>
        <v>350</v>
      </c>
      <c r="AA296" s="221">
        <f t="shared" si="495"/>
        <v>3.0463363796697127</v>
      </c>
      <c r="AB296" s="177">
        <f t="shared" si="496"/>
        <v>2.004168670835337</v>
      </c>
      <c r="AC296" s="177">
        <f t="shared" si="497"/>
        <v>2.136880176535993</v>
      </c>
      <c r="AD296" s="177"/>
      <c r="AE296" s="177">
        <f t="shared" si="498"/>
        <v>0.53947368421052622</v>
      </c>
      <c r="AF296" s="555">
        <f t="shared" si="499"/>
        <v>1808.447352766211</v>
      </c>
      <c r="AG296" s="538">
        <f t="shared" si="500"/>
        <v>0.15482894736842101</v>
      </c>
      <c r="AI296" s="177">
        <f t="shared" si="501"/>
        <v>1.8639435920342962</v>
      </c>
      <c r="AJ296" s="177">
        <f t="shared" si="502"/>
        <v>1.8639435920342962</v>
      </c>
      <c r="AK296" s="177">
        <f t="shared" si="503"/>
        <v>1.895962394689531</v>
      </c>
      <c r="AM296" s="555">
        <f t="shared" si="504"/>
        <v>800</v>
      </c>
      <c r="AN296" s="469">
        <f t="shared" si="505"/>
        <v>350</v>
      </c>
      <c r="AP296">
        <f t="shared" si="506"/>
        <v>800</v>
      </c>
      <c r="AQ296">
        <f t="shared" si="507"/>
        <v>350</v>
      </c>
      <c r="AS296" s="5">
        <f t="shared" si="479"/>
        <v>2.8571428571428572</v>
      </c>
      <c r="AT296" s="5">
        <f t="shared" si="508"/>
        <v>0.52190420576960284</v>
      </c>
      <c r="AU296" s="5">
        <f t="shared" si="440"/>
        <v>2.3352386513732544</v>
      </c>
      <c r="AV296" s="5"/>
      <c r="AW296" s="177">
        <f t="shared" si="441"/>
        <v>0.18266647201936098</v>
      </c>
      <c r="AX296" s="177"/>
      <c r="BA296" s="469">
        <f t="shared" si="509"/>
        <v>99.208085235696529</v>
      </c>
      <c r="BB296" s="469">
        <f t="shared" si="510"/>
        <v>6.2381744128000012</v>
      </c>
      <c r="BC296" s="5">
        <f t="shared" si="442"/>
        <v>0.34596128168492651</v>
      </c>
      <c r="BD296" s="469">
        <f t="shared" si="511"/>
        <v>0</v>
      </c>
      <c r="BQ296" s="538">
        <f t="shared" si="512"/>
        <v>0.30560000000000004</v>
      </c>
      <c r="CG296" s="571">
        <f t="shared" si="513"/>
        <v>-50</v>
      </c>
      <c r="CH296">
        <f t="shared" si="514"/>
        <v>-50</v>
      </c>
    </row>
    <row r="297" spans="5:86" x14ac:dyDescent="0.2">
      <c r="E297" s="174">
        <v>81</v>
      </c>
      <c r="F297" s="221">
        <f t="shared" si="515"/>
        <v>0.81</v>
      </c>
      <c r="G297" s="221"/>
      <c r="H297" s="221">
        <f t="shared" si="481"/>
        <v>4.0500000000000007</v>
      </c>
      <c r="I297" s="551">
        <f t="shared" si="482"/>
        <v>25</v>
      </c>
      <c r="J297" s="451">
        <f t="shared" si="483"/>
        <v>10.64</v>
      </c>
      <c r="K297" s="451">
        <f t="shared" si="484"/>
        <v>35.64</v>
      </c>
      <c r="L297" s="451"/>
      <c r="M297" s="221">
        <f t="shared" si="485"/>
        <v>0.2985409652076319</v>
      </c>
      <c r="N297" s="176">
        <f t="shared" si="486"/>
        <v>14.130050505050503</v>
      </c>
      <c r="O297" s="176">
        <f t="shared" si="478"/>
        <v>4.0500000000000007</v>
      </c>
      <c r="P297" s="221">
        <f t="shared" si="487"/>
        <v>2.8260101010101009</v>
      </c>
      <c r="Q297" s="221">
        <f t="shared" si="488"/>
        <v>5</v>
      </c>
      <c r="R297" s="221"/>
      <c r="S297" s="176">
        <f t="shared" si="489"/>
        <v>44.533623415849156</v>
      </c>
      <c r="T297" s="176">
        <f t="shared" si="490"/>
        <v>5</v>
      </c>
      <c r="U297" s="221">
        <f t="shared" si="491"/>
        <v>1.2058646616541353</v>
      </c>
      <c r="V297" s="221">
        <f t="shared" si="492"/>
        <v>0.33764210526315785</v>
      </c>
      <c r="W297" s="221">
        <f t="shared" si="493"/>
        <v>0.79333201424614153</v>
      </c>
      <c r="X297" s="201">
        <f t="shared" si="494"/>
        <v>350</v>
      </c>
      <c r="Y297" s="451">
        <f t="shared" si="480"/>
        <v>350</v>
      </c>
      <c r="AA297" s="221">
        <f t="shared" si="495"/>
        <v>3.0463363796697127</v>
      </c>
      <c r="AB297" s="177">
        <f t="shared" si="496"/>
        <v>2.004168670835337</v>
      </c>
      <c r="AC297" s="177">
        <f t="shared" si="497"/>
        <v>2.136880176535993</v>
      </c>
      <c r="AD297" s="177"/>
      <c r="AE297" s="177">
        <f t="shared" si="498"/>
        <v>0.53947368421052622</v>
      </c>
      <c r="AF297" s="555">
        <f t="shared" si="499"/>
        <v>1831.0529446757887</v>
      </c>
      <c r="AG297" s="538">
        <f t="shared" si="500"/>
        <v>0.15482894736842101</v>
      </c>
      <c r="AI297" s="177">
        <f t="shared" si="501"/>
        <v>1.8755570601062199</v>
      </c>
      <c r="AJ297" s="177">
        <f t="shared" si="502"/>
        <v>1.8755570601062199</v>
      </c>
      <c r="AK297" s="177">
        <f t="shared" si="503"/>
        <v>1.9037047067374799</v>
      </c>
      <c r="AM297" s="555">
        <f t="shared" si="504"/>
        <v>810</v>
      </c>
      <c r="AN297" s="469">
        <f t="shared" si="505"/>
        <v>350</v>
      </c>
      <c r="AP297">
        <f t="shared" si="506"/>
        <v>810</v>
      </c>
      <c r="AQ297">
        <f t="shared" si="507"/>
        <v>350</v>
      </c>
      <c r="AS297" s="5">
        <f t="shared" si="479"/>
        <v>2.8571428571428572</v>
      </c>
      <c r="AT297" s="5">
        <f t="shared" si="508"/>
        <v>0.52515597682974158</v>
      </c>
      <c r="AU297" s="5">
        <f t="shared" si="440"/>
        <v>2.3319868803131154</v>
      </c>
      <c r="AV297" s="5"/>
      <c r="AW297" s="177">
        <f t="shared" si="441"/>
        <v>0.18380459189040954</v>
      </c>
      <c r="AX297" s="177"/>
      <c r="BA297" s="469">
        <f t="shared" si="509"/>
        <v>99.208085235696529</v>
      </c>
      <c r="BB297" s="469">
        <f t="shared" si="510"/>
        <v>6.3647284878720018</v>
      </c>
      <c r="BC297" s="5">
        <f t="shared" si="442"/>
        <v>0.34979803204696736</v>
      </c>
      <c r="BD297" s="469">
        <f t="shared" si="511"/>
        <v>0</v>
      </c>
      <c r="BQ297" s="538">
        <f t="shared" si="512"/>
        <v>0.30942000000000003</v>
      </c>
      <c r="CG297" s="571">
        <f t="shared" si="513"/>
        <v>-50</v>
      </c>
      <c r="CH297">
        <f t="shared" si="514"/>
        <v>-50</v>
      </c>
    </row>
    <row r="298" spans="5:86" x14ac:dyDescent="0.2">
      <c r="E298" s="174">
        <v>82</v>
      </c>
      <c r="F298" s="221">
        <f t="shared" si="515"/>
        <v>0.82</v>
      </c>
      <c r="G298" s="221"/>
      <c r="H298" s="221">
        <f t="shared" si="481"/>
        <v>4.0999999999999996</v>
      </c>
      <c r="I298" s="551">
        <f t="shared" si="482"/>
        <v>25</v>
      </c>
      <c r="J298" s="451">
        <f t="shared" si="483"/>
        <v>10.64</v>
      </c>
      <c r="K298" s="451">
        <f t="shared" si="484"/>
        <v>35.64</v>
      </c>
      <c r="L298" s="451"/>
      <c r="M298" s="221">
        <f t="shared" si="485"/>
        <v>0.2985409652076319</v>
      </c>
      <c r="N298" s="176">
        <f t="shared" si="486"/>
        <v>14.130050505050503</v>
      </c>
      <c r="O298" s="176">
        <f t="shared" si="478"/>
        <v>4.0999999999999996</v>
      </c>
      <c r="P298" s="221">
        <f t="shared" si="487"/>
        <v>2.8260101010101009</v>
      </c>
      <c r="Q298" s="221">
        <f t="shared" si="488"/>
        <v>5</v>
      </c>
      <c r="R298" s="221"/>
      <c r="S298" s="176">
        <f t="shared" si="489"/>
        <v>43.840578523509848</v>
      </c>
      <c r="T298" s="176">
        <f t="shared" si="490"/>
        <v>5</v>
      </c>
      <c r="U298" s="221">
        <f t="shared" si="491"/>
        <v>1.2207518796992478</v>
      </c>
      <c r="V298" s="221">
        <f t="shared" si="492"/>
        <v>0.34181052631578934</v>
      </c>
      <c r="W298" s="221">
        <f t="shared" si="493"/>
        <v>0.80312623664424188</v>
      </c>
      <c r="X298" s="201">
        <f t="shared" si="494"/>
        <v>350</v>
      </c>
      <c r="Y298" s="451">
        <f t="shared" si="480"/>
        <v>350</v>
      </c>
      <c r="AA298" s="221">
        <f t="shared" si="495"/>
        <v>3.0463363796697127</v>
      </c>
      <c r="AB298" s="177">
        <f t="shared" si="496"/>
        <v>2.004168670835337</v>
      </c>
      <c r="AC298" s="177">
        <f t="shared" si="497"/>
        <v>2.136880176535993</v>
      </c>
      <c r="AD298" s="177"/>
      <c r="AE298" s="177">
        <f t="shared" si="498"/>
        <v>0.53947368421052622</v>
      </c>
      <c r="AF298" s="555">
        <f t="shared" si="499"/>
        <v>1853.6585365853662</v>
      </c>
      <c r="AG298" s="538">
        <f t="shared" si="500"/>
        <v>0.15482894736842101</v>
      </c>
      <c r="AI298" s="177">
        <f t="shared" si="501"/>
        <v>1.887099058646063</v>
      </c>
      <c r="AJ298" s="177">
        <f t="shared" si="502"/>
        <v>1.887099058646063</v>
      </c>
      <c r="AK298" s="177">
        <f t="shared" si="503"/>
        <v>1.9113993724307086</v>
      </c>
      <c r="AM298" s="555">
        <f t="shared" si="504"/>
        <v>820</v>
      </c>
      <c r="AN298" s="469">
        <f t="shared" si="505"/>
        <v>350</v>
      </c>
      <c r="AP298">
        <f t="shared" si="506"/>
        <v>820</v>
      </c>
      <c r="AQ298">
        <f t="shared" si="507"/>
        <v>350</v>
      </c>
      <c r="AS298" s="5">
        <f t="shared" si="479"/>
        <v>2.8571428571428572</v>
      </c>
      <c r="AT298" s="5">
        <f t="shared" si="508"/>
        <v>0.52838773642089765</v>
      </c>
      <c r="AU298" s="5">
        <f t="shared" ref="AU298:AU316" si="516">AS298-AT298</f>
        <v>2.3287551207219597</v>
      </c>
      <c r="AV298" s="5"/>
      <c r="AW298" s="177">
        <f t="shared" ref="AW298:AW316" si="517">AT298/AS298</f>
        <v>0.18493570774731416</v>
      </c>
      <c r="AX298" s="177"/>
      <c r="BA298" s="469">
        <f t="shared" si="509"/>
        <v>99.208085235696529</v>
      </c>
      <c r="BB298" s="469">
        <f t="shared" si="510"/>
        <v>6.4924819924479991</v>
      </c>
      <c r="BC298" s="5">
        <f t="shared" si="442"/>
        <v>0.3536257775911123</v>
      </c>
      <c r="BD298" s="469">
        <f t="shared" si="511"/>
        <v>0</v>
      </c>
      <c r="BQ298" s="538">
        <f t="shared" si="512"/>
        <v>0.31324000000000002</v>
      </c>
      <c r="CG298" s="571">
        <f t="shared" si="513"/>
        <v>-50</v>
      </c>
      <c r="CH298">
        <f t="shared" si="514"/>
        <v>-50</v>
      </c>
    </row>
    <row r="299" spans="5:86" x14ac:dyDescent="0.2">
      <c r="E299" s="174">
        <v>83</v>
      </c>
      <c r="F299" s="221">
        <f t="shared" si="515"/>
        <v>0.83</v>
      </c>
      <c r="G299" s="221"/>
      <c r="H299" s="221">
        <f t="shared" si="481"/>
        <v>4.1499999999999995</v>
      </c>
      <c r="I299" s="551">
        <f t="shared" si="482"/>
        <v>25</v>
      </c>
      <c r="J299" s="451">
        <f t="shared" si="483"/>
        <v>10.64</v>
      </c>
      <c r="K299" s="451">
        <f t="shared" si="484"/>
        <v>35.64</v>
      </c>
      <c r="L299" s="451"/>
      <c r="M299" s="221">
        <f t="shared" si="485"/>
        <v>0.2985409652076319</v>
      </c>
      <c r="N299" s="176">
        <f t="shared" si="486"/>
        <v>14.130050505050503</v>
      </c>
      <c r="O299" s="176">
        <f t="shared" si="478"/>
        <v>4.1499999999999995</v>
      </c>
      <c r="P299" s="221">
        <f t="shared" si="487"/>
        <v>2.8260101010101009</v>
      </c>
      <c r="Q299" s="221">
        <f t="shared" si="488"/>
        <v>5</v>
      </c>
      <c r="R299" s="221"/>
      <c r="S299" s="176">
        <f t="shared" si="489"/>
        <v>43.164276429462667</v>
      </c>
      <c r="T299" s="176">
        <f t="shared" si="490"/>
        <v>5</v>
      </c>
      <c r="U299" s="221">
        <f t="shared" si="491"/>
        <v>1.2356390977443605</v>
      </c>
      <c r="V299" s="221">
        <f t="shared" si="492"/>
        <v>0.34597894736842094</v>
      </c>
      <c r="W299" s="221">
        <f t="shared" si="493"/>
        <v>0.81292045904234234</v>
      </c>
      <c r="X299" s="201">
        <f t="shared" si="494"/>
        <v>350</v>
      </c>
      <c r="Y299" s="451">
        <f t="shared" si="480"/>
        <v>350</v>
      </c>
      <c r="AA299" s="221">
        <f t="shared" si="495"/>
        <v>3.0463363796697127</v>
      </c>
      <c r="AB299" s="177">
        <f t="shared" si="496"/>
        <v>2.004168670835337</v>
      </c>
      <c r="AC299" s="177">
        <f t="shared" si="497"/>
        <v>2.136880176535993</v>
      </c>
      <c r="AD299" s="177"/>
      <c r="AE299" s="177">
        <f t="shared" si="498"/>
        <v>0.53947368421052622</v>
      </c>
      <c r="AF299" s="555">
        <f t="shared" si="499"/>
        <v>1876.2641284949436</v>
      </c>
      <c r="AG299" s="538">
        <f t="shared" si="500"/>
        <v>0.15482894736842101</v>
      </c>
      <c r="AI299" s="177">
        <f t="shared" si="501"/>
        <v>1.8985708911103185</v>
      </c>
      <c r="AJ299" s="177">
        <f t="shared" si="502"/>
        <v>1.8985708911103185</v>
      </c>
      <c r="AK299" s="177">
        <f t="shared" si="503"/>
        <v>1.9190472607402123</v>
      </c>
      <c r="AM299" s="555">
        <f t="shared" si="504"/>
        <v>830</v>
      </c>
      <c r="AN299" s="469">
        <f t="shared" si="505"/>
        <v>350</v>
      </c>
      <c r="AP299">
        <f t="shared" si="506"/>
        <v>830</v>
      </c>
      <c r="AQ299">
        <f t="shared" si="507"/>
        <v>350</v>
      </c>
      <c r="AS299" s="5">
        <f t="shared" si="479"/>
        <v>2.8571428571428572</v>
      </c>
      <c r="AT299" s="5">
        <f t="shared" si="508"/>
        <v>0.53159984951088923</v>
      </c>
      <c r="AU299" s="5">
        <f t="shared" si="516"/>
        <v>2.3255430076319681</v>
      </c>
      <c r="AV299" s="5"/>
      <c r="AW299" s="177">
        <f t="shared" si="517"/>
        <v>0.18605994732881123</v>
      </c>
      <c r="AX299" s="177"/>
      <c r="BA299" s="469">
        <f t="shared" si="509"/>
        <v>99.208085235696529</v>
      </c>
      <c r="BB299" s="469">
        <f t="shared" si="510"/>
        <v>6.6214349265279981</v>
      </c>
      <c r="BC299" s="5">
        <f t="shared" si="442"/>
        <v>0.35744457339528396</v>
      </c>
      <c r="BD299" s="469">
        <f t="shared" si="511"/>
        <v>0</v>
      </c>
      <c r="BQ299" s="538">
        <f t="shared" si="512"/>
        <v>0.31706000000000001</v>
      </c>
      <c r="CG299" s="571">
        <f t="shared" si="513"/>
        <v>-50</v>
      </c>
      <c r="CH299">
        <f t="shared" si="514"/>
        <v>-50</v>
      </c>
    </row>
    <row r="300" spans="5:86" x14ac:dyDescent="0.2">
      <c r="E300" s="174">
        <v>84</v>
      </c>
      <c r="F300" s="221">
        <f t="shared" si="515"/>
        <v>0.84</v>
      </c>
      <c r="G300" s="221"/>
      <c r="H300" s="221">
        <f t="shared" si="481"/>
        <v>4.2</v>
      </c>
      <c r="I300" s="551">
        <f t="shared" si="482"/>
        <v>25</v>
      </c>
      <c r="J300" s="451">
        <f t="shared" si="483"/>
        <v>10.64</v>
      </c>
      <c r="K300" s="451">
        <f t="shared" si="484"/>
        <v>35.64</v>
      </c>
      <c r="L300" s="451"/>
      <c r="M300" s="221">
        <f t="shared" si="485"/>
        <v>0.2985409652076319</v>
      </c>
      <c r="N300" s="176">
        <f t="shared" si="486"/>
        <v>14.130050505050503</v>
      </c>
      <c r="O300" s="176">
        <f t="shared" si="478"/>
        <v>4.2</v>
      </c>
      <c r="P300" s="221">
        <f t="shared" si="487"/>
        <v>2.8260101010101009</v>
      </c>
      <c r="Q300" s="221">
        <f t="shared" si="488"/>
        <v>5</v>
      </c>
      <c r="R300" s="221"/>
      <c r="S300" s="176">
        <f t="shared" si="489"/>
        <v>42.504119591839071</v>
      </c>
      <c r="T300" s="176">
        <f t="shared" si="490"/>
        <v>5</v>
      </c>
      <c r="U300" s="221">
        <f t="shared" si="491"/>
        <v>1.2505263157894735</v>
      </c>
      <c r="V300" s="221">
        <f t="shared" si="492"/>
        <v>0.35014736842105254</v>
      </c>
      <c r="W300" s="221">
        <f t="shared" si="493"/>
        <v>0.82271468144044302</v>
      </c>
      <c r="X300" s="201">
        <f t="shared" si="494"/>
        <v>350</v>
      </c>
      <c r="Y300" s="451">
        <f t="shared" si="480"/>
        <v>350</v>
      </c>
      <c r="AA300" s="221">
        <f t="shared" si="495"/>
        <v>3.0463363796697127</v>
      </c>
      <c r="AB300" s="177">
        <f t="shared" si="496"/>
        <v>2.004168670835337</v>
      </c>
      <c r="AC300" s="177">
        <f t="shared" si="497"/>
        <v>2.136880176535993</v>
      </c>
      <c r="AD300" s="177"/>
      <c r="AE300" s="177">
        <f t="shared" si="498"/>
        <v>0.53947368421052622</v>
      </c>
      <c r="AF300" s="555">
        <f t="shared" si="499"/>
        <v>1898.8697204045213</v>
      </c>
      <c r="AG300" s="538">
        <f t="shared" si="500"/>
        <v>0.15482894736842101</v>
      </c>
      <c r="AI300" s="177">
        <f t="shared" si="501"/>
        <v>1.9099738218101316</v>
      </c>
      <c r="AJ300" s="177">
        <f t="shared" si="502"/>
        <v>1.9099738218101316</v>
      </c>
      <c r="AK300" s="177">
        <f t="shared" si="503"/>
        <v>1.9266492145400878</v>
      </c>
      <c r="AM300" s="555">
        <f t="shared" si="504"/>
        <v>840</v>
      </c>
      <c r="AN300" s="469">
        <f t="shared" si="505"/>
        <v>350</v>
      </c>
      <c r="AP300">
        <f t="shared" si="506"/>
        <v>840</v>
      </c>
      <c r="AQ300">
        <f t="shared" si="507"/>
        <v>350</v>
      </c>
      <c r="AS300" s="5">
        <f t="shared" si="479"/>
        <v>2.8571428571428572</v>
      </c>
      <c r="AT300" s="5">
        <f t="shared" si="508"/>
        <v>0.53479267010683684</v>
      </c>
      <c r="AU300" s="5">
        <f t="shared" si="516"/>
        <v>2.3223501870360206</v>
      </c>
      <c r="AV300" s="5"/>
      <c r="AW300" s="177">
        <f t="shared" si="517"/>
        <v>0.18717743453739288</v>
      </c>
      <c r="AX300" s="177"/>
      <c r="BA300" s="469">
        <f t="shared" si="509"/>
        <v>99.208085235696529</v>
      </c>
      <c r="BB300" s="469">
        <f t="shared" si="510"/>
        <v>6.7515872901119991</v>
      </c>
      <c r="BC300" s="5">
        <f t="shared" si="442"/>
        <v>0.36125447353893653</v>
      </c>
      <c r="BD300" s="469">
        <f t="shared" si="511"/>
        <v>0</v>
      </c>
      <c r="BQ300" s="538">
        <f t="shared" si="512"/>
        <v>0.32088</v>
      </c>
      <c r="CG300" s="571">
        <f t="shared" si="513"/>
        <v>-50</v>
      </c>
      <c r="CH300">
        <f t="shared" si="514"/>
        <v>-50</v>
      </c>
    </row>
    <row r="301" spans="5:86" x14ac:dyDescent="0.2">
      <c r="E301" s="174">
        <v>85</v>
      </c>
      <c r="F301" s="221">
        <f t="shared" si="515"/>
        <v>0.85</v>
      </c>
      <c r="G301" s="221"/>
      <c r="H301" s="221">
        <f t="shared" si="481"/>
        <v>4.25</v>
      </c>
      <c r="I301" s="551">
        <f t="shared" si="482"/>
        <v>25</v>
      </c>
      <c r="J301" s="451">
        <f t="shared" si="483"/>
        <v>10.64</v>
      </c>
      <c r="K301" s="451">
        <f t="shared" si="484"/>
        <v>35.64</v>
      </c>
      <c r="L301" s="451"/>
      <c r="M301" s="221">
        <f t="shared" si="485"/>
        <v>0.2985409652076319</v>
      </c>
      <c r="N301" s="176">
        <f t="shared" si="486"/>
        <v>14.130050505050503</v>
      </c>
      <c r="O301" s="176">
        <f t="shared" si="478"/>
        <v>4.25</v>
      </c>
      <c r="P301" s="221">
        <f t="shared" si="487"/>
        <v>2.8260101010101009</v>
      </c>
      <c r="Q301" s="221">
        <f t="shared" si="488"/>
        <v>5</v>
      </c>
      <c r="R301" s="221"/>
      <c r="S301" s="176">
        <f t="shared" si="489"/>
        <v>41.859538593505825</v>
      </c>
      <c r="T301" s="176">
        <f t="shared" si="490"/>
        <v>5</v>
      </c>
      <c r="U301" s="221">
        <f t="shared" si="491"/>
        <v>1.2654135338345862</v>
      </c>
      <c r="V301" s="221">
        <f t="shared" si="492"/>
        <v>0.35431578947368408</v>
      </c>
      <c r="W301" s="221">
        <f t="shared" si="493"/>
        <v>0.83250890383854348</v>
      </c>
      <c r="X301" s="201">
        <f t="shared" si="494"/>
        <v>350</v>
      </c>
      <c r="Y301" s="451">
        <f t="shared" si="480"/>
        <v>350</v>
      </c>
      <c r="AA301" s="221">
        <f t="shared" si="495"/>
        <v>3.0463363796697127</v>
      </c>
      <c r="AB301" s="177">
        <f t="shared" si="496"/>
        <v>2.004168670835337</v>
      </c>
      <c r="AC301" s="177">
        <f t="shared" si="497"/>
        <v>2.136880176535993</v>
      </c>
      <c r="AD301" s="177"/>
      <c r="AE301" s="177">
        <f t="shared" si="498"/>
        <v>0.53947368421052622</v>
      </c>
      <c r="AF301" s="555">
        <f t="shared" si="499"/>
        <v>1921.475312314099</v>
      </c>
      <c r="AG301" s="538">
        <f t="shared" si="500"/>
        <v>0.15482894736842101</v>
      </c>
      <c r="AI301" s="177">
        <f t="shared" si="501"/>
        <v>1.9213090775376489</v>
      </c>
      <c r="AJ301" s="177">
        <f t="shared" si="502"/>
        <v>1.9213090775376489</v>
      </c>
      <c r="AK301" s="177">
        <f t="shared" si="503"/>
        <v>1.9342060516917658</v>
      </c>
      <c r="AM301" s="555">
        <f t="shared" si="504"/>
        <v>850</v>
      </c>
      <c r="AN301" s="469">
        <f t="shared" si="505"/>
        <v>350</v>
      </c>
      <c r="AP301">
        <f t="shared" si="506"/>
        <v>850</v>
      </c>
      <c r="AQ301">
        <f t="shared" si="507"/>
        <v>350</v>
      </c>
      <c r="AS301" s="5">
        <f t="shared" si="479"/>
        <v>2.8571428571428572</v>
      </c>
      <c r="AT301" s="5">
        <f t="shared" si="508"/>
        <v>0.5379665417105417</v>
      </c>
      <c r="AU301" s="5">
        <f t="shared" si="516"/>
        <v>2.3191763154323155</v>
      </c>
      <c r="AV301" s="5"/>
      <c r="AW301" s="177">
        <f t="shared" si="517"/>
        <v>0.1882882895986896</v>
      </c>
      <c r="AX301" s="177"/>
      <c r="BA301" s="469">
        <f t="shared" si="509"/>
        <v>99.208085235696529</v>
      </c>
      <c r="BB301" s="469">
        <f t="shared" si="510"/>
        <v>6.8829390831999993</v>
      </c>
      <c r="BC301" s="5">
        <f t="shared" si="442"/>
        <v>0.36505553113286443</v>
      </c>
      <c r="BD301" s="469">
        <f t="shared" si="511"/>
        <v>0</v>
      </c>
      <c r="BQ301" s="538">
        <f t="shared" si="512"/>
        <v>0.32469999999999999</v>
      </c>
      <c r="CG301" s="571">
        <f t="shared" si="513"/>
        <v>-50</v>
      </c>
      <c r="CH301">
        <f t="shared" si="514"/>
        <v>-50</v>
      </c>
    </row>
    <row r="302" spans="5:86" x14ac:dyDescent="0.2">
      <c r="E302" s="174">
        <v>86</v>
      </c>
      <c r="F302" s="221">
        <f t="shared" si="515"/>
        <v>0.86</v>
      </c>
      <c r="G302" s="221"/>
      <c r="H302" s="221">
        <f t="shared" si="481"/>
        <v>4.3</v>
      </c>
      <c r="I302" s="551">
        <f t="shared" si="482"/>
        <v>25</v>
      </c>
      <c r="J302" s="451">
        <f t="shared" si="483"/>
        <v>10.64</v>
      </c>
      <c r="K302" s="451">
        <f t="shared" si="484"/>
        <v>35.64</v>
      </c>
      <c r="L302" s="451"/>
      <c r="M302" s="221">
        <f t="shared" si="485"/>
        <v>0.2985409652076319</v>
      </c>
      <c r="N302" s="176">
        <f t="shared" si="486"/>
        <v>14.130050505050503</v>
      </c>
      <c r="O302" s="176">
        <f t="shared" si="478"/>
        <v>4.3</v>
      </c>
      <c r="P302" s="221">
        <f t="shared" si="487"/>
        <v>2.8260101010101009</v>
      </c>
      <c r="Q302" s="221">
        <f t="shared" si="488"/>
        <v>5</v>
      </c>
      <c r="R302" s="221"/>
      <c r="S302" s="176">
        <f t="shared" si="489"/>
        <v>41.229990506980791</v>
      </c>
      <c r="T302" s="176">
        <f t="shared" si="490"/>
        <v>5</v>
      </c>
      <c r="U302" s="221">
        <f t="shared" si="491"/>
        <v>1.2803007518796989</v>
      </c>
      <c r="V302" s="221">
        <f t="shared" si="492"/>
        <v>0.35848421052631574</v>
      </c>
      <c r="W302" s="221">
        <f t="shared" si="493"/>
        <v>0.84230312623664394</v>
      </c>
      <c r="X302" s="201">
        <f t="shared" si="494"/>
        <v>350</v>
      </c>
      <c r="Y302" s="451">
        <f t="shared" si="480"/>
        <v>350</v>
      </c>
      <c r="AA302" s="221">
        <f t="shared" si="495"/>
        <v>3.0463363796697127</v>
      </c>
      <c r="AB302" s="177">
        <f t="shared" si="496"/>
        <v>2.004168670835337</v>
      </c>
      <c r="AC302" s="177">
        <f t="shared" si="497"/>
        <v>2.136880176535993</v>
      </c>
      <c r="AD302" s="177"/>
      <c r="AE302" s="177">
        <f t="shared" si="498"/>
        <v>0.53947368421052622</v>
      </c>
      <c r="AF302" s="555">
        <f t="shared" si="499"/>
        <v>1944.0809042236767</v>
      </c>
      <c r="AG302" s="538">
        <f t="shared" si="500"/>
        <v>0.15482894736842101</v>
      </c>
      <c r="AI302" s="177">
        <f t="shared" si="501"/>
        <v>1.9325778491065098</v>
      </c>
      <c r="AJ302" s="177">
        <f t="shared" si="502"/>
        <v>1.9325778491065098</v>
      </c>
      <c r="AK302" s="177">
        <f t="shared" si="503"/>
        <v>1.9417185660710066</v>
      </c>
      <c r="AM302" s="555">
        <f t="shared" si="504"/>
        <v>860</v>
      </c>
      <c r="AN302" s="469">
        <f t="shared" si="505"/>
        <v>350</v>
      </c>
      <c r="AP302">
        <f t="shared" si="506"/>
        <v>860</v>
      </c>
      <c r="AQ302">
        <f t="shared" si="507"/>
        <v>350</v>
      </c>
      <c r="AS302" s="5">
        <f t="shared" si="479"/>
        <v>2.8571428571428572</v>
      </c>
      <c r="AT302" s="5">
        <f t="shared" si="508"/>
        <v>0.54112179774982272</v>
      </c>
      <c r="AU302" s="5">
        <f t="shared" si="516"/>
        <v>2.3160210593930346</v>
      </c>
      <c r="AV302" s="5"/>
      <c r="AW302" s="177">
        <f t="shared" si="517"/>
        <v>0.18939262921243794</v>
      </c>
      <c r="AX302" s="177"/>
      <c r="BA302" s="469">
        <f t="shared" si="509"/>
        <v>99.208085235696529</v>
      </c>
      <c r="BB302" s="469">
        <f t="shared" si="510"/>
        <v>7.0154903057919986</v>
      </c>
      <c r="BC302" s="5">
        <f t="shared" si="442"/>
        <v>0.36884779834777959</v>
      </c>
      <c r="BD302" s="469">
        <f t="shared" si="511"/>
        <v>0</v>
      </c>
      <c r="BQ302" s="538">
        <f t="shared" si="512"/>
        <v>0.32852000000000003</v>
      </c>
      <c r="CG302" s="571">
        <f t="shared" si="513"/>
        <v>-50</v>
      </c>
      <c r="CH302">
        <f t="shared" si="514"/>
        <v>-50</v>
      </c>
    </row>
    <row r="303" spans="5:86" x14ac:dyDescent="0.2">
      <c r="E303" s="174">
        <v>87</v>
      </c>
      <c r="F303" s="221">
        <f t="shared" si="515"/>
        <v>0.87</v>
      </c>
      <c r="G303" s="221"/>
      <c r="H303" s="221">
        <f t="shared" si="481"/>
        <v>4.3499999999999996</v>
      </c>
      <c r="I303" s="551">
        <f t="shared" si="482"/>
        <v>25</v>
      </c>
      <c r="J303" s="451">
        <f t="shared" si="483"/>
        <v>10.64</v>
      </c>
      <c r="K303" s="451">
        <f t="shared" si="484"/>
        <v>35.64</v>
      </c>
      <c r="L303" s="451"/>
      <c r="M303" s="221">
        <f t="shared" si="485"/>
        <v>0.2985409652076319</v>
      </c>
      <c r="N303" s="176">
        <f t="shared" si="486"/>
        <v>14.130050505050503</v>
      </c>
      <c r="O303" s="176">
        <f t="shared" si="478"/>
        <v>4.3499999999999996</v>
      </c>
      <c r="P303" s="221">
        <f t="shared" si="487"/>
        <v>2.8260101010101009</v>
      </c>
      <c r="Q303" s="221">
        <f t="shared" si="488"/>
        <v>5</v>
      </c>
      <c r="R303" s="221"/>
      <c r="S303" s="176">
        <f t="shared" si="489"/>
        <v>40.614957372114205</v>
      </c>
      <c r="T303" s="176">
        <f t="shared" si="490"/>
        <v>5</v>
      </c>
      <c r="U303" s="221">
        <f t="shared" si="491"/>
        <v>1.2951879699248117</v>
      </c>
      <c r="V303" s="221">
        <f t="shared" si="492"/>
        <v>0.36265263157894728</v>
      </c>
      <c r="W303" s="221">
        <f t="shared" si="493"/>
        <v>0.8520973486347444</v>
      </c>
      <c r="X303" s="201">
        <f t="shared" si="494"/>
        <v>350</v>
      </c>
      <c r="Y303" s="451">
        <f t="shared" si="480"/>
        <v>350</v>
      </c>
      <c r="AA303" s="221">
        <f t="shared" si="495"/>
        <v>3.0463363796697127</v>
      </c>
      <c r="AB303" s="177">
        <f t="shared" si="496"/>
        <v>2.004168670835337</v>
      </c>
      <c r="AC303" s="177">
        <f t="shared" si="497"/>
        <v>2.136880176535993</v>
      </c>
      <c r="AD303" s="177"/>
      <c r="AE303" s="177">
        <f t="shared" si="498"/>
        <v>0.53947368421052622</v>
      </c>
      <c r="AF303" s="555">
        <f t="shared" si="499"/>
        <v>1966.6864961332544</v>
      </c>
      <c r="AG303" s="538">
        <f t="shared" si="500"/>
        <v>0.15482894736842101</v>
      </c>
      <c r="AI303" s="177">
        <f t="shared" si="501"/>
        <v>1.9437812928119549</v>
      </c>
      <c r="AJ303" s="177">
        <f t="shared" si="502"/>
        <v>1.9437812928119549</v>
      </c>
      <c r="AK303" s="177">
        <f t="shared" si="503"/>
        <v>1.9491875285413032</v>
      </c>
      <c r="AM303" s="555">
        <f t="shared" si="504"/>
        <v>870</v>
      </c>
      <c r="AN303" s="469">
        <f t="shared" si="505"/>
        <v>350</v>
      </c>
      <c r="AP303">
        <f t="shared" si="506"/>
        <v>870</v>
      </c>
      <c r="AQ303">
        <f t="shared" si="507"/>
        <v>350</v>
      </c>
      <c r="AS303" s="5">
        <f t="shared" si="479"/>
        <v>2.8571428571428572</v>
      </c>
      <c r="AT303" s="5">
        <f t="shared" si="508"/>
        <v>0.54425876198734735</v>
      </c>
      <c r="AU303" s="5">
        <f t="shared" si="516"/>
        <v>2.3128840951555096</v>
      </c>
      <c r="AV303" s="5"/>
      <c r="AW303" s="177">
        <f t="shared" si="517"/>
        <v>0.19049056669557157</v>
      </c>
      <c r="AX303" s="177"/>
      <c r="BA303" s="469">
        <f t="shared" si="509"/>
        <v>99.208085235696529</v>
      </c>
      <c r="BB303" s="469">
        <f t="shared" si="510"/>
        <v>7.149240957887999</v>
      </c>
      <c r="BC303" s="5">
        <f t="shared" si="442"/>
        <v>0.37263132644172092</v>
      </c>
      <c r="BD303" s="469">
        <f t="shared" si="511"/>
        <v>0</v>
      </c>
      <c r="BQ303" s="538">
        <f t="shared" si="512"/>
        <v>0.33234000000000002</v>
      </c>
      <c r="CG303" s="571">
        <f t="shared" si="513"/>
        <v>-50</v>
      </c>
      <c r="CH303">
        <f t="shared" si="514"/>
        <v>-50</v>
      </c>
    </row>
    <row r="304" spans="5:86" x14ac:dyDescent="0.2">
      <c r="E304" s="174">
        <v>88</v>
      </c>
      <c r="F304" s="221">
        <f t="shared" si="515"/>
        <v>0.88</v>
      </c>
      <c r="G304" s="221"/>
      <c r="H304" s="221">
        <f t="shared" si="481"/>
        <v>4.4000000000000004</v>
      </c>
      <c r="I304" s="551">
        <f t="shared" si="482"/>
        <v>25</v>
      </c>
      <c r="J304" s="451">
        <f t="shared" si="483"/>
        <v>10.64</v>
      </c>
      <c r="K304" s="451">
        <f t="shared" si="484"/>
        <v>35.64</v>
      </c>
      <c r="L304" s="451"/>
      <c r="M304" s="221">
        <f t="shared" si="485"/>
        <v>0.2985409652076319</v>
      </c>
      <c r="N304" s="176">
        <f t="shared" si="486"/>
        <v>14.130050505050503</v>
      </c>
      <c r="O304" s="176">
        <f t="shared" si="478"/>
        <v>4.4000000000000004</v>
      </c>
      <c r="P304" s="221">
        <f t="shared" si="487"/>
        <v>2.8260101010101009</v>
      </c>
      <c r="Q304" s="221">
        <f t="shared" si="488"/>
        <v>5</v>
      </c>
      <c r="R304" s="221"/>
      <c r="S304" s="176">
        <f t="shared" si="489"/>
        <v>40.013944777565825</v>
      </c>
      <c r="T304" s="176">
        <f t="shared" si="490"/>
        <v>5</v>
      </c>
      <c r="U304" s="221">
        <f t="shared" si="491"/>
        <v>1.3100751879699248</v>
      </c>
      <c r="V304" s="221">
        <f t="shared" si="492"/>
        <v>0.36682105263157894</v>
      </c>
      <c r="W304" s="221">
        <f t="shared" si="493"/>
        <v>0.86189157103284531</v>
      </c>
      <c r="X304" s="201">
        <f t="shared" si="494"/>
        <v>350</v>
      </c>
      <c r="Y304" s="451">
        <f t="shared" si="480"/>
        <v>350</v>
      </c>
      <c r="AA304" s="221">
        <f t="shared" si="495"/>
        <v>3.0463363796697127</v>
      </c>
      <c r="AB304" s="177">
        <f t="shared" si="496"/>
        <v>2.004168670835337</v>
      </c>
      <c r="AC304" s="177">
        <f t="shared" si="497"/>
        <v>2.136880176535993</v>
      </c>
      <c r="AD304" s="177"/>
      <c r="AE304" s="177">
        <f t="shared" si="498"/>
        <v>0.53947368421052622</v>
      </c>
      <c r="AF304" s="555">
        <f t="shared" si="499"/>
        <v>1989.2920880428319</v>
      </c>
      <c r="AG304" s="538">
        <f t="shared" si="500"/>
        <v>0.15482894736842101</v>
      </c>
      <c r="AI304" s="177">
        <f t="shared" si="501"/>
        <v>1.9549205318156251</v>
      </c>
      <c r="AJ304" s="177">
        <f t="shared" si="502"/>
        <v>1.9549205318156251</v>
      </c>
      <c r="AK304" s="177">
        <f t="shared" si="503"/>
        <v>1.9566136878770835</v>
      </c>
      <c r="AM304" s="555">
        <f t="shared" si="504"/>
        <v>880</v>
      </c>
      <c r="AN304" s="469">
        <f t="shared" si="505"/>
        <v>350</v>
      </c>
      <c r="AP304">
        <f t="shared" si="506"/>
        <v>880</v>
      </c>
      <c r="AQ304">
        <f t="shared" si="507"/>
        <v>350</v>
      </c>
      <c r="AS304" s="5">
        <f t="shared" si="479"/>
        <v>2.8571428571428572</v>
      </c>
      <c r="AT304" s="5">
        <f t="shared" si="508"/>
        <v>0.54737774890837498</v>
      </c>
      <c r="AU304" s="5">
        <f t="shared" si="516"/>
        <v>2.3097651082344823</v>
      </c>
      <c r="AV304" s="5"/>
      <c r="AW304" s="177">
        <f t="shared" si="517"/>
        <v>0.19158221211793125</v>
      </c>
      <c r="AX304" s="177"/>
      <c r="BA304" s="469">
        <f t="shared" si="509"/>
        <v>99.208085235696529</v>
      </c>
      <c r="BB304" s="469">
        <f t="shared" si="510"/>
        <v>7.2841910394880003</v>
      </c>
      <c r="BC304" s="5">
        <f t="shared" si="442"/>
        <v>0.37640616578636005</v>
      </c>
      <c r="BD304" s="469">
        <f t="shared" si="511"/>
        <v>0</v>
      </c>
      <c r="BQ304" s="538">
        <f t="shared" si="512"/>
        <v>0.33616000000000001</v>
      </c>
      <c r="CG304" s="571">
        <f t="shared" si="513"/>
        <v>-50</v>
      </c>
      <c r="CH304">
        <f t="shared" si="514"/>
        <v>-50</v>
      </c>
    </row>
    <row r="305" spans="4:86" x14ac:dyDescent="0.2">
      <c r="E305" s="174">
        <v>89</v>
      </c>
      <c r="F305" s="221">
        <f t="shared" si="515"/>
        <v>0.89</v>
      </c>
      <c r="G305" s="221"/>
      <c r="H305" s="221">
        <f t="shared" si="481"/>
        <v>4.45</v>
      </c>
      <c r="I305" s="551">
        <f t="shared" si="482"/>
        <v>25</v>
      </c>
      <c r="J305" s="451">
        <f t="shared" si="483"/>
        <v>10.64</v>
      </c>
      <c r="K305" s="451">
        <f t="shared" si="484"/>
        <v>35.64</v>
      </c>
      <c r="L305" s="451"/>
      <c r="M305" s="221">
        <f t="shared" si="485"/>
        <v>0.2985409652076319</v>
      </c>
      <c r="N305" s="176">
        <f t="shared" si="486"/>
        <v>14.130050505050503</v>
      </c>
      <c r="O305" s="176">
        <f t="shared" si="478"/>
        <v>4.45</v>
      </c>
      <c r="P305" s="221">
        <f t="shared" si="487"/>
        <v>2.8260101010101009</v>
      </c>
      <c r="Q305" s="221">
        <f t="shared" si="488"/>
        <v>5</v>
      </c>
      <c r="R305" s="221"/>
      <c r="S305" s="176">
        <f t="shared" si="489"/>
        <v>39.42648053791391</v>
      </c>
      <c r="T305" s="176">
        <f t="shared" si="490"/>
        <v>5</v>
      </c>
      <c r="U305" s="221">
        <f t="shared" si="491"/>
        <v>1.3249624060150376</v>
      </c>
      <c r="V305" s="221">
        <f t="shared" si="492"/>
        <v>0.37098947368421054</v>
      </c>
      <c r="W305" s="221">
        <f t="shared" si="493"/>
        <v>0.87168579343094577</v>
      </c>
      <c r="X305" s="201">
        <f t="shared" si="494"/>
        <v>350</v>
      </c>
      <c r="Y305" s="451">
        <f t="shared" si="480"/>
        <v>350</v>
      </c>
      <c r="AA305" s="221">
        <f t="shared" si="495"/>
        <v>3.0463363796697127</v>
      </c>
      <c r="AB305" s="177">
        <f t="shared" si="496"/>
        <v>2.004168670835337</v>
      </c>
      <c r="AC305" s="177">
        <f t="shared" si="497"/>
        <v>2.136880176535993</v>
      </c>
      <c r="AD305" s="177"/>
      <c r="AE305" s="177">
        <f t="shared" si="498"/>
        <v>0.53947368421052622</v>
      </c>
      <c r="AF305" s="555">
        <f t="shared" si="499"/>
        <v>2011.8976799524096</v>
      </c>
      <c r="AG305" s="538">
        <f t="shared" si="500"/>
        <v>0.15482894736842101</v>
      </c>
      <c r="AI305" s="177">
        <f t="shared" si="501"/>
        <v>1.9659966574597367</v>
      </c>
      <c r="AJ305" s="177">
        <f t="shared" si="502"/>
        <v>1.9659966574597367</v>
      </c>
      <c r="AK305" s="177">
        <f t="shared" si="503"/>
        <v>1.9639977716398245</v>
      </c>
      <c r="AM305" s="555">
        <f t="shared" si="504"/>
        <v>890</v>
      </c>
      <c r="AN305" s="469">
        <f t="shared" si="505"/>
        <v>350</v>
      </c>
      <c r="AP305">
        <f t="shared" si="506"/>
        <v>890</v>
      </c>
      <c r="AQ305">
        <f t="shared" si="507"/>
        <v>350</v>
      </c>
      <c r="AS305" s="5">
        <f t="shared" si="479"/>
        <v>2.8571428571428572</v>
      </c>
      <c r="AT305" s="5">
        <f t="shared" si="508"/>
        <v>0.55047906408872627</v>
      </c>
      <c r="AU305" s="5">
        <f t="shared" si="516"/>
        <v>2.3066637930541312</v>
      </c>
      <c r="AV305" s="5"/>
      <c r="AW305" s="177">
        <f t="shared" si="517"/>
        <v>0.19266767243105418</v>
      </c>
      <c r="AX305" s="177"/>
      <c r="BA305" s="469">
        <f t="shared" si="509"/>
        <v>99.208085235696529</v>
      </c>
      <c r="BB305" s="469">
        <f t="shared" si="510"/>
        <v>7.4203405505919999</v>
      </c>
      <c r="BC305" s="5">
        <f t="shared" si="442"/>
        <v>0.38017236589225489</v>
      </c>
      <c r="BD305" s="469">
        <f t="shared" si="511"/>
        <v>0</v>
      </c>
      <c r="BQ305" s="538">
        <f t="shared" si="512"/>
        <v>0.33998</v>
      </c>
      <c r="CG305" s="571">
        <f t="shared" si="513"/>
        <v>-50</v>
      </c>
      <c r="CH305">
        <f t="shared" si="514"/>
        <v>-50</v>
      </c>
    </row>
    <row r="306" spans="4:86" x14ac:dyDescent="0.2">
      <c r="E306" s="174">
        <v>90</v>
      </c>
      <c r="F306" s="221">
        <f t="shared" si="515"/>
        <v>0.9</v>
      </c>
      <c r="G306" s="221"/>
      <c r="H306" s="221">
        <f t="shared" si="481"/>
        <v>4.5</v>
      </c>
      <c r="I306" s="551">
        <f t="shared" si="482"/>
        <v>25</v>
      </c>
      <c r="J306" s="451">
        <f t="shared" si="483"/>
        <v>10.64</v>
      </c>
      <c r="K306" s="451">
        <f t="shared" si="484"/>
        <v>35.64</v>
      </c>
      <c r="L306" s="451"/>
      <c r="M306" s="221">
        <f t="shared" si="485"/>
        <v>0.2985409652076319</v>
      </c>
      <c r="N306" s="176">
        <f t="shared" si="486"/>
        <v>14.130050505050503</v>
      </c>
      <c r="O306" s="176">
        <f t="shared" si="478"/>
        <v>4.5</v>
      </c>
      <c r="P306" s="221">
        <f t="shared" si="487"/>
        <v>2.8260101010101009</v>
      </c>
      <c r="Q306" s="221">
        <f t="shared" si="488"/>
        <v>5</v>
      </c>
      <c r="R306" s="221"/>
      <c r="S306" s="176">
        <f t="shared" si="489"/>
        <v>38.852113458958272</v>
      </c>
      <c r="T306" s="176">
        <f t="shared" si="490"/>
        <v>5</v>
      </c>
      <c r="U306" s="221">
        <f t="shared" si="491"/>
        <v>1.3398496240601503</v>
      </c>
      <c r="V306" s="221">
        <f t="shared" si="492"/>
        <v>0.37515789473684208</v>
      </c>
      <c r="W306" s="221">
        <f t="shared" si="493"/>
        <v>0.88148001582904634</v>
      </c>
      <c r="X306" s="201">
        <f t="shared" si="494"/>
        <v>350</v>
      </c>
      <c r="Y306" s="451">
        <f t="shared" si="480"/>
        <v>350</v>
      </c>
      <c r="AA306" s="221">
        <f t="shared" si="495"/>
        <v>3.0463363796697127</v>
      </c>
      <c r="AB306" s="177">
        <f t="shared" si="496"/>
        <v>2.004168670835337</v>
      </c>
      <c r="AC306" s="177">
        <f t="shared" si="497"/>
        <v>2.136880176535993</v>
      </c>
      <c r="AD306" s="177"/>
      <c r="AE306" s="177">
        <f t="shared" si="498"/>
        <v>0.53947368421052622</v>
      </c>
      <c r="AF306" s="555">
        <f t="shared" si="499"/>
        <v>2034.5032718619875</v>
      </c>
      <c r="AG306" s="538">
        <f t="shared" si="500"/>
        <v>0.15482894736842101</v>
      </c>
      <c r="AI306" s="177">
        <f t="shared" si="501"/>
        <v>1.9770107305149938</v>
      </c>
      <c r="AJ306" s="177">
        <f t="shared" si="502"/>
        <v>1.9770107305149938</v>
      </c>
      <c r="AK306" s="177">
        <f t="shared" si="503"/>
        <v>1.971340487009996</v>
      </c>
      <c r="AM306" s="555">
        <f t="shared" si="504"/>
        <v>900</v>
      </c>
      <c r="AN306" s="469">
        <f t="shared" si="505"/>
        <v>350</v>
      </c>
      <c r="AP306">
        <f t="shared" si="506"/>
        <v>900</v>
      </c>
      <c r="AQ306">
        <f t="shared" si="507"/>
        <v>350</v>
      </c>
      <c r="AS306" s="5">
        <f t="shared" si="479"/>
        <v>2.8571428571428572</v>
      </c>
      <c r="AT306" s="5">
        <f t="shared" si="508"/>
        <v>0.55356300454419827</v>
      </c>
      <c r="AU306" s="5">
        <f t="shared" si="516"/>
        <v>2.3035798525986588</v>
      </c>
      <c r="AV306" s="5"/>
      <c r="AW306" s="177">
        <f t="shared" si="517"/>
        <v>0.1937470515904694</v>
      </c>
      <c r="AX306" s="177"/>
      <c r="BA306" s="469">
        <f t="shared" si="509"/>
        <v>99.208085235696529</v>
      </c>
      <c r="BB306" s="469">
        <f t="shared" si="510"/>
        <v>7.5576894911999997</v>
      </c>
      <c r="BC306" s="5">
        <f t="shared" si="442"/>
        <v>0.38392997543310975</v>
      </c>
      <c r="BD306" s="469">
        <f t="shared" si="511"/>
        <v>0</v>
      </c>
      <c r="BQ306" s="538">
        <f t="shared" si="512"/>
        <v>0.34380000000000005</v>
      </c>
      <c r="CG306" s="571">
        <f t="shared" si="513"/>
        <v>-50</v>
      </c>
      <c r="CH306">
        <f t="shared" si="514"/>
        <v>-50</v>
      </c>
    </row>
    <row r="307" spans="4:86" x14ac:dyDescent="0.2">
      <c r="E307" s="174">
        <v>91</v>
      </c>
      <c r="F307" s="221">
        <f t="shared" si="515"/>
        <v>0.91</v>
      </c>
      <c r="G307" s="221"/>
      <c r="H307" s="221">
        <f t="shared" si="481"/>
        <v>4.55</v>
      </c>
      <c r="I307" s="551">
        <f t="shared" si="482"/>
        <v>25</v>
      </c>
      <c r="J307" s="451">
        <f t="shared" si="483"/>
        <v>10.64</v>
      </c>
      <c r="K307" s="451">
        <f t="shared" si="484"/>
        <v>35.64</v>
      </c>
      <c r="L307" s="451"/>
      <c r="M307" s="221">
        <f t="shared" si="485"/>
        <v>0.2985409652076319</v>
      </c>
      <c r="N307" s="176">
        <f t="shared" si="486"/>
        <v>14.130050505050503</v>
      </c>
      <c r="O307" s="176">
        <f t="shared" si="478"/>
        <v>4.55</v>
      </c>
      <c r="P307" s="221">
        <f t="shared" si="487"/>
        <v>2.8260101010101009</v>
      </c>
      <c r="Q307" s="221">
        <f t="shared" si="488"/>
        <v>5</v>
      </c>
      <c r="R307" s="221"/>
      <c r="S307" s="176">
        <f t="shared" si="489"/>
        <v>38.290412184433123</v>
      </c>
      <c r="T307" s="176">
        <f t="shared" si="490"/>
        <v>5</v>
      </c>
      <c r="U307" s="221">
        <f t="shared" si="491"/>
        <v>1.354736842105263</v>
      </c>
      <c r="V307" s="221">
        <f t="shared" si="492"/>
        <v>0.37932631578947362</v>
      </c>
      <c r="W307" s="221">
        <f t="shared" si="493"/>
        <v>0.89127423822714669</v>
      </c>
      <c r="X307" s="201">
        <f t="shared" si="494"/>
        <v>350</v>
      </c>
      <c r="Y307" s="451">
        <f t="shared" si="480"/>
        <v>350</v>
      </c>
      <c r="AA307" s="221">
        <f t="shared" si="495"/>
        <v>3.0463363796697127</v>
      </c>
      <c r="AB307" s="177">
        <f t="shared" si="496"/>
        <v>2.004168670835337</v>
      </c>
      <c r="AC307" s="177">
        <f t="shared" si="497"/>
        <v>2.136880176535993</v>
      </c>
      <c r="AD307" s="177"/>
      <c r="AE307" s="177">
        <f t="shared" si="498"/>
        <v>0.53947368421052622</v>
      </c>
      <c r="AF307" s="555">
        <f t="shared" si="499"/>
        <v>2057.1088637715652</v>
      </c>
      <c r="AG307" s="538">
        <f t="shared" si="500"/>
        <v>0.15482894736842101</v>
      </c>
      <c r="AI307" s="177">
        <f t="shared" si="501"/>
        <v>1.9879637823662686</v>
      </c>
      <c r="AJ307" s="177">
        <f t="shared" si="502"/>
        <v>1.9879637823662686</v>
      </c>
      <c r="AK307" s="177">
        <f t="shared" si="503"/>
        <v>1.9786425215775123</v>
      </c>
      <c r="AM307" s="555">
        <f t="shared" si="504"/>
        <v>910</v>
      </c>
      <c r="AN307" s="469">
        <f t="shared" si="505"/>
        <v>350</v>
      </c>
      <c r="AP307">
        <f t="shared" si="506"/>
        <v>910</v>
      </c>
      <c r="AQ307">
        <f t="shared" si="507"/>
        <v>350</v>
      </c>
      <c r="AS307" s="5">
        <f t="shared" si="479"/>
        <v>2.8571428571428572</v>
      </c>
      <c r="AT307" s="5">
        <f t="shared" si="508"/>
        <v>0.55662985906255513</v>
      </c>
      <c r="AU307" s="5">
        <f t="shared" si="516"/>
        <v>2.3005129980803023</v>
      </c>
      <c r="AV307" s="5"/>
      <c r="AW307" s="177">
        <f t="shared" si="517"/>
        <v>0.1948204506718943</v>
      </c>
      <c r="AX307" s="177"/>
      <c r="BA307" s="469">
        <f t="shared" si="509"/>
        <v>99.208085235696529</v>
      </c>
      <c r="BB307" s="469">
        <f t="shared" si="510"/>
        <v>7.6962378613119995</v>
      </c>
      <c r="BC307" s="5">
        <f t="shared" si="442"/>
        <v>0.38767904226908795</v>
      </c>
      <c r="BD307" s="469">
        <f t="shared" si="511"/>
        <v>0</v>
      </c>
      <c r="BQ307" s="538">
        <f t="shared" si="512"/>
        <v>0.34762000000000004</v>
      </c>
      <c r="CG307" s="571">
        <f t="shared" si="513"/>
        <v>-50</v>
      </c>
      <c r="CH307">
        <f t="shared" si="514"/>
        <v>-50</v>
      </c>
    </row>
    <row r="308" spans="4:86" x14ac:dyDescent="0.2">
      <c r="E308" s="174">
        <v>92</v>
      </c>
      <c r="F308" s="221">
        <f t="shared" si="515"/>
        <v>0.92</v>
      </c>
      <c r="G308" s="221"/>
      <c r="H308" s="221">
        <f t="shared" si="481"/>
        <v>4.6000000000000005</v>
      </c>
      <c r="I308" s="551">
        <f t="shared" si="482"/>
        <v>25</v>
      </c>
      <c r="J308" s="451">
        <f t="shared" si="483"/>
        <v>10.64</v>
      </c>
      <c r="K308" s="451">
        <f t="shared" si="484"/>
        <v>35.64</v>
      </c>
      <c r="L308" s="451"/>
      <c r="M308" s="221">
        <f t="shared" si="485"/>
        <v>0.2985409652076319</v>
      </c>
      <c r="N308" s="176">
        <f t="shared" si="486"/>
        <v>14.130050505050503</v>
      </c>
      <c r="O308" s="176">
        <f t="shared" si="478"/>
        <v>4.6000000000000005</v>
      </c>
      <c r="P308" s="221">
        <f t="shared" si="487"/>
        <v>2.8260101010101009</v>
      </c>
      <c r="Q308" s="221">
        <f t="shared" si="488"/>
        <v>5</v>
      </c>
      <c r="R308" s="221"/>
      <c r="S308" s="176">
        <f t="shared" si="489"/>
        <v>37.740964117935647</v>
      </c>
      <c r="T308" s="176">
        <f t="shared" si="490"/>
        <v>5</v>
      </c>
      <c r="U308" s="221">
        <f t="shared" si="491"/>
        <v>1.369624060150376</v>
      </c>
      <c r="V308" s="221">
        <f t="shared" si="492"/>
        <v>0.38349473684210528</v>
      </c>
      <c r="W308" s="221">
        <f t="shared" si="493"/>
        <v>0.90106846062524715</v>
      </c>
      <c r="X308" s="201">
        <f t="shared" si="494"/>
        <v>350</v>
      </c>
      <c r="Y308" s="451">
        <f t="shared" si="480"/>
        <v>350</v>
      </c>
      <c r="AA308" s="221">
        <f t="shared" si="495"/>
        <v>3.0463363796697127</v>
      </c>
      <c r="AB308" s="177">
        <f t="shared" si="496"/>
        <v>2.004168670835337</v>
      </c>
      <c r="AC308" s="177">
        <f t="shared" si="497"/>
        <v>2.136880176535993</v>
      </c>
      <c r="AD308" s="177"/>
      <c r="AE308" s="177">
        <f t="shared" si="498"/>
        <v>0.53947368421052622</v>
      </c>
      <c r="AF308" s="555">
        <f t="shared" si="499"/>
        <v>2079.7144556811427</v>
      </c>
      <c r="AG308" s="538">
        <f t="shared" si="500"/>
        <v>0.15482894736842101</v>
      </c>
      <c r="AI308" s="177">
        <f t="shared" si="501"/>
        <v>1.9988568161398084</v>
      </c>
      <c r="AJ308" s="177">
        <f t="shared" si="502"/>
        <v>1.9988568161398084</v>
      </c>
      <c r="AK308" s="177">
        <f t="shared" si="503"/>
        <v>1.9859045440932055</v>
      </c>
      <c r="AM308" s="555">
        <f t="shared" si="504"/>
        <v>920</v>
      </c>
      <c r="AN308" s="469">
        <f t="shared" si="505"/>
        <v>350</v>
      </c>
      <c r="AP308">
        <f t="shared" si="506"/>
        <v>920</v>
      </c>
      <c r="AQ308">
        <f t="shared" si="507"/>
        <v>350</v>
      </c>
      <c r="AS308" s="5">
        <f t="shared" si="479"/>
        <v>2.8571428571428572</v>
      </c>
      <c r="AT308" s="5">
        <f t="shared" si="508"/>
        <v>0.5596799085191464</v>
      </c>
      <c r="AU308" s="5">
        <f t="shared" si="516"/>
        <v>2.2974629486237106</v>
      </c>
      <c r="AV308" s="5"/>
      <c r="AW308" s="177">
        <f t="shared" si="517"/>
        <v>0.19588796798170124</v>
      </c>
      <c r="AX308" s="177"/>
      <c r="BA308" s="469">
        <f t="shared" si="509"/>
        <v>99.208085235696529</v>
      </c>
      <c r="BB308" s="469">
        <f t="shared" si="510"/>
        <v>7.8359856609279994</v>
      </c>
      <c r="BC308" s="5">
        <f t="shared" si="442"/>
        <v>0.39141961346922471</v>
      </c>
      <c r="BD308" s="469">
        <f t="shared" si="511"/>
        <v>0</v>
      </c>
      <c r="BQ308" s="538">
        <f t="shared" si="512"/>
        <v>0.35144000000000003</v>
      </c>
      <c r="CG308" s="571">
        <f t="shared" si="513"/>
        <v>-50</v>
      </c>
      <c r="CH308">
        <f t="shared" si="514"/>
        <v>-50</v>
      </c>
    </row>
    <row r="309" spans="4:86" x14ac:dyDescent="0.2">
      <c r="E309" s="174">
        <v>93</v>
      </c>
      <c r="F309" s="221">
        <f t="shared" si="515"/>
        <v>0.93</v>
      </c>
      <c r="G309" s="221"/>
      <c r="H309" s="221">
        <f t="shared" si="481"/>
        <v>4.6500000000000004</v>
      </c>
      <c r="I309" s="551">
        <f t="shared" si="482"/>
        <v>25</v>
      </c>
      <c r="J309" s="451">
        <f t="shared" si="483"/>
        <v>10.64</v>
      </c>
      <c r="K309" s="451">
        <f t="shared" si="484"/>
        <v>35.64</v>
      </c>
      <c r="L309" s="451"/>
      <c r="M309" s="221">
        <f t="shared" si="485"/>
        <v>0.2985409652076319</v>
      </c>
      <c r="N309" s="176">
        <f t="shared" si="486"/>
        <v>14.130050505050503</v>
      </c>
      <c r="O309" s="176">
        <f t="shared" si="478"/>
        <v>4.6500000000000004</v>
      </c>
      <c r="P309" s="221">
        <f t="shared" si="487"/>
        <v>2.8260101010101009</v>
      </c>
      <c r="Q309" s="221">
        <f t="shared" si="488"/>
        <v>5</v>
      </c>
      <c r="R309" s="221"/>
      <c r="S309" s="176">
        <f t="shared" si="489"/>
        <v>37.203374414408692</v>
      </c>
      <c r="T309" s="176">
        <f t="shared" si="490"/>
        <v>5</v>
      </c>
      <c r="U309" s="221">
        <f t="shared" si="491"/>
        <v>1.3845112781954887</v>
      </c>
      <c r="V309" s="221">
        <f t="shared" si="492"/>
        <v>0.38766315789473682</v>
      </c>
      <c r="W309" s="221">
        <f t="shared" si="493"/>
        <v>0.91086268302334772</v>
      </c>
      <c r="X309" s="201">
        <f t="shared" si="494"/>
        <v>350</v>
      </c>
      <c r="Y309" s="451">
        <f t="shared" si="480"/>
        <v>350</v>
      </c>
      <c r="AA309" s="221">
        <f t="shared" si="495"/>
        <v>3.0463363796697127</v>
      </c>
      <c r="AB309" s="177">
        <f t="shared" si="496"/>
        <v>2.004168670835337</v>
      </c>
      <c r="AC309" s="177">
        <f t="shared" si="497"/>
        <v>2.136880176535993</v>
      </c>
      <c r="AD309" s="177"/>
      <c r="AE309" s="177">
        <f t="shared" si="498"/>
        <v>0.53947368421052622</v>
      </c>
      <c r="AF309" s="555">
        <f t="shared" si="499"/>
        <v>2102.3200475907206</v>
      </c>
      <c r="AG309" s="538">
        <f t="shared" si="500"/>
        <v>0.15482894736842101</v>
      </c>
      <c r="AI309" s="177">
        <f t="shared" si="501"/>
        <v>2.0096908077754509</v>
      </c>
      <c r="AJ309" s="177">
        <f t="shared" si="502"/>
        <v>2.0096908077754509</v>
      </c>
      <c r="AK309" s="177">
        <f t="shared" si="503"/>
        <v>1.9931272051836342</v>
      </c>
      <c r="AM309" s="555">
        <f t="shared" si="504"/>
        <v>930</v>
      </c>
      <c r="AN309" s="469">
        <f t="shared" si="505"/>
        <v>350</v>
      </c>
      <c r="AP309">
        <f t="shared" si="506"/>
        <v>930</v>
      </c>
      <c r="AQ309">
        <f t="shared" si="507"/>
        <v>350</v>
      </c>
      <c r="AS309" s="5">
        <f t="shared" si="479"/>
        <v>2.8571428571428572</v>
      </c>
      <c r="AT309" s="5">
        <f t="shared" si="508"/>
        <v>0.56271342617712627</v>
      </c>
      <c r="AU309" s="5">
        <f t="shared" si="516"/>
        <v>2.2944294309657307</v>
      </c>
      <c r="AV309" s="5"/>
      <c r="AW309" s="177">
        <f t="shared" si="517"/>
        <v>0.1969496991619942</v>
      </c>
      <c r="AX309" s="177"/>
      <c r="BA309" s="469">
        <f t="shared" si="509"/>
        <v>99.208085235696529</v>
      </c>
      <c r="BB309" s="469">
        <f t="shared" si="510"/>
        <v>7.9769328900480003</v>
      </c>
      <c r="BC309" s="5">
        <f t="shared" ref="BC309:BC316" si="518">H309/Efficiency/I309*AU309/Vinripple1</f>
        <v>0.39515173533298692</v>
      </c>
      <c r="BD309" s="469">
        <f t="shared" si="511"/>
        <v>0</v>
      </c>
      <c r="BQ309" s="538">
        <f t="shared" si="512"/>
        <v>0.35526000000000002</v>
      </c>
      <c r="CG309" s="571">
        <f t="shared" si="513"/>
        <v>-50</v>
      </c>
      <c r="CH309">
        <f t="shared" si="514"/>
        <v>-50</v>
      </c>
    </row>
    <row r="310" spans="4:86" x14ac:dyDescent="0.2">
      <c r="E310" s="174">
        <v>94</v>
      </c>
      <c r="F310" s="221">
        <f t="shared" si="515"/>
        <v>0.94</v>
      </c>
      <c r="G310" s="221"/>
      <c r="H310" s="221">
        <f t="shared" si="481"/>
        <v>4.6999999999999993</v>
      </c>
      <c r="I310" s="551">
        <f t="shared" si="482"/>
        <v>25</v>
      </c>
      <c r="J310" s="451">
        <f t="shared" si="483"/>
        <v>10.64</v>
      </c>
      <c r="K310" s="451">
        <f t="shared" si="484"/>
        <v>35.64</v>
      </c>
      <c r="L310" s="451"/>
      <c r="M310" s="221">
        <f t="shared" si="485"/>
        <v>0.2985409652076319</v>
      </c>
      <c r="N310" s="176">
        <f t="shared" si="486"/>
        <v>14.130050505050503</v>
      </c>
      <c r="O310" s="176">
        <f t="shared" si="478"/>
        <v>4.6999999999999993</v>
      </c>
      <c r="P310" s="221">
        <f t="shared" si="487"/>
        <v>2.8260101010101009</v>
      </c>
      <c r="Q310" s="221">
        <f t="shared" si="488"/>
        <v>5</v>
      </c>
      <c r="R310" s="221"/>
      <c r="S310" s="176">
        <f t="shared" si="489"/>
        <v>36.677265035998353</v>
      </c>
      <c r="T310" s="176">
        <f t="shared" si="490"/>
        <v>5</v>
      </c>
      <c r="U310" s="221">
        <f t="shared" si="491"/>
        <v>1.3993984962406012</v>
      </c>
      <c r="V310" s="221">
        <f t="shared" si="492"/>
        <v>0.39183157894736825</v>
      </c>
      <c r="W310" s="221">
        <f t="shared" si="493"/>
        <v>0.92065690542144796</v>
      </c>
      <c r="X310" s="201">
        <f t="shared" si="494"/>
        <v>350</v>
      </c>
      <c r="Y310" s="451">
        <f t="shared" si="480"/>
        <v>350</v>
      </c>
      <c r="AA310" s="221">
        <f t="shared" si="495"/>
        <v>3.0463363796697127</v>
      </c>
      <c r="AB310" s="177">
        <f t="shared" si="496"/>
        <v>2.004168670835337</v>
      </c>
      <c r="AC310" s="177">
        <f t="shared" si="497"/>
        <v>2.136880176535993</v>
      </c>
      <c r="AD310" s="177"/>
      <c r="AE310" s="177">
        <f t="shared" si="498"/>
        <v>0.53947368421052622</v>
      </c>
      <c r="AF310" s="555">
        <f t="shared" si="499"/>
        <v>2124.9256395002976</v>
      </c>
      <c r="AG310" s="538">
        <f t="shared" si="500"/>
        <v>0.15482894736842101</v>
      </c>
      <c r="AI310" s="177">
        <f t="shared" si="501"/>
        <v>2.020466707047091</v>
      </c>
      <c r="AJ310" s="177">
        <f t="shared" si="502"/>
        <v>2.020466707047091</v>
      </c>
      <c r="AK310" s="177">
        <f t="shared" si="503"/>
        <v>2.0003111380313943</v>
      </c>
      <c r="AM310" s="555">
        <f t="shared" si="504"/>
        <v>940</v>
      </c>
      <c r="AN310" s="469">
        <f t="shared" si="505"/>
        <v>350</v>
      </c>
      <c r="AP310">
        <f t="shared" si="506"/>
        <v>940</v>
      </c>
      <c r="AQ310">
        <f t="shared" si="507"/>
        <v>350</v>
      </c>
      <c r="AS310" s="5">
        <f t="shared" si="479"/>
        <v>2.8571428571428572</v>
      </c>
      <c r="AT310" s="5">
        <f t="shared" si="508"/>
        <v>0.56573067797318555</v>
      </c>
      <c r="AU310" s="5">
        <f t="shared" si="516"/>
        <v>2.2914121791696718</v>
      </c>
      <c r="AV310" s="5"/>
      <c r="AW310" s="177">
        <f t="shared" si="517"/>
        <v>0.19800573729061494</v>
      </c>
      <c r="AX310" s="177"/>
      <c r="BA310" s="469">
        <f t="shared" si="509"/>
        <v>99.208085235696529</v>
      </c>
      <c r="BB310" s="469">
        <f t="shared" si="510"/>
        <v>8.1190795486719995</v>
      </c>
      <c r="BC310" s="5">
        <f t="shared" si="518"/>
        <v>0.39887545341101677</v>
      </c>
      <c r="BD310" s="469">
        <f t="shared" si="511"/>
        <v>0</v>
      </c>
      <c r="BQ310" s="538">
        <f t="shared" si="512"/>
        <v>0.35908000000000001</v>
      </c>
      <c r="CG310" s="571">
        <f t="shared" si="513"/>
        <v>-50</v>
      </c>
      <c r="CH310">
        <f t="shared" si="514"/>
        <v>-50</v>
      </c>
    </row>
    <row r="311" spans="4:86" x14ac:dyDescent="0.2">
      <c r="E311" s="174">
        <v>95</v>
      </c>
      <c r="F311" s="221">
        <f t="shared" si="515"/>
        <v>0.95</v>
      </c>
      <c r="G311" s="221"/>
      <c r="H311" s="221">
        <f t="shared" si="481"/>
        <v>4.75</v>
      </c>
      <c r="I311" s="551">
        <f t="shared" si="482"/>
        <v>25</v>
      </c>
      <c r="J311" s="451">
        <f t="shared" si="483"/>
        <v>10.64</v>
      </c>
      <c r="K311" s="451">
        <f t="shared" si="484"/>
        <v>35.64</v>
      </c>
      <c r="L311" s="451"/>
      <c r="M311" s="221">
        <f t="shared" si="485"/>
        <v>0.2985409652076319</v>
      </c>
      <c r="N311" s="176">
        <f t="shared" si="486"/>
        <v>14.130050505050503</v>
      </c>
      <c r="O311" s="176">
        <f t="shared" si="478"/>
        <v>4.75</v>
      </c>
      <c r="P311" s="221">
        <f t="shared" si="487"/>
        <v>2.8260101010101009</v>
      </c>
      <c r="Q311" s="221">
        <f t="shared" si="488"/>
        <v>5</v>
      </c>
      <c r="R311" s="221"/>
      <c r="S311" s="176">
        <f t="shared" si="489"/>
        <v>36.162273867542723</v>
      </c>
      <c r="T311" s="176">
        <f t="shared" si="490"/>
        <v>5</v>
      </c>
      <c r="U311" s="221">
        <f t="shared" si="491"/>
        <v>1.4142857142857141</v>
      </c>
      <c r="V311" s="221">
        <f t="shared" si="492"/>
        <v>0.39599999999999996</v>
      </c>
      <c r="W311" s="221">
        <f t="shared" si="493"/>
        <v>0.93045112781954875</v>
      </c>
      <c r="X311" s="201">
        <f t="shared" si="494"/>
        <v>350</v>
      </c>
      <c r="Y311" s="451">
        <f t="shared" si="480"/>
        <v>350</v>
      </c>
      <c r="AA311" s="221">
        <f t="shared" si="495"/>
        <v>3.0463363796697127</v>
      </c>
      <c r="AB311" s="177">
        <f t="shared" si="496"/>
        <v>2.004168670835337</v>
      </c>
      <c r="AC311" s="177">
        <f t="shared" si="497"/>
        <v>2.136880176535993</v>
      </c>
      <c r="AD311" s="177"/>
      <c r="AE311" s="177">
        <f t="shared" si="498"/>
        <v>0.53947368421052622</v>
      </c>
      <c r="AF311" s="555">
        <f t="shared" si="499"/>
        <v>2147.5312314098751</v>
      </c>
      <c r="AG311" s="538">
        <f t="shared" si="500"/>
        <v>0.15482894736842101</v>
      </c>
      <c r="AI311" s="177">
        <f t="shared" si="501"/>
        <v>2.0311854385344255</v>
      </c>
      <c r="AJ311" s="177">
        <f t="shared" si="502"/>
        <v>2.0311854385344255</v>
      </c>
      <c r="AK311" s="177">
        <f t="shared" si="503"/>
        <v>2.0074569590229503</v>
      </c>
      <c r="AM311" s="555">
        <f t="shared" si="504"/>
        <v>950</v>
      </c>
      <c r="AN311" s="469">
        <f t="shared" si="505"/>
        <v>350</v>
      </c>
      <c r="AP311">
        <f t="shared" si="506"/>
        <v>950</v>
      </c>
      <c r="AQ311">
        <f t="shared" si="507"/>
        <v>350</v>
      </c>
      <c r="AS311" s="5">
        <f t="shared" si="479"/>
        <v>2.8571428571428572</v>
      </c>
      <c r="AT311" s="5">
        <f t="shared" si="508"/>
        <v>0.56873192278963902</v>
      </c>
      <c r="AU311" s="5">
        <f t="shared" si="516"/>
        <v>2.2884109343532182</v>
      </c>
      <c r="AV311" s="5"/>
      <c r="AW311" s="177">
        <f t="shared" si="517"/>
        <v>0.19905617297637365</v>
      </c>
      <c r="AX311" s="177"/>
      <c r="BA311" s="469">
        <f t="shared" si="509"/>
        <v>99.208085235696529</v>
      </c>
      <c r="BB311" s="469">
        <f t="shared" si="510"/>
        <v>8.2624256367999998</v>
      </c>
      <c r="BC311" s="5">
        <f t="shared" si="518"/>
        <v>0.40259081252510315</v>
      </c>
      <c r="BD311" s="469">
        <f t="shared" si="511"/>
        <v>0</v>
      </c>
      <c r="BQ311" s="538">
        <f t="shared" si="512"/>
        <v>0.3629</v>
      </c>
      <c r="CG311" s="571">
        <f t="shared" si="513"/>
        <v>-50</v>
      </c>
      <c r="CH311">
        <f t="shared" si="514"/>
        <v>-50</v>
      </c>
    </row>
    <row r="312" spans="4:86" x14ac:dyDescent="0.2">
      <c r="E312" s="174">
        <v>96</v>
      </c>
      <c r="F312" s="221">
        <f t="shared" si="515"/>
        <v>0.96</v>
      </c>
      <c r="G312" s="221"/>
      <c r="H312" s="221">
        <f t="shared" ref="H312:H316" si="519">F312*Vout</f>
        <v>4.8</v>
      </c>
      <c r="I312" s="551">
        <f t="shared" si="482"/>
        <v>25</v>
      </c>
      <c r="J312" s="451">
        <f t="shared" si="483"/>
        <v>10.64</v>
      </c>
      <c r="K312" s="451">
        <f t="shared" si="484"/>
        <v>35.64</v>
      </c>
      <c r="L312" s="451"/>
      <c r="M312" s="221">
        <f t="shared" si="485"/>
        <v>0.2985409652076319</v>
      </c>
      <c r="N312" s="176">
        <f t="shared" ref="N312:N316" si="520">M312*I312*(Isw_max+VIN_max/Lmag*ILIM_delay)*0.5*Efficiency</f>
        <v>14.130050505050503</v>
      </c>
      <c r="O312" s="176">
        <f t="shared" si="478"/>
        <v>4.8</v>
      </c>
      <c r="P312" s="221">
        <f t="shared" ref="P312:P316" si="521">N312/Vout</f>
        <v>2.8260101010101009</v>
      </c>
      <c r="Q312" s="221">
        <f t="shared" si="488"/>
        <v>5</v>
      </c>
      <c r="R312" s="221"/>
      <c r="S312" s="176">
        <f t="shared" si="489"/>
        <v>35.658053887344067</v>
      </c>
      <c r="T312" s="176">
        <f t="shared" ref="T312:T316" si="522">MIN(Vout, S312)</f>
        <v>5</v>
      </c>
      <c r="U312" s="221">
        <f t="shared" si="491"/>
        <v>1.4291729323308269</v>
      </c>
      <c r="V312" s="221">
        <f t="shared" ref="V312:V316" si="523">L*U312/I312*1000000</f>
        <v>0.40016842105263151</v>
      </c>
      <c r="W312" s="221">
        <f t="shared" si="493"/>
        <v>0.9402453502176491</v>
      </c>
      <c r="X312" s="201">
        <f t="shared" si="494"/>
        <v>350</v>
      </c>
      <c r="Y312" s="451">
        <f t="shared" si="480"/>
        <v>350</v>
      </c>
      <c r="AA312" s="221">
        <f t="shared" si="495"/>
        <v>3.0463363796697127</v>
      </c>
      <c r="AB312" s="177">
        <f t="shared" ref="AB312:AB316" si="524">L*AA312/J312*1000000</f>
        <v>2.004168670835337</v>
      </c>
      <c r="AC312" s="177">
        <f t="shared" ref="AC312:AC316" si="525">0.5*AB312*AA312*Nps*X312/1000</f>
        <v>2.136880176535993</v>
      </c>
      <c r="AD312" s="177"/>
      <c r="AE312" s="177">
        <f t="shared" si="498"/>
        <v>0.53947368421052622</v>
      </c>
      <c r="AF312" s="555">
        <f t="shared" ref="AF312:AF316" si="526">MAX(12000,F312/(0.5*AE312/1000000*Isw_min*Nps))/1000</f>
        <v>2170.136823319453</v>
      </c>
      <c r="AG312" s="538">
        <f t="shared" si="500"/>
        <v>0.15482894736842101</v>
      </c>
      <c r="AI312" s="177">
        <f t="shared" si="501"/>
        <v>2.0418479025487812</v>
      </c>
      <c r="AJ312" s="177">
        <f t="shared" ref="AJ312:AJ316" si="527">MAX(IF(F312&gt;AC312,U312,AI312),Isw_min)</f>
        <v>2.0418479025487812</v>
      </c>
      <c r="AK312" s="177">
        <f t="shared" ref="AK312:AK316" si="528">IF(F312&gt;AG312, (AJ312-Isw_min)/1.2*0.8+1.2, AF312*0.2/350+1)</f>
        <v>2.0145652683658541</v>
      </c>
      <c r="AM312" s="555">
        <f t="shared" si="504"/>
        <v>960</v>
      </c>
      <c r="AN312" s="469">
        <f t="shared" si="505"/>
        <v>350</v>
      </c>
      <c r="AP312">
        <f t="shared" si="506"/>
        <v>960</v>
      </c>
      <c r="AQ312">
        <f t="shared" si="507"/>
        <v>350</v>
      </c>
      <c r="AS312" s="5">
        <f t="shared" si="479"/>
        <v>2.8571428571428572</v>
      </c>
      <c r="AT312" s="5">
        <f t="shared" si="508"/>
        <v>0.57171741271365872</v>
      </c>
      <c r="AU312" s="5">
        <f t="shared" si="516"/>
        <v>2.2854254444291984</v>
      </c>
      <c r="AV312" s="5"/>
      <c r="AW312" s="177">
        <f t="shared" si="517"/>
        <v>0.20010109444978055</v>
      </c>
      <c r="AX312" s="177"/>
      <c r="BA312" s="469">
        <f t="shared" si="509"/>
        <v>99.208085235696529</v>
      </c>
      <c r="BB312" s="469">
        <f t="shared" si="510"/>
        <v>8.406971154432</v>
      </c>
      <c r="BC312" s="5">
        <f t="shared" si="518"/>
        <v>0.40629785678741293</v>
      </c>
      <c r="BD312" s="469">
        <f t="shared" si="511"/>
        <v>0</v>
      </c>
      <c r="BQ312" s="538">
        <f t="shared" si="512"/>
        <v>0.36671999999999999</v>
      </c>
      <c r="CG312" s="571">
        <f t="shared" si="513"/>
        <v>-50</v>
      </c>
      <c r="CH312">
        <f t="shared" si="514"/>
        <v>-50</v>
      </c>
    </row>
    <row r="313" spans="4:86" x14ac:dyDescent="0.2">
      <c r="E313" s="174">
        <v>97</v>
      </c>
      <c r="F313" s="221">
        <f t="shared" ref="F313:F316" si="529">IF(PLOT_TYPE=1, E313/100*Iout_max, min_I*EXP(N313*rr/100))</f>
        <v>0.97</v>
      </c>
      <c r="G313" s="221"/>
      <c r="H313" s="221">
        <f t="shared" si="519"/>
        <v>4.8499999999999996</v>
      </c>
      <c r="I313" s="551">
        <f t="shared" si="482"/>
        <v>25</v>
      </c>
      <c r="J313" s="451">
        <f t="shared" si="483"/>
        <v>10.64</v>
      </c>
      <c r="K313" s="451">
        <f t="shared" si="484"/>
        <v>35.64</v>
      </c>
      <c r="L313" s="451"/>
      <c r="M313" s="221">
        <f t="shared" si="485"/>
        <v>0.2985409652076319</v>
      </c>
      <c r="N313" s="176">
        <f t="shared" si="520"/>
        <v>14.130050505050503</v>
      </c>
      <c r="O313" s="176">
        <f t="shared" si="478"/>
        <v>4.8499999999999996</v>
      </c>
      <c r="P313" s="221">
        <f t="shared" si="521"/>
        <v>2.8260101010101009</v>
      </c>
      <c r="Q313" s="221">
        <f t="shared" si="488"/>
        <v>5</v>
      </c>
      <c r="R313" s="221"/>
      <c r="S313" s="176">
        <f t="shared" si="489"/>
        <v>35.16427238923459</v>
      </c>
      <c r="T313" s="176">
        <f t="shared" si="522"/>
        <v>5</v>
      </c>
      <c r="U313" s="221">
        <f t="shared" si="491"/>
        <v>1.4440601503759396</v>
      </c>
      <c r="V313" s="221">
        <f t="shared" si="523"/>
        <v>0.40433684210526305</v>
      </c>
      <c r="W313" s="221">
        <f t="shared" si="493"/>
        <v>0.95003957261574967</v>
      </c>
      <c r="X313" s="201">
        <f t="shared" si="494"/>
        <v>350</v>
      </c>
      <c r="Y313" s="451">
        <f t="shared" si="480"/>
        <v>350</v>
      </c>
      <c r="AA313" s="221">
        <f t="shared" si="495"/>
        <v>3.0463363796697127</v>
      </c>
      <c r="AB313" s="177">
        <f t="shared" si="524"/>
        <v>2.004168670835337</v>
      </c>
      <c r="AC313" s="177">
        <f t="shared" si="525"/>
        <v>2.136880176535993</v>
      </c>
      <c r="AD313" s="177"/>
      <c r="AE313" s="177">
        <f t="shared" si="498"/>
        <v>0.53947368421052622</v>
      </c>
      <c r="AF313" s="555">
        <f t="shared" si="526"/>
        <v>2192.7424152290309</v>
      </c>
      <c r="AG313" s="538">
        <f t="shared" si="500"/>
        <v>0.15482894736842101</v>
      </c>
      <c r="AI313" s="177">
        <f t="shared" si="501"/>
        <v>2.0524549760156563</v>
      </c>
      <c r="AJ313" s="177">
        <f t="shared" si="527"/>
        <v>2.0524549760156563</v>
      </c>
      <c r="AK313" s="177">
        <f t="shared" si="528"/>
        <v>2.0216366506771042</v>
      </c>
      <c r="AM313" s="555">
        <f t="shared" si="504"/>
        <v>970</v>
      </c>
      <c r="AN313" s="469">
        <f t="shared" si="505"/>
        <v>350</v>
      </c>
      <c r="AP313">
        <f t="shared" si="506"/>
        <v>970</v>
      </c>
      <c r="AQ313">
        <f t="shared" si="507"/>
        <v>350</v>
      </c>
      <c r="AS313" s="5">
        <f t="shared" si="479"/>
        <v>2.8571428571428572</v>
      </c>
      <c r="AT313" s="5">
        <f t="shared" si="508"/>
        <v>0.57468739328438379</v>
      </c>
      <c r="AU313" s="5">
        <f t="shared" si="516"/>
        <v>2.2824554638584735</v>
      </c>
      <c r="AV313" s="5"/>
      <c r="AW313" s="177">
        <f t="shared" si="517"/>
        <v>0.20114058764953432</v>
      </c>
      <c r="AX313" s="177"/>
      <c r="BA313" s="469">
        <f t="shared" si="509"/>
        <v>99.208085235696529</v>
      </c>
      <c r="BB313" s="469">
        <f t="shared" si="510"/>
        <v>8.5527161015679987</v>
      </c>
      <c r="BC313" s="5">
        <f t="shared" si="518"/>
        <v>0.40999662961902195</v>
      </c>
      <c r="BD313" s="469">
        <f t="shared" si="511"/>
        <v>0</v>
      </c>
      <c r="BQ313" s="538">
        <f t="shared" si="512"/>
        <v>0.37053999999999998</v>
      </c>
      <c r="CG313" s="571">
        <f t="shared" si="513"/>
        <v>-50</v>
      </c>
      <c r="CH313">
        <f t="shared" si="514"/>
        <v>-50</v>
      </c>
    </row>
    <row r="314" spans="4:86" x14ac:dyDescent="0.2">
      <c r="E314" s="174">
        <v>98</v>
      </c>
      <c r="F314" s="221">
        <f t="shared" si="529"/>
        <v>0.98</v>
      </c>
      <c r="G314" s="221"/>
      <c r="H314" s="221">
        <f t="shared" si="519"/>
        <v>4.9000000000000004</v>
      </c>
      <c r="I314" s="551">
        <f t="shared" si="482"/>
        <v>25</v>
      </c>
      <c r="J314" s="451">
        <f t="shared" si="483"/>
        <v>10.64</v>
      </c>
      <c r="K314" s="451">
        <f t="shared" si="484"/>
        <v>35.64</v>
      </c>
      <c r="L314" s="451"/>
      <c r="M314" s="221">
        <f t="shared" si="485"/>
        <v>0.2985409652076319</v>
      </c>
      <c r="N314" s="176">
        <f t="shared" si="520"/>
        <v>14.130050505050503</v>
      </c>
      <c r="O314" s="176">
        <f t="shared" si="478"/>
        <v>4.9000000000000004</v>
      </c>
      <c r="P314" s="221">
        <f t="shared" si="521"/>
        <v>2.8260101010101009</v>
      </c>
      <c r="Q314" s="221">
        <f t="shared" si="488"/>
        <v>5</v>
      </c>
      <c r="R314" s="221"/>
      <c r="S314" s="176">
        <f t="shared" si="489"/>
        <v>34.680610252272224</v>
      </c>
      <c r="T314" s="176">
        <f t="shared" si="522"/>
        <v>5</v>
      </c>
      <c r="U314" s="221">
        <f t="shared" si="491"/>
        <v>1.4589473684210525</v>
      </c>
      <c r="V314" s="221">
        <f t="shared" si="523"/>
        <v>0.4085052631578947</v>
      </c>
      <c r="W314" s="221">
        <f t="shared" si="493"/>
        <v>0.95983379501385024</v>
      </c>
      <c r="X314" s="201">
        <f t="shared" si="494"/>
        <v>350</v>
      </c>
      <c r="Y314" s="451">
        <f t="shared" si="480"/>
        <v>350</v>
      </c>
      <c r="AA314" s="221">
        <f t="shared" si="495"/>
        <v>3.0463363796697127</v>
      </c>
      <c r="AB314" s="177">
        <f t="shared" si="524"/>
        <v>2.004168670835337</v>
      </c>
      <c r="AC314" s="177">
        <f t="shared" si="525"/>
        <v>2.136880176535993</v>
      </c>
      <c r="AD314" s="177"/>
      <c r="AE314" s="177">
        <f t="shared" si="498"/>
        <v>0.53947368421052622</v>
      </c>
      <c r="AF314" s="555">
        <f t="shared" si="526"/>
        <v>2215.3480071386084</v>
      </c>
      <c r="AG314" s="538">
        <f t="shared" si="500"/>
        <v>0.15482894736842101</v>
      </c>
      <c r="AI314" s="177">
        <f t="shared" si="501"/>
        <v>2.0630075133164203</v>
      </c>
      <c r="AJ314" s="177">
        <f t="shared" si="527"/>
        <v>2.0630075133164203</v>
      </c>
      <c r="AK314" s="177">
        <f t="shared" si="528"/>
        <v>2.0286716755442802</v>
      </c>
      <c r="AM314" s="555">
        <f t="shared" si="504"/>
        <v>980</v>
      </c>
      <c r="AN314" s="469">
        <f t="shared" si="505"/>
        <v>350</v>
      </c>
      <c r="AP314">
        <f t="shared" si="506"/>
        <v>980</v>
      </c>
      <c r="AQ314">
        <f t="shared" si="507"/>
        <v>350</v>
      </c>
      <c r="AS314" s="5">
        <f t="shared" si="479"/>
        <v>2.8571428571428572</v>
      </c>
      <c r="AT314" s="5">
        <f t="shared" si="508"/>
        <v>0.5776421037285977</v>
      </c>
      <c r="AU314" s="5">
        <f t="shared" si="516"/>
        <v>2.2795007534142595</v>
      </c>
      <c r="AV314" s="5"/>
      <c r="AW314" s="177">
        <f t="shared" si="517"/>
        <v>0.20217473630500918</v>
      </c>
      <c r="AX314" s="177"/>
      <c r="BA314" s="469">
        <f t="shared" si="509"/>
        <v>99.208085235696529</v>
      </c>
      <c r="BB314" s="469">
        <f t="shared" si="510"/>
        <v>8.6996604782079991</v>
      </c>
      <c r="BC314" s="5">
        <f t="shared" si="518"/>
        <v>0.41368717376777298</v>
      </c>
      <c r="BD314" s="469">
        <f t="shared" si="511"/>
        <v>0</v>
      </c>
      <c r="BQ314" s="538">
        <f t="shared" si="512"/>
        <v>0.37436000000000003</v>
      </c>
      <c r="CG314" s="571">
        <f t="shared" si="513"/>
        <v>-50</v>
      </c>
      <c r="CH314">
        <f t="shared" si="514"/>
        <v>-50</v>
      </c>
    </row>
    <row r="315" spans="4:86" x14ac:dyDescent="0.2">
      <c r="E315" s="174">
        <v>99</v>
      </c>
      <c r="F315" s="221">
        <f t="shared" si="529"/>
        <v>0.99</v>
      </c>
      <c r="G315" s="221"/>
      <c r="H315" s="221">
        <f t="shared" si="519"/>
        <v>4.95</v>
      </c>
      <c r="I315" s="551">
        <f t="shared" si="482"/>
        <v>25</v>
      </c>
      <c r="J315" s="451">
        <f t="shared" si="483"/>
        <v>10.64</v>
      </c>
      <c r="K315" s="451">
        <f t="shared" si="484"/>
        <v>35.64</v>
      </c>
      <c r="L315" s="451"/>
      <c r="M315" s="221">
        <f t="shared" si="485"/>
        <v>0.2985409652076319</v>
      </c>
      <c r="N315" s="176">
        <f t="shared" si="520"/>
        <v>14.130050505050503</v>
      </c>
      <c r="O315" s="176">
        <f t="shared" si="478"/>
        <v>4.95</v>
      </c>
      <c r="P315" s="221">
        <f t="shared" si="521"/>
        <v>2.8260101010101009</v>
      </c>
      <c r="Q315" s="221">
        <f t="shared" si="488"/>
        <v>5</v>
      </c>
      <c r="R315" s="221"/>
      <c r="S315" s="176">
        <f t="shared" si="489"/>
        <v>34.206761254698584</v>
      </c>
      <c r="T315" s="176">
        <f t="shared" si="522"/>
        <v>5</v>
      </c>
      <c r="U315" s="221">
        <f t="shared" si="491"/>
        <v>1.4738345864661653</v>
      </c>
      <c r="V315" s="221">
        <f t="shared" si="523"/>
        <v>0.41267368421052625</v>
      </c>
      <c r="W315" s="221">
        <f t="shared" si="493"/>
        <v>0.9696280174119507</v>
      </c>
      <c r="X315" s="201">
        <f t="shared" si="494"/>
        <v>350</v>
      </c>
      <c r="Y315" s="451">
        <f t="shared" si="480"/>
        <v>350</v>
      </c>
      <c r="AA315" s="221">
        <f t="shared" si="495"/>
        <v>3.0463363796697127</v>
      </c>
      <c r="AB315" s="177">
        <f t="shared" si="524"/>
        <v>2.004168670835337</v>
      </c>
      <c r="AC315" s="177">
        <f t="shared" si="525"/>
        <v>2.136880176535993</v>
      </c>
      <c r="AD315" s="177"/>
      <c r="AE315" s="177">
        <f t="shared" si="498"/>
        <v>0.53947368421052622</v>
      </c>
      <c r="AF315" s="555">
        <f t="shared" si="526"/>
        <v>2237.9535990481859</v>
      </c>
      <c r="AG315" s="538">
        <f t="shared" si="500"/>
        <v>0.15482894736842101</v>
      </c>
      <c r="AI315" s="177">
        <f t="shared" si="501"/>
        <v>2.0735063470914605</v>
      </c>
      <c r="AJ315" s="177">
        <f t="shared" si="527"/>
        <v>2.0735063470914605</v>
      </c>
      <c r="AK315" s="177">
        <f t="shared" si="528"/>
        <v>2.0356708980609737</v>
      </c>
      <c r="AM315" s="555">
        <f t="shared" si="504"/>
        <v>990</v>
      </c>
      <c r="AN315" s="469">
        <f t="shared" si="505"/>
        <v>350</v>
      </c>
      <c r="AP315">
        <f t="shared" si="506"/>
        <v>990</v>
      </c>
      <c r="AQ315">
        <f t="shared" si="507"/>
        <v>350</v>
      </c>
      <c r="AS315" s="5">
        <f t="shared" si="479"/>
        <v>2.8571428571428572</v>
      </c>
      <c r="AT315" s="5">
        <f t="shared" si="508"/>
        <v>0.58058177718560888</v>
      </c>
      <c r="AU315" s="5">
        <f t="shared" si="516"/>
        <v>2.2765610799572484</v>
      </c>
      <c r="AV315" s="5"/>
      <c r="AW315" s="177">
        <f t="shared" si="517"/>
        <v>0.20320362201496311</v>
      </c>
      <c r="AX315" s="177"/>
      <c r="BA315" s="469">
        <f t="shared" si="509"/>
        <v>99.208085235696529</v>
      </c>
      <c r="BB315" s="469">
        <f t="shared" si="510"/>
        <v>8.8478042843519979</v>
      </c>
      <c r="BC315" s="5">
        <f t="shared" si="518"/>
        <v>0.41736953132549554</v>
      </c>
      <c r="BD315" s="469">
        <f t="shared" si="511"/>
        <v>0</v>
      </c>
      <c r="BQ315" s="538">
        <f t="shared" si="512"/>
        <v>0.37818000000000002</v>
      </c>
      <c r="CG315" s="571">
        <f t="shared" si="513"/>
        <v>-50</v>
      </c>
      <c r="CH315">
        <f t="shared" si="514"/>
        <v>-50</v>
      </c>
    </row>
    <row r="316" spans="4:86" x14ac:dyDescent="0.2">
      <c r="E316" s="174">
        <v>100</v>
      </c>
      <c r="F316" s="221">
        <f t="shared" si="529"/>
        <v>1</v>
      </c>
      <c r="G316" s="221"/>
      <c r="H316" s="221">
        <f t="shared" si="519"/>
        <v>5</v>
      </c>
      <c r="I316" s="551">
        <f t="shared" si="482"/>
        <v>25</v>
      </c>
      <c r="J316" s="451">
        <f t="shared" si="483"/>
        <v>10.64</v>
      </c>
      <c r="K316" s="451">
        <f t="shared" si="484"/>
        <v>35.64</v>
      </c>
      <c r="L316" s="451"/>
      <c r="M316" s="221">
        <f t="shared" si="485"/>
        <v>0.2985409652076319</v>
      </c>
      <c r="N316" s="176">
        <f t="shared" si="520"/>
        <v>14.130050505050503</v>
      </c>
      <c r="O316" s="176">
        <f t="shared" si="478"/>
        <v>5</v>
      </c>
      <c r="P316" s="221">
        <f t="shared" si="521"/>
        <v>2.8260101010101009</v>
      </c>
      <c r="Q316" s="221">
        <f t="shared" si="488"/>
        <v>5</v>
      </c>
      <c r="R316" s="221"/>
      <c r="S316" s="176">
        <f t="shared" si="489"/>
        <v>33.742431429060794</v>
      </c>
      <c r="T316" s="176">
        <f t="shared" si="522"/>
        <v>5</v>
      </c>
      <c r="U316" s="221">
        <f t="shared" si="491"/>
        <v>1.488721804511278</v>
      </c>
      <c r="V316" s="221">
        <f t="shared" si="523"/>
        <v>0.41684210526315779</v>
      </c>
      <c r="W316" s="221">
        <f t="shared" si="493"/>
        <v>0.97942223981005128</v>
      </c>
      <c r="X316" s="201">
        <f t="shared" si="494"/>
        <v>350</v>
      </c>
      <c r="Y316" s="451">
        <f t="shared" si="480"/>
        <v>350</v>
      </c>
      <c r="AA316" s="221">
        <f t="shared" si="495"/>
        <v>3.0463363796697127</v>
      </c>
      <c r="AB316" s="177">
        <f t="shared" si="524"/>
        <v>2.004168670835337</v>
      </c>
      <c r="AC316" s="177">
        <f t="shared" si="525"/>
        <v>2.136880176535993</v>
      </c>
      <c r="AD316" s="177"/>
      <c r="AE316" s="177">
        <f t="shared" si="498"/>
        <v>0.53947368421052622</v>
      </c>
      <c r="AF316" s="555">
        <f t="shared" si="526"/>
        <v>2260.5591909577638</v>
      </c>
      <c r="AG316" s="538">
        <f t="shared" si="500"/>
        <v>0.15482894736842101</v>
      </c>
      <c r="AI316" s="177">
        <f t="shared" si="501"/>
        <v>2.0839522890069109</v>
      </c>
      <c r="AJ316" s="177">
        <f t="shared" si="527"/>
        <v>2.0839522890069109</v>
      </c>
      <c r="AK316" s="177">
        <f t="shared" si="528"/>
        <v>2.0426348593379409</v>
      </c>
      <c r="AM316" s="555">
        <f t="shared" si="504"/>
        <v>1000</v>
      </c>
      <c r="AN316" s="469">
        <f t="shared" si="505"/>
        <v>350</v>
      </c>
      <c r="AP316">
        <f t="shared" si="506"/>
        <v>1000</v>
      </c>
      <c r="AQ316">
        <f t="shared" si="507"/>
        <v>350</v>
      </c>
      <c r="AS316" s="5">
        <f t="shared" si="479"/>
        <v>2.8571428571428572</v>
      </c>
      <c r="AT316" s="5">
        <f t="shared" si="508"/>
        <v>0.58350664092193505</v>
      </c>
      <c r="AU316" s="5">
        <f t="shared" si="516"/>
        <v>2.2736362162209223</v>
      </c>
      <c r="AV316" s="5"/>
      <c r="AW316" s="177">
        <f t="shared" si="517"/>
        <v>0.20422732432267726</v>
      </c>
      <c r="AX316" s="177"/>
      <c r="BA316" s="469">
        <f t="shared" si="509"/>
        <v>99.208085235696529</v>
      </c>
      <c r="BB316" s="469">
        <f t="shared" si="510"/>
        <v>8.9971475199999986</v>
      </c>
      <c r="BC316" s="5">
        <f t="shared" si="518"/>
        <v>0.42104374374461512</v>
      </c>
      <c r="BD316" s="469">
        <f t="shared" si="511"/>
        <v>0</v>
      </c>
      <c r="BQ316" s="538">
        <f t="shared" si="512"/>
        <v>0.38200000000000001</v>
      </c>
      <c r="CG316" s="571">
        <f t="shared" si="513"/>
        <v>-50</v>
      </c>
      <c r="CH316">
        <f t="shared" si="514"/>
        <v>-50</v>
      </c>
    </row>
    <row r="317" spans="4:86" x14ac:dyDescent="0.2">
      <c r="E317" s="174"/>
      <c r="F317" s="221"/>
      <c r="G317" s="221"/>
      <c r="CG317" s="571"/>
    </row>
    <row r="318" spans="4:86" x14ac:dyDescent="0.2">
      <c r="CG318" s="571"/>
    </row>
    <row r="319" spans="4:86" x14ac:dyDescent="0.2">
      <c r="D319" s="77" t="s">
        <v>824</v>
      </c>
      <c r="CG319" s="571"/>
    </row>
    <row r="320" spans="4:86" x14ac:dyDescent="0.2">
      <c r="E320" s="77" t="s">
        <v>831</v>
      </c>
      <c r="CG320" s="571"/>
    </row>
    <row r="321" spans="4:85" x14ac:dyDescent="0.2">
      <c r="F321" s="77" t="s">
        <v>826</v>
      </c>
      <c r="G321" s="77" t="s">
        <v>825</v>
      </c>
      <c r="BB321" s="77" t="s">
        <v>827</v>
      </c>
      <c r="BC321" s="77" t="s">
        <v>829</v>
      </c>
      <c r="BD321" s="77" t="s">
        <v>830</v>
      </c>
      <c r="BF321" s="77" t="s">
        <v>828</v>
      </c>
      <c r="CG321" s="571"/>
    </row>
    <row r="322" spans="4:85" x14ac:dyDescent="0.2">
      <c r="F322">
        <f>'LM(2)518x PSR flyback converter'!E57</f>
        <v>5.0000000000000001E-3</v>
      </c>
      <c r="G322" s="771">
        <f>F322*Vout</f>
        <v>2.5000000000000001E-2</v>
      </c>
      <c r="BB322">
        <f>F322*Vout</f>
        <v>2.5000000000000001E-2</v>
      </c>
      <c r="BC322" s="770">
        <v>2.2000000000000001E-7</v>
      </c>
    </row>
    <row r="323" spans="4:85" x14ac:dyDescent="0.2">
      <c r="E323" t="s">
        <v>832</v>
      </c>
    </row>
    <row r="324" spans="4:85" x14ac:dyDescent="0.2">
      <c r="F324" t="s">
        <v>833</v>
      </c>
      <c r="G324" t="s">
        <v>834</v>
      </c>
      <c r="H324" t="s">
        <v>835</v>
      </c>
      <c r="I324" s="77" t="s">
        <v>676</v>
      </c>
    </row>
    <row r="325" spans="4:85" x14ac:dyDescent="0.2">
      <c r="F325" s="770">
        <v>1.9999999999999999E-7</v>
      </c>
      <c r="G325">
        <f>VIN_max</f>
        <v>25</v>
      </c>
      <c r="H325">
        <f>15000</f>
        <v>15000</v>
      </c>
      <c r="I325">
        <f>L*0.9</f>
        <v>6.2999999999999998E-6</v>
      </c>
    </row>
    <row r="326" spans="4:85" x14ac:dyDescent="0.2">
      <c r="G326" s="77" t="s">
        <v>836</v>
      </c>
    </row>
    <row r="327" spans="4:85" x14ac:dyDescent="0.2">
      <c r="G327" s="771">
        <f>0.5*(G325/I325*F325)^2*H325*I325</f>
        <v>2.976190476190476E-2</v>
      </c>
    </row>
    <row r="328" spans="4:85" x14ac:dyDescent="0.2">
      <c r="E328" s="77" t="s">
        <v>837</v>
      </c>
    </row>
    <row r="329" spans="4:85" x14ac:dyDescent="0.2">
      <c r="G329" t="str">
        <f>IF(G327&gt;G322, "Yes", "No")</f>
        <v>Yes</v>
      </c>
      <c r="H329">
        <f>(Vout*1.05)^2/(G327-G322)</f>
        <v>5788.1250000000036</v>
      </c>
    </row>
    <row r="332" spans="4:85" x14ac:dyDescent="0.2">
      <c r="D332" s="77"/>
    </row>
    <row r="334" spans="4:85" x14ac:dyDescent="0.2">
      <c r="F334" s="555"/>
    </row>
    <row r="335" spans="4:85" x14ac:dyDescent="0.2">
      <c r="F335" s="555"/>
    </row>
    <row r="336" spans="4:85" x14ac:dyDescent="0.2">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9" customWidth="1"/>
    <col min="7" max="7" width="7.7109375" customWidth="1"/>
    <col min="8" max="9" width="7.855468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49" width="9.42578125" customWidth="1"/>
    <col min="50" max="50" width="12.5703125" customWidth="1"/>
    <col min="51" max="51" width="9.42578125" customWidth="1"/>
    <col min="52" max="52" width="12.7109375" customWidth="1"/>
    <col min="53" max="54" width="9.85546875" customWidth="1"/>
    <col min="55" max="55" width="2" customWidth="1"/>
    <col min="59" max="59" width="2.140625" customWidth="1"/>
    <col min="60" max="60" width="9" customWidth="1"/>
    <col min="61" max="62" width="8.140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85546875" customWidth="1"/>
    <col min="79" max="79" width="12.140625" customWidth="1"/>
    <col min="80" max="80" width="9.140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453" t="s">
        <v>526</v>
      </c>
    </row>
    <row r="2" spans="2:88" ht="13.5" thickBot="1" x14ac:dyDescent="0.25">
      <c r="AW2">
        <f>Vout_ripple</f>
        <v>50</v>
      </c>
    </row>
    <row r="3" spans="2:88" x14ac:dyDescent="0.2">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25">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
      <c r="E5" s="174">
        <v>0.1</v>
      </c>
      <c r="F5" s="221">
        <v>1.0000000000000001E-9</v>
      </c>
      <c r="G5" s="221">
        <v>1.0000000000000001E-9</v>
      </c>
      <c r="H5" s="221">
        <f t="shared" ref="H5:H36" si="0">F5*Vout</f>
        <v>5.0000000000000001E-9</v>
      </c>
      <c r="I5" s="221">
        <f>G5*Vout2</f>
        <v>5.0000000000000001E-9</v>
      </c>
      <c r="J5" s="551">
        <f t="shared" ref="J5:J68" si="1">Vin</f>
        <v>24</v>
      </c>
      <c r="K5" s="451">
        <f t="shared" ref="K5:K68" si="2">(S5+Vfwd1)*Nps</f>
        <v>10.64</v>
      </c>
      <c r="L5" s="451">
        <f t="shared" ref="L5:L68" si="3">(Vout+Vfwd1)*Nps+J5</f>
        <v>34.64</v>
      </c>
      <c r="M5" s="451"/>
      <c r="N5" s="221">
        <f t="shared" ref="N5:N68" si="4">(Vout+Vfwd1)*Nps/((Vout+Vfwd1)*Nps+J5)</f>
        <v>0.30715935334872979</v>
      </c>
      <c r="O5" s="176">
        <f>N5*J5*Isw_max*0.5*Efficiency*(Pout/Pout_total)</f>
        <v>13.601016166281754</v>
      </c>
      <c r="P5" s="176">
        <f t="shared" ref="P5:P36" si="5">N5*J5*Isw_max*0.5*Efficiency*(Pout2/Pout_total)</f>
        <v>2.7202032332563508</v>
      </c>
      <c r="Q5" s="221">
        <f t="shared" ref="Q5:Q68" si="6">O5/Vout</f>
        <v>2.7202032332563508</v>
      </c>
      <c r="R5" s="221">
        <f t="shared" ref="R5:R36" si="7">O5/Vout2</f>
        <v>2.7202032332563508</v>
      </c>
      <c r="S5" s="451">
        <f t="shared" ref="S5:S36" si="8">MIN(Vout,O5/F5)</f>
        <v>5</v>
      </c>
      <c r="T5" s="221">
        <f t="shared" ref="T5:T36" si="9">MIN(2*(Vout*F5+Vout2*G5)/(Efficiency*J5*N5), Isw_max)</f>
        <v>3.0144806460595935E-9</v>
      </c>
      <c r="U5" s="221">
        <f t="shared" ref="U5:U68" si="10">L*T5/J5*1000000</f>
        <v>8.7922352176738145E-10</v>
      </c>
      <c r="V5" s="221">
        <f t="shared" ref="V5:V68" si="11">L*T5/K5*1000000</f>
        <v>1.9832109513549956E-9</v>
      </c>
      <c r="W5" s="201">
        <f t="shared" ref="W5:W68" si="12">IF(1/((350000*L)*(1/J5+1/K5))&gt;Isw_min, 350, 0.001/((Isw_min*L)*(1/J5+1/K5)))</f>
        <v>350</v>
      </c>
      <c r="X5" s="451">
        <f>MIN(1/(U5+V5)*1000, 350)</f>
        <v>350</v>
      </c>
      <c r="Z5" s="221">
        <f t="shared" ref="Z5:Z68" si="13">1/((W5*1000*L)*(1/J5+1/K5))</f>
        <v>3.0089079511712309</v>
      </c>
      <c r="AA5" s="177">
        <f t="shared" ref="AA5:AA68" si="14">L*Z5/K5*1000000</f>
        <v>1.9795447047179149</v>
      </c>
      <c r="AB5" s="177">
        <f t="shared" ref="AB5:AB36" si="15">0.5*AA5*Z5*Nps*W5/1000*(Pout/Pout_total)</f>
        <v>2.0846937306036244</v>
      </c>
      <c r="AC5" s="177"/>
      <c r="AD5" s="177">
        <f t="shared" ref="AD5:AD68" si="16">L*Isw_min/K5*1000000</f>
        <v>0.53947368421052622</v>
      </c>
      <c r="AE5" s="555">
        <f t="shared" ref="AE5:AE36" si="17">MAX(10, F5/(0.5*AD5/1000000*Isw_min*Nps)/1000*Pout_total/Pout)</f>
        <v>10</v>
      </c>
      <c r="AF5" s="538">
        <f t="shared" ref="AF5:AF36" si="18">0.5*AD5/1000000*Isw_min*Nps*W5*1000*(Pout/Pout_total)</f>
        <v>0.15482894736842101</v>
      </c>
      <c r="AH5" s="177">
        <f t="shared" ref="AH5:AH36" si="19">SQRT((H5+I5)/(0.5*L*Fsw_DCM))</f>
        <v>9.035079029052512E-5</v>
      </c>
      <c r="AI5" s="177">
        <f t="shared" ref="AI5:AI36" si="20">MAX(IF(F5&gt;AB5,T5,AH5),Isw_min)</f>
        <v>0.82</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0.23916666666666661</v>
      </c>
      <c r="AT5" s="5">
        <f>AR5-AS5</f>
        <v>99.760833333333338</v>
      </c>
      <c r="AU5" s="177">
        <f>AS5/AR5</f>
        <v>2.3916666666666661E-3</v>
      </c>
      <c r="AW5" s="5">
        <f t="shared" ref="AW5:AW36" si="26">L*Iout^2/(2*Vripple1_spec*Vout*Npri_sec1^2)*1000000000*((1+N5)/(1-N5))^2</f>
        <v>12.458288888888889</v>
      </c>
      <c r="AX5" s="5">
        <f t="shared" ref="AX5:AX36" si="27">L*F5^2/(2*Cout*Vout*Nps^2)*1000000000*((1+N5)/(1-N5))^2+F5*RCoutEsr</f>
        <v>3.0000000062291448E-9</v>
      </c>
      <c r="AY5" s="5">
        <f t="shared" ref="AY5:AY36" si="28">L*Iout2^2/(2*Vripple2_spec*Vout2*Npri_sec2^2)*1000000000*((1+N5)/(1-N5))^2</f>
        <v>0.49833155555555569</v>
      </c>
      <c r="AZ5" s="5">
        <f t="shared" ref="AZ5:AZ36" si="29">L*G5^2/(2*Cout2*Vout2*Npri_sec2^2)*1000000000*((1+N5)/(1-N5))^2+G5*CoutEsr2</f>
        <v>2.0000000283142932E-9</v>
      </c>
      <c r="BA5" s="5">
        <f t="shared" ref="BA5:BA36" si="30">(H5+I5)/Efficiency/J5*AT5/Vinripple1</f>
        <v>3.8487975823045268E-8</v>
      </c>
      <c r="BB5" s="469">
        <f t="shared" ref="BB5:BB36" si="31">((CD5/J5/Efficiency)*AT5/Cin+(CD5/J5/Efficiency)*RCinEsr)*1000</f>
        <v>4.6199459876543216E-6</v>
      </c>
      <c r="BC5" s="5"/>
      <c r="BD5" s="177">
        <f>AI5*SQRT(AU5/3)</f>
        <v>2.315280160633313E-2</v>
      </c>
      <c r="BE5" s="177">
        <f t="shared" ref="BE5:BE36" si="32">AI5*Npri_sec1*SQRT((1-AU5)/3)*(Pout/Pout_total)</f>
        <v>0.94572148354811314</v>
      </c>
      <c r="BF5" s="177">
        <f t="shared" ref="BF5:BF36" si="33">AI5*Npri_sec2*SQRT((1-AU5)/3)*(Pout2/Pout_total)</f>
        <v>0.18914429670962263</v>
      </c>
      <c r="BG5" s="177"/>
      <c r="BH5" s="538">
        <f t="shared" ref="BH5:BH68" si="34">Rdson*BD5^2</f>
        <v>5.8965744444444412E-5</v>
      </c>
      <c r="BI5" s="538">
        <f t="shared" ref="BI5:BI68" si="35">0.5*L5*AI5*AM5*1000*Trise</f>
        <v>1.4202400000000001E-3</v>
      </c>
      <c r="BJ5" s="538">
        <f t="shared" ref="BJ5:BJ68" si="36">Qg*Vdd*AM5*1000</f>
        <v>5.0000000000000001E-4</v>
      </c>
      <c r="BK5" s="538">
        <f t="shared" ref="BK5:BK68" si="37">0.5*(Coss+Csw)*L5^2*AM5*1000</f>
        <v>2.6998415999999999E-3</v>
      </c>
      <c r="BL5">
        <f t="shared" ref="BL5:BL68" si="38">J5*IQ</f>
        <v>6.96E-3</v>
      </c>
      <c r="BM5">
        <f t="shared" ref="BM5:BM36" si="39">(J5-Vdd)*Qg*AM5</f>
        <v>1.9E-6</v>
      </c>
      <c r="BN5">
        <f t="shared" ref="BN5:BN36" si="40">(BI5+BJ5+BK5+BL5+BM5+BH5*(1+RdsonTC*(Ta-25)))/(1-BH5*RdsonTC*ThetaJA)</f>
        <v>1.1649034451885327E-2</v>
      </c>
      <c r="BO5" s="469">
        <f>BN5*1000</f>
        <v>11.649034451885328</v>
      </c>
      <c r="BP5" s="177">
        <f t="shared" ref="BP5:BP36" si="41">(Vfwd2*F5+BE5^2*Rdiode)*(1+Diode_TC/1000*(Ta-25))</f>
        <v>6.8331329489555545E-2</v>
      </c>
      <c r="BQ5" s="177">
        <f t="shared" ref="BQ5:BQ36" si="42">(Vfwd2*G5+BF5^2*Rdiode)*(1+Diode_TC/1000*(Ta-25))</f>
        <v>2.7332535463022219E-3</v>
      </c>
      <c r="BR5" s="538"/>
      <c r="BT5" s="469">
        <f>SUM(BP5:BS5)*1000</f>
        <v>71.064583035857765</v>
      </c>
      <c r="BU5" s="538">
        <f t="shared" ref="BU5:BU68" si="43">Rdcr_pri*BD5^2</f>
        <v>5.3605222222222197E-5</v>
      </c>
      <c r="BV5" s="538">
        <f>Rdcr_sec*BE5^2</f>
        <v>2.6831673733333321E-2</v>
      </c>
      <c r="BW5" s="538">
        <f t="shared" ref="BW5:BW36" si="44">Rdcr_sec2*BF5^2</f>
        <v>1.7887782488888882E-3</v>
      </c>
      <c r="BX5" s="538">
        <f t="shared" ref="BX5:BX68" si="45">AI5^2.5*AM5^2.5*k_core</f>
        <v>0</v>
      </c>
      <c r="BY5" s="538">
        <f t="shared" ref="BY5:BY36" si="46">(BX5+(BU5+BV5+BW5)*(1+Ltc*(Ta-25)))/(1-(BU5+BV5+BW5)*Ltc*ThetaCa)</f>
        <v>3.2188782708716258E-2</v>
      </c>
      <c r="BZ5" s="538">
        <f>SUM(BU5:BX5)</f>
        <v>2.8674057204444429E-2</v>
      </c>
      <c r="CA5" s="641">
        <f t="shared" ref="CA5:CA36" si="47">0.5*Lleak*0.000000001*AI5^2*AM5*1000</f>
        <v>3.3619999999999999E-4</v>
      </c>
      <c r="CB5" s="469">
        <f>(BY5+CA5)*1000</f>
        <v>32.524982708716259</v>
      </c>
      <c r="CC5" s="177">
        <f>SUM(BN5,BP5:BS5,BY5, CA5)</f>
        <v>0.11523860019645933</v>
      </c>
      <c r="CD5" s="5">
        <f>MIN(H5+I5,O5+P5)</f>
        <v>1E-8</v>
      </c>
      <c r="CE5" s="177">
        <f>CD5/(CD5+CC5)</f>
        <v>8.6776471730715534E-8</v>
      </c>
      <c r="CF5" s="5">
        <f>CE5*100</f>
        <v>8.6776471730715536E-6</v>
      </c>
      <c r="CG5">
        <v>0</v>
      </c>
      <c r="CI5" s="571">
        <f t="shared" ref="CI5:CI36" si="48">IF(ABS(F5-Ioutmax_Vinnom)&lt;Iout/200, AM5, -50)</f>
        <v>-50</v>
      </c>
      <c r="CJ5">
        <f t="shared" ref="CJ5:CJ36" si="49">IF(ABS(F5-Ioutmax_Vinnom)&lt;Iout/200, (O5+P5)*CE5, -50)</f>
        <v>-50</v>
      </c>
    </row>
    <row r="6" spans="2:88" x14ac:dyDescent="0.2">
      <c r="E6" s="174">
        <v>1</v>
      </c>
      <c r="F6" s="221">
        <f>IF(PLOT_TYPE=1, E6/100*Iout, min_I*EXP(O6*rr/100))</f>
        <v>0.01</v>
      </c>
      <c r="G6" s="221">
        <f t="shared" ref="G6:G37" si="50">IF(PLOT_TYPE=1, E6/100*Iout2, min_I*EXP(Q6*rr/100))</f>
        <v>2E-3</v>
      </c>
      <c r="H6" s="221">
        <f t="shared" si="0"/>
        <v>0.05</v>
      </c>
      <c r="I6" s="221">
        <f>G6*Vout2</f>
        <v>0.01</v>
      </c>
      <c r="J6" s="551">
        <f t="shared" si="1"/>
        <v>24</v>
      </c>
      <c r="K6" s="451">
        <f t="shared" si="2"/>
        <v>10.64</v>
      </c>
      <c r="L6" s="451">
        <f t="shared" si="3"/>
        <v>34.64</v>
      </c>
      <c r="M6" s="451"/>
      <c r="N6" s="221">
        <f t="shared" si="4"/>
        <v>0.30715935334872979</v>
      </c>
      <c r="O6" s="176">
        <f t="shared" ref="O6:O37" si="51">N6*J6*Isw_max*0.5*Efficiency*Pout/(Pout+Pout2)</f>
        <v>11.334180138568129</v>
      </c>
      <c r="P6" s="176">
        <f t="shared" si="5"/>
        <v>2.7202032332563508</v>
      </c>
      <c r="Q6" s="221">
        <f t="shared" si="6"/>
        <v>2.2668360277136257</v>
      </c>
      <c r="R6" s="221">
        <f t="shared" si="7"/>
        <v>2.2668360277136257</v>
      </c>
      <c r="S6" s="451">
        <f t="shared" si="8"/>
        <v>5</v>
      </c>
      <c r="T6" s="221">
        <f t="shared" si="9"/>
        <v>1.8086883876357561E-2</v>
      </c>
      <c r="U6" s="221">
        <f t="shared" si="10"/>
        <v>5.2753411306042889E-3</v>
      </c>
      <c r="V6" s="221">
        <f t="shared" si="11"/>
        <v>1.1899265708129974E-2</v>
      </c>
      <c r="W6" s="201">
        <f t="shared" si="12"/>
        <v>350</v>
      </c>
      <c r="X6" s="451">
        <f t="shared" ref="X6:X69" si="52">MIN(1/(U6+V6)*1000, 350)</f>
        <v>350</v>
      </c>
      <c r="Z6" s="221">
        <f t="shared" si="13"/>
        <v>3.0089079511712309</v>
      </c>
      <c r="AA6" s="177">
        <f t="shared" si="14"/>
        <v>1.9795447047179149</v>
      </c>
      <c r="AB6" s="177">
        <f t="shared" si="15"/>
        <v>2.0846937306036244</v>
      </c>
      <c r="AC6" s="177"/>
      <c r="AD6" s="177">
        <f t="shared" si="16"/>
        <v>0.53947368421052622</v>
      </c>
      <c r="AE6" s="555">
        <f t="shared" si="17"/>
        <v>22.605591909577637</v>
      </c>
      <c r="AF6" s="538">
        <f t="shared" si="18"/>
        <v>0.15482894736842101</v>
      </c>
      <c r="AH6" s="177">
        <f t="shared" si="19"/>
        <v>0.22131333406899525</v>
      </c>
      <c r="AI6" s="177">
        <f t="shared" si="20"/>
        <v>0.82</v>
      </c>
      <c r="AJ6" s="177">
        <f t="shared" si="21"/>
        <v>1.0129174810911872</v>
      </c>
      <c r="AL6" s="555">
        <f t="shared" si="22"/>
        <v>10</v>
      </c>
      <c r="AM6" s="469">
        <f t="shared" si="23"/>
        <v>22.605591909577637</v>
      </c>
      <c r="AO6">
        <f t="shared" ref="AO6:AO69" si="53">IF(H6&gt;O6, "",AL6)</f>
        <v>10</v>
      </c>
      <c r="AP6" s="469">
        <f t="shared" si="24"/>
        <v>22.605591909577637</v>
      </c>
      <c r="AQ6" s="469"/>
      <c r="AR6" s="5">
        <f t="shared" ref="AR6:AR69" si="54">1/AM6*1000</f>
        <v>44.23684210526315</v>
      </c>
      <c r="AS6" s="5">
        <f t="shared" si="25"/>
        <v>0.23916666666666661</v>
      </c>
      <c r="AT6" s="5">
        <f t="shared" ref="AT6:AT69" si="55">AR6-AS6</f>
        <v>43.997675438596481</v>
      </c>
      <c r="AU6" s="177">
        <f t="shared" ref="AU6:AU69" si="56">AS6/AR6</f>
        <v>5.4065040650406503E-3</v>
      </c>
      <c r="AW6" s="5">
        <f t="shared" si="26"/>
        <v>12.458288888888889</v>
      </c>
      <c r="AX6" s="5">
        <f t="shared" si="27"/>
        <v>3.0622914444444444E-2</v>
      </c>
      <c r="AY6" s="5">
        <f t="shared" si="28"/>
        <v>0.49833155555555569</v>
      </c>
      <c r="AZ6" s="5">
        <f t="shared" si="29"/>
        <v>4.1132571717171721E-3</v>
      </c>
      <c r="BA6" s="5">
        <f t="shared" si="30"/>
        <v>0.10184647092267703</v>
      </c>
      <c r="BB6" s="469">
        <f t="shared" si="31"/>
        <v>12.229909844054578</v>
      </c>
      <c r="BC6" s="5"/>
      <c r="BD6" s="177">
        <f t="shared" ref="BD6:BD69" si="57">AI6*SQRT(AU6/3)</f>
        <v>3.4810598641473796E-2</v>
      </c>
      <c r="BE6" s="177">
        <f t="shared" si="32"/>
        <v>0.94429138629038767</v>
      </c>
      <c r="BF6" s="177">
        <f t="shared" si="33"/>
        <v>0.18885827725807755</v>
      </c>
      <c r="BG6" s="177"/>
      <c r="BH6" s="538">
        <f t="shared" si="34"/>
        <v>1.3329555555555552E-4</v>
      </c>
      <c r="BI6" s="538">
        <f t="shared" si="35"/>
        <v>3.2105365853658547E-3</v>
      </c>
      <c r="BJ6" s="538">
        <f t="shared" si="36"/>
        <v>1.1302795954788818E-3</v>
      </c>
      <c r="BK6" s="538">
        <f t="shared" si="37"/>
        <v>6.1031517430101137E-3</v>
      </c>
      <c r="BL6">
        <f t="shared" si="38"/>
        <v>6.96E-3</v>
      </c>
      <c r="BM6">
        <f t="shared" si="39"/>
        <v>4.295062462819751E-6</v>
      </c>
      <c r="BN6">
        <f t="shared" si="40"/>
        <v>1.7559985295118392E-2</v>
      </c>
      <c r="BO6" s="469">
        <f t="shared" ref="BO6:BO69" si="58">BN6*1000</f>
        <v>17.559985295118391</v>
      </c>
      <c r="BP6" s="177">
        <f t="shared" si="41"/>
        <v>7.1944827377777784E-2</v>
      </c>
      <c r="BQ6" s="177">
        <f t="shared" si="42"/>
        <v>3.4889930951111114E-3</v>
      </c>
      <c r="BR6" s="538"/>
      <c r="BT6" s="469">
        <f t="shared" ref="BT6:BT69" si="59">SUM(BP6:BS6)*1000</f>
        <v>75.433820472888897</v>
      </c>
      <c r="BU6" s="538">
        <f t="shared" si="43"/>
        <v>1.2117777777777774E-4</v>
      </c>
      <c r="BV6" s="538">
        <f t="shared" ref="BV6:BV68" si="60">Rdcr_sec*BE6^2</f>
        <v>2.6750586666666663E-2</v>
      </c>
      <c r="BW6" s="538">
        <f t="shared" si="44"/>
        <v>1.7833724444444447E-3</v>
      </c>
      <c r="BX6" s="538">
        <f t="shared" si="45"/>
        <v>0</v>
      </c>
      <c r="BY6" s="538">
        <f t="shared" si="46"/>
        <v>3.2167494432061412E-2</v>
      </c>
      <c r="BZ6" s="538">
        <f t="shared" ref="BZ6:BZ69" si="61">SUM(BU6:BX6)</f>
        <v>2.8655136888888884E-2</v>
      </c>
      <c r="CA6" s="641">
        <f t="shared" si="47"/>
        <v>7.6000000000000015E-4</v>
      </c>
      <c r="CB6" s="469">
        <f t="shared" ref="CB6:CB69" si="62">(BY6+CA6)*1000</f>
        <v>32.927494432061408</v>
      </c>
      <c r="CC6" s="177">
        <f t="shared" ref="CC6:CC69" si="63">SUM(BN6,BP6:BS6,BY6, CA6)</f>
        <v>0.1259213002000687</v>
      </c>
      <c r="CD6" s="5">
        <f t="shared" ref="CD6:CD69" si="64">MIN(H6+I6,O6+P6)</f>
        <v>6.0000000000000005E-2</v>
      </c>
      <c r="CE6" s="177">
        <f t="shared" ref="CE6:CE69" si="65">CD6/(CD6+CC6)</f>
        <v>0.32271719235738133</v>
      </c>
      <c r="CF6" s="5">
        <f t="shared" ref="CF6:CF69" si="66">CE6*100</f>
        <v>32.271719235738132</v>
      </c>
      <c r="CG6">
        <f t="shared" ref="CG6:CG37" si="67">F6/Iout*100</f>
        <v>1</v>
      </c>
      <c r="CI6" s="571">
        <f t="shared" si="48"/>
        <v>-50</v>
      </c>
      <c r="CJ6">
        <f t="shared" si="49"/>
        <v>-50</v>
      </c>
    </row>
    <row r="7" spans="2:88" x14ac:dyDescent="0.2">
      <c r="E7" s="174">
        <v>2</v>
      </c>
      <c r="F7" s="221">
        <f>IF(PLOT_TYPE=1, E7/100*Iout, min_I*EXP(O7*rr/100))</f>
        <v>0.02</v>
      </c>
      <c r="G7" s="221">
        <f t="shared" si="50"/>
        <v>4.0000000000000001E-3</v>
      </c>
      <c r="H7" s="221">
        <f t="shared" si="0"/>
        <v>0.1</v>
      </c>
      <c r="I7" s="221">
        <f>G7*Vout2</f>
        <v>0.02</v>
      </c>
      <c r="J7" s="551">
        <f t="shared" si="1"/>
        <v>24</v>
      </c>
      <c r="K7" s="451">
        <f t="shared" si="2"/>
        <v>10.64</v>
      </c>
      <c r="L7" s="451">
        <f t="shared" si="3"/>
        <v>34.64</v>
      </c>
      <c r="M7" s="451"/>
      <c r="N7" s="221">
        <f t="shared" si="4"/>
        <v>0.30715935334872979</v>
      </c>
      <c r="O7" s="176">
        <f t="shared" si="51"/>
        <v>11.334180138568129</v>
      </c>
      <c r="P7" s="176">
        <f t="shared" si="5"/>
        <v>2.7202032332563508</v>
      </c>
      <c r="Q7" s="221">
        <f t="shared" si="6"/>
        <v>2.2668360277136257</v>
      </c>
      <c r="R7" s="221">
        <f t="shared" si="7"/>
        <v>2.2668360277136257</v>
      </c>
      <c r="S7" s="451">
        <f t="shared" si="8"/>
        <v>5</v>
      </c>
      <c r="T7" s="221">
        <f t="shared" si="9"/>
        <v>3.6173767752715122E-2</v>
      </c>
      <c r="U7" s="221">
        <f t="shared" si="10"/>
        <v>1.0550682261208578E-2</v>
      </c>
      <c r="V7" s="221">
        <f t="shared" si="11"/>
        <v>2.3798531416259948E-2</v>
      </c>
      <c r="W7" s="201">
        <f t="shared" si="12"/>
        <v>350</v>
      </c>
      <c r="X7" s="451">
        <f t="shared" si="52"/>
        <v>350</v>
      </c>
      <c r="Z7" s="221">
        <f t="shared" si="13"/>
        <v>3.0089079511712309</v>
      </c>
      <c r="AA7" s="177">
        <f t="shared" si="14"/>
        <v>1.9795447047179149</v>
      </c>
      <c r="AB7" s="177">
        <f t="shared" si="15"/>
        <v>2.0846937306036244</v>
      </c>
      <c r="AC7" s="177"/>
      <c r="AD7" s="177">
        <f t="shared" si="16"/>
        <v>0.53947368421052622</v>
      </c>
      <c r="AE7" s="555">
        <f t="shared" si="17"/>
        <v>45.211183819155274</v>
      </c>
      <c r="AF7" s="538">
        <f t="shared" si="18"/>
        <v>0.15482894736842101</v>
      </c>
      <c r="AH7" s="177">
        <f t="shared" si="19"/>
        <v>0.31298431857438064</v>
      </c>
      <c r="AI7" s="177">
        <f t="shared" si="20"/>
        <v>0.82</v>
      </c>
      <c r="AJ7" s="177">
        <f t="shared" si="21"/>
        <v>1.0258349621823744</v>
      </c>
      <c r="AL7" s="555">
        <f t="shared" si="22"/>
        <v>20</v>
      </c>
      <c r="AM7" s="469">
        <f t="shared" si="23"/>
        <v>45.211183819155274</v>
      </c>
      <c r="AO7">
        <f t="shared" si="53"/>
        <v>20</v>
      </c>
      <c r="AP7" s="469">
        <f t="shared" si="24"/>
        <v>45.211183819155274</v>
      </c>
      <c r="AQ7" s="469"/>
      <c r="AR7" s="5">
        <f t="shared" si="54"/>
        <v>22.118421052631575</v>
      </c>
      <c r="AS7" s="5">
        <f t="shared" si="25"/>
        <v>0.23916666666666661</v>
      </c>
      <c r="AT7" s="5">
        <f t="shared" si="55"/>
        <v>21.879254385964909</v>
      </c>
      <c r="AU7" s="177">
        <f t="shared" si="56"/>
        <v>1.0813008130081301E-2</v>
      </c>
      <c r="AW7" s="5">
        <f t="shared" si="26"/>
        <v>12.458288888888889</v>
      </c>
      <c r="AX7" s="5">
        <f t="shared" si="27"/>
        <v>6.2491657777777779E-2</v>
      </c>
      <c r="AY7" s="5">
        <f t="shared" si="28"/>
        <v>0.49833155555555569</v>
      </c>
      <c r="AZ7" s="5">
        <f t="shared" si="29"/>
        <v>8.4530286868686865E-3</v>
      </c>
      <c r="BA7" s="5">
        <f t="shared" si="30"/>
        <v>0.10129284437946717</v>
      </c>
      <c r="BB7" s="469">
        <f t="shared" si="31"/>
        <v>12.171807992202728</v>
      </c>
      <c r="BC7" s="5"/>
      <c r="BD7" s="177">
        <f t="shared" si="57"/>
        <v>4.9229620713098686E-2</v>
      </c>
      <c r="BE7" s="177">
        <f t="shared" si="32"/>
        <v>0.94172135534409063</v>
      </c>
      <c r="BF7" s="177">
        <f t="shared" si="33"/>
        <v>0.18834427106881813</v>
      </c>
      <c r="BG7" s="177"/>
      <c r="BH7" s="538">
        <f t="shared" si="34"/>
        <v>2.6659111111111108E-4</v>
      </c>
      <c r="BI7" s="538">
        <f t="shared" si="35"/>
        <v>6.4210731707317094E-3</v>
      </c>
      <c r="BJ7" s="538">
        <f t="shared" si="36"/>
        <v>2.2605591909577636E-3</v>
      </c>
      <c r="BK7" s="538">
        <f t="shared" si="37"/>
        <v>1.2206303486020227E-2</v>
      </c>
      <c r="BL7">
        <f t="shared" si="38"/>
        <v>6.96E-3</v>
      </c>
      <c r="BM7">
        <f t="shared" si="39"/>
        <v>8.5901249256395021E-6</v>
      </c>
      <c r="BN7">
        <f t="shared" si="40"/>
        <v>2.8160491987394974E-2</v>
      </c>
      <c r="BO7" s="469">
        <f t="shared" si="58"/>
        <v>28.160491987394973</v>
      </c>
      <c r="BP7" s="177">
        <f t="shared" si="41"/>
        <v>7.5394508088888881E-2</v>
      </c>
      <c r="BQ7" s="177">
        <f t="shared" si="42"/>
        <v>4.238180323555555E-3</v>
      </c>
      <c r="BR7" s="538"/>
      <c r="BT7" s="469">
        <f t="shared" si="59"/>
        <v>79.632688412444438</v>
      </c>
      <c r="BU7" s="538">
        <f t="shared" si="43"/>
        <v>2.4235555555555553E-4</v>
      </c>
      <c r="BV7" s="538">
        <f t="shared" si="60"/>
        <v>2.6605173333333329E-2</v>
      </c>
      <c r="BW7" s="538">
        <f t="shared" si="44"/>
        <v>1.7736782222222221E-3</v>
      </c>
      <c r="BX7" s="538">
        <f t="shared" si="45"/>
        <v>0</v>
      </c>
      <c r="BY7" s="538">
        <f t="shared" si="46"/>
        <v>3.2129318354441341E-2</v>
      </c>
      <c r="BZ7" s="538">
        <f t="shared" si="61"/>
        <v>2.8621207111111106E-2</v>
      </c>
      <c r="CA7" s="641">
        <f t="shared" si="47"/>
        <v>1.5200000000000003E-3</v>
      </c>
      <c r="CB7" s="469">
        <f t="shared" si="62"/>
        <v>33.649318354441341</v>
      </c>
      <c r="CC7" s="177">
        <f t="shared" si="63"/>
        <v>0.14144249875428075</v>
      </c>
      <c r="CD7" s="5">
        <f t="shared" si="64"/>
        <v>0.12000000000000001</v>
      </c>
      <c r="CE7" s="177">
        <f t="shared" si="65"/>
        <v>0.45899194114107345</v>
      </c>
      <c r="CF7" s="5">
        <f t="shared" si="66"/>
        <v>45.899194114107345</v>
      </c>
      <c r="CG7">
        <f t="shared" si="67"/>
        <v>2</v>
      </c>
      <c r="CI7" s="571">
        <f t="shared" si="48"/>
        <v>-50</v>
      </c>
      <c r="CJ7">
        <f t="shared" si="49"/>
        <v>-50</v>
      </c>
    </row>
    <row r="8" spans="2:88" x14ac:dyDescent="0.2">
      <c r="E8" s="174">
        <v>3</v>
      </c>
      <c r="F8" s="221">
        <f t="shared" ref="F8:F39" si="68">IF(PLOT_TYPE=1, E8/100*Iout_max, min_I*EXP(O8*rr/100))</f>
        <v>0.03</v>
      </c>
      <c r="G8" s="221">
        <f t="shared" si="50"/>
        <v>6.0000000000000001E-3</v>
      </c>
      <c r="H8" s="221">
        <f t="shared" si="0"/>
        <v>0.15</v>
      </c>
      <c r="I8" s="221">
        <f t="shared" ref="I8:I39" si="69">Vout2*G8</f>
        <v>0.03</v>
      </c>
      <c r="J8" s="551">
        <f t="shared" si="1"/>
        <v>24</v>
      </c>
      <c r="K8" s="451">
        <f t="shared" si="2"/>
        <v>10.64</v>
      </c>
      <c r="L8" s="451">
        <f t="shared" si="3"/>
        <v>34.64</v>
      </c>
      <c r="M8" s="451"/>
      <c r="N8" s="221">
        <f t="shared" si="4"/>
        <v>0.30715935334872979</v>
      </c>
      <c r="O8" s="176">
        <f t="shared" si="51"/>
        <v>11.334180138568129</v>
      </c>
      <c r="P8" s="176">
        <f t="shared" si="5"/>
        <v>2.7202032332563508</v>
      </c>
      <c r="Q8" s="221">
        <f t="shared" si="6"/>
        <v>2.2668360277136257</v>
      </c>
      <c r="R8" s="221">
        <f t="shared" si="7"/>
        <v>2.2668360277136257</v>
      </c>
      <c r="S8" s="451">
        <f t="shared" si="8"/>
        <v>5</v>
      </c>
      <c r="T8" s="221">
        <f t="shared" si="9"/>
        <v>5.4260651629072676E-2</v>
      </c>
      <c r="U8" s="221">
        <f t="shared" si="10"/>
        <v>1.5826023391812865E-2</v>
      </c>
      <c r="V8" s="221">
        <f t="shared" si="11"/>
        <v>3.5697797124389918E-2</v>
      </c>
      <c r="W8" s="201">
        <f t="shared" si="12"/>
        <v>350</v>
      </c>
      <c r="X8" s="451">
        <f t="shared" si="52"/>
        <v>350</v>
      </c>
      <c r="Z8" s="221">
        <f t="shared" si="13"/>
        <v>3.0089079511712309</v>
      </c>
      <c r="AA8" s="177">
        <f t="shared" si="14"/>
        <v>1.9795447047179149</v>
      </c>
      <c r="AB8" s="177">
        <f t="shared" si="15"/>
        <v>2.0846937306036244</v>
      </c>
      <c r="AC8" s="177"/>
      <c r="AD8" s="177">
        <f t="shared" si="16"/>
        <v>0.53947368421052622</v>
      </c>
      <c r="AE8" s="555">
        <f t="shared" si="17"/>
        <v>67.816775728732907</v>
      </c>
      <c r="AF8" s="538">
        <f t="shared" si="18"/>
        <v>0.15482894736842101</v>
      </c>
      <c r="AH8" s="177">
        <f t="shared" si="19"/>
        <v>0.38332593899996392</v>
      </c>
      <c r="AI8" s="177">
        <f t="shared" si="20"/>
        <v>0.82</v>
      </c>
      <c r="AJ8" s="177">
        <f t="shared" si="21"/>
        <v>1.0387524432735618</v>
      </c>
      <c r="AL8" s="555">
        <f t="shared" si="22"/>
        <v>30</v>
      </c>
      <c r="AM8" s="469">
        <f t="shared" si="23"/>
        <v>67.816775728732907</v>
      </c>
      <c r="AO8">
        <f t="shared" si="53"/>
        <v>30</v>
      </c>
      <c r="AP8" s="469">
        <f t="shared" si="24"/>
        <v>67.816775728732907</v>
      </c>
      <c r="AQ8" s="469"/>
      <c r="AR8" s="5">
        <f t="shared" si="54"/>
        <v>14.745614035087716</v>
      </c>
      <c r="AS8" s="5">
        <f t="shared" si="25"/>
        <v>0.23916666666666661</v>
      </c>
      <c r="AT8" s="5">
        <f t="shared" si="55"/>
        <v>14.50644736842105</v>
      </c>
      <c r="AU8" s="177">
        <f t="shared" si="56"/>
        <v>1.6219512195121952E-2</v>
      </c>
      <c r="AW8" s="5">
        <f t="shared" si="26"/>
        <v>12.458288888888889</v>
      </c>
      <c r="AX8" s="5">
        <f t="shared" si="27"/>
        <v>9.560623E-2</v>
      </c>
      <c r="AY8" s="5">
        <f t="shared" si="28"/>
        <v>0.49833155555555569</v>
      </c>
      <c r="AZ8" s="5">
        <f t="shared" si="29"/>
        <v>1.3019314545454545E-2</v>
      </c>
      <c r="BA8" s="5">
        <f t="shared" si="30"/>
        <v>0.10073921783625728</v>
      </c>
      <c r="BB8" s="469">
        <f t="shared" si="31"/>
        <v>12.113706140350875</v>
      </c>
      <c r="BC8" s="5"/>
      <c r="BD8" s="177">
        <f t="shared" si="57"/>
        <v>6.0293725488920757E-2</v>
      </c>
      <c r="BE8" s="177">
        <f t="shared" si="32"/>
        <v>0.93914429136315358</v>
      </c>
      <c r="BF8" s="177">
        <f t="shared" si="33"/>
        <v>0.18782885827263074</v>
      </c>
      <c r="BG8" s="177"/>
      <c r="BH8" s="538">
        <f t="shared" si="34"/>
        <v>3.9988666666666655E-4</v>
      </c>
      <c r="BI8" s="538">
        <f t="shared" si="35"/>
        <v>9.6316097560975623E-3</v>
      </c>
      <c r="BJ8" s="538">
        <f t="shared" si="36"/>
        <v>3.3908387864366452E-3</v>
      </c>
      <c r="BK8" s="538">
        <f t="shared" si="37"/>
        <v>1.8309455229030342E-2</v>
      </c>
      <c r="BL8">
        <f t="shared" si="38"/>
        <v>6.96E-3</v>
      </c>
      <c r="BM8">
        <f t="shared" si="39"/>
        <v>1.2885187388459253E-5</v>
      </c>
      <c r="BN8">
        <f t="shared" si="40"/>
        <v>3.876152011530079E-2</v>
      </c>
      <c r="BO8" s="469">
        <f t="shared" si="58"/>
        <v>38.76152011530079</v>
      </c>
      <c r="BP8" s="177">
        <f t="shared" si="41"/>
        <v>7.8844188799999992E-2</v>
      </c>
      <c r="BQ8" s="177">
        <f t="shared" si="42"/>
        <v>4.9873675520000016E-3</v>
      </c>
      <c r="BR8" s="538"/>
      <c r="BT8" s="469">
        <f t="shared" si="59"/>
        <v>83.831556352000007</v>
      </c>
      <c r="BU8" s="538">
        <f t="shared" si="43"/>
        <v>3.6353333333333324E-4</v>
      </c>
      <c r="BV8" s="538">
        <f t="shared" si="60"/>
        <v>2.6459759999999995E-2</v>
      </c>
      <c r="BW8" s="538">
        <f t="shared" si="44"/>
        <v>1.7639840000000006E-3</v>
      </c>
      <c r="BX8" s="538">
        <f t="shared" si="45"/>
        <v>0</v>
      </c>
      <c r="BY8" s="538">
        <f t="shared" si="46"/>
        <v>3.2091142484545268E-2</v>
      </c>
      <c r="BZ8" s="538">
        <f t="shared" si="61"/>
        <v>2.8587277333333327E-2</v>
      </c>
      <c r="CA8" s="641">
        <f t="shared" si="47"/>
        <v>2.2800000000000003E-3</v>
      </c>
      <c r="CB8" s="469">
        <f t="shared" si="62"/>
        <v>34.371142484545267</v>
      </c>
      <c r="CC8" s="177">
        <f t="shared" si="63"/>
        <v>0.15696421895184606</v>
      </c>
      <c r="CD8" s="5">
        <f t="shared" si="64"/>
        <v>0.18</v>
      </c>
      <c r="CE8" s="177">
        <f t="shared" si="65"/>
        <v>0.53418134590047661</v>
      </c>
      <c r="CF8" s="5">
        <f t="shared" si="66"/>
        <v>53.418134590047664</v>
      </c>
      <c r="CG8">
        <f t="shared" si="67"/>
        <v>3</v>
      </c>
      <c r="CI8" s="571">
        <f t="shared" si="48"/>
        <v>-50</v>
      </c>
      <c r="CJ8">
        <f t="shared" si="49"/>
        <v>-50</v>
      </c>
    </row>
    <row r="9" spans="2:88" x14ac:dyDescent="0.2">
      <c r="E9" s="174">
        <v>4</v>
      </c>
      <c r="F9" s="221">
        <f t="shared" si="68"/>
        <v>0.04</v>
      </c>
      <c r="G9" s="221">
        <f t="shared" si="50"/>
        <v>8.0000000000000002E-3</v>
      </c>
      <c r="H9" s="221">
        <f t="shared" si="0"/>
        <v>0.2</v>
      </c>
      <c r="I9" s="221">
        <f t="shared" si="69"/>
        <v>0.04</v>
      </c>
      <c r="J9" s="551">
        <f t="shared" si="1"/>
        <v>24</v>
      </c>
      <c r="K9" s="451">
        <f t="shared" si="2"/>
        <v>10.64</v>
      </c>
      <c r="L9" s="451">
        <f t="shared" si="3"/>
        <v>34.64</v>
      </c>
      <c r="M9" s="451"/>
      <c r="N9" s="221">
        <f t="shared" si="4"/>
        <v>0.30715935334872979</v>
      </c>
      <c r="O9" s="176">
        <f t="shared" si="51"/>
        <v>11.334180138568129</v>
      </c>
      <c r="P9" s="176">
        <f t="shared" si="5"/>
        <v>2.7202032332563508</v>
      </c>
      <c r="Q9" s="221">
        <f t="shared" si="6"/>
        <v>2.2668360277136257</v>
      </c>
      <c r="R9" s="221">
        <f t="shared" si="7"/>
        <v>2.2668360277136257</v>
      </c>
      <c r="S9" s="451">
        <f t="shared" si="8"/>
        <v>5</v>
      </c>
      <c r="T9" s="221">
        <f t="shared" si="9"/>
        <v>7.2347535505430244E-2</v>
      </c>
      <c r="U9" s="221">
        <f t="shared" si="10"/>
        <v>2.1101364522417156E-2</v>
      </c>
      <c r="V9" s="221">
        <f t="shared" si="11"/>
        <v>4.7597062832519896E-2</v>
      </c>
      <c r="W9" s="201">
        <f t="shared" si="12"/>
        <v>350</v>
      </c>
      <c r="X9" s="451">
        <f t="shared" si="52"/>
        <v>350</v>
      </c>
      <c r="Z9" s="221">
        <f t="shared" si="13"/>
        <v>3.0089079511712309</v>
      </c>
      <c r="AA9" s="177">
        <f t="shared" si="14"/>
        <v>1.9795447047179149</v>
      </c>
      <c r="AB9" s="177">
        <f t="shared" si="15"/>
        <v>2.0846937306036244</v>
      </c>
      <c r="AC9" s="177"/>
      <c r="AD9" s="177">
        <f t="shared" si="16"/>
        <v>0.53947368421052622</v>
      </c>
      <c r="AE9" s="555">
        <f t="shared" si="17"/>
        <v>90.422367638310547</v>
      </c>
      <c r="AF9" s="538">
        <f t="shared" si="18"/>
        <v>0.15482894736842101</v>
      </c>
      <c r="AH9" s="177">
        <f t="shared" si="19"/>
        <v>0.44262666813799051</v>
      </c>
      <c r="AI9" s="177">
        <f t="shared" si="20"/>
        <v>0.82</v>
      </c>
      <c r="AJ9" s="177">
        <f t="shared" si="21"/>
        <v>1.0516699243647489</v>
      </c>
      <c r="AL9" s="555">
        <f t="shared" si="22"/>
        <v>40</v>
      </c>
      <c r="AM9" s="469">
        <f t="shared" si="23"/>
        <v>90.422367638310547</v>
      </c>
      <c r="AO9">
        <f t="shared" si="53"/>
        <v>40</v>
      </c>
      <c r="AP9" s="469">
        <f t="shared" si="24"/>
        <v>90.422367638310547</v>
      </c>
      <c r="AQ9" s="469"/>
      <c r="AR9" s="5">
        <f t="shared" si="54"/>
        <v>11.059210526315788</v>
      </c>
      <c r="AS9" s="5">
        <f t="shared" si="25"/>
        <v>0.23916666666666661</v>
      </c>
      <c r="AT9" s="5">
        <f t="shared" si="55"/>
        <v>10.820043859649122</v>
      </c>
      <c r="AU9" s="177">
        <f t="shared" si="56"/>
        <v>2.1626016260162601E-2</v>
      </c>
      <c r="AW9" s="5">
        <f t="shared" si="26"/>
        <v>12.458288888888889</v>
      </c>
      <c r="AX9" s="5">
        <f t="shared" si="27"/>
        <v>0.12996663111111112</v>
      </c>
      <c r="AY9" s="5">
        <f t="shared" si="28"/>
        <v>0.49833155555555569</v>
      </c>
      <c r="AZ9" s="5">
        <f t="shared" si="29"/>
        <v>1.7812114747474746E-2</v>
      </c>
      <c r="BA9" s="5">
        <f t="shared" si="30"/>
        <v>0.10018559129304741</v>
      </c>
      <c r="BB9" s="469">
        <f t="shared" si="31"/>
        <v>12.055604288499024</v>
      </c>
      <c r="BC9" s="5"/>
      <c r="BD9" s="177">
        <f t="shared" si="57"/>
        <v>6.9621197282947592E-2</v>
      </c>
      <c r="BE9" s="177">
        <f t="shared" si="32"/>
        <v>0.93656013629071833</v>
      </c>
      <c r="BF9" s="177">
        <f t="shared" si="33"/>
        <v>0.18731202725814367</v>
      </c>
      <c r="BG9" s="177"/>
      <c r="BH9" s="538">
        <f t="shared" si="34"/>
        <v>5.3318222222222206E-4</v>
      </c>
      <c r="BI9" s="538">
        <f t="shared" si="35"/>
        <v>1.2842146341463419E-2</v>
      </c>
      <c r="BJ9" s="538">
        <f t="shared" si="36"/>
        <v>4.5211183819155272E-3</v>
      </c>
      <c r="BK9" s="538">
        <f t="shared" si="37"/>
        <v>2.4412606972040455E-2</v>
      </c>
      <c r="BL9">
        <f t="shared" si="38"/>
        <v>6.96E-3</v>
      </c>
      <c r="BM9">
        <f t="shared" si="39"/>
        <v>1.7180249851279004E-5</v>
      </c>
      <c r="BN9">
        <f t="shared" si="40"/>
        <v>4.9363069717310699E-2</v>
      </c>
      <c r="BO9" s="469">
        <f t="shared" si="58"/>
        <v>49.363069717310701</v>
      </c>
      <c r="BP9" s="177">
        <f t="shared" si="41"/>
        <v>8.2293869511111117E-2</v>
      </c>
      <c r="BQ9" s="177">
        <f t="shared" si="42"/>
        <v>5.7365547804444448E-3</v>
      </c>
      <c r="BR9" s="538"/>
      <c r="BT9" s="469">
        <f t="shared" si="59"/>
        <v>88.030424291555562</v>
      </c>
      <c r="BU9" s="538">
        <f t="shared" si="43"/>
        <v>4.8471111111111095E-4</v>
      </c>
      <c r="BV9" s="538">
        <f t="shared" si="60"/>
        <v>2.6314346666666665E-2</v>
      </c>
      <c r="BW9" s="538">
        <f t="shared" si="44"/>
        <v>1.754289777777778E-3</v>
      </c>
      <c r="BX9" s="538">
        <f t="shared" si="45"/>
        <v>0</v>
      </c>
      <c r="BY9" s="538">
        <f t="shared" si="46"/>
        <v>3.2052966822371493E-2</v>
      </c>
      <c r="BZ9" s="538">
        <f t="shared" si="61"/>
        <v>2.8553347555555556E-2</v>
      </c>
      <c r="CA9" s="641">
        <f t="shared" si="47"/>
        <v>3.0400000000000006E-3</v>
      </c>
      <c r="CB9" s="469">
        <f t="shared" si="62"/>
        <v>35.092966822371494</v>
      </c>
      <c r="CC9" s="177">
        <f t="shared" si="63"/>
        <v>0.17248646083123773</v>
      </c>
      <c r="CD9" s="5">
        <f t="shared" si="64"/>
        <v>0.24000000000000002</v>
      </c>
      <c r="CE9" s="177">
        <f t="shared" si="65"/>
        <v>0.58183727901360671</v>
      </c>
      <c r="CF9" s="5">
        <f t="shared" si="66"/>
        <v>58.183727901360669</v>
      </c>
      <c r="CG9">
        <f t="shared" si="67"/>
        <v>4</v>
      </c>
      <c r="CI9" s="571">
        <f t="shared" si="48"/>
        <v>-50</v>
      </c>
      <c r="CJ9">
        <f t="shared" si="49"/>
        <v>-50</v>
      </c>
    </row>
    <row r="10" spans="2:88" x14ac:dyDescent="0.2">
      <c r="E10" s="174">
        <v>5</v>
      </c>
      <c r="F10" s="221">
        <f t="shared" si="68"/>
        <v>0.05</v>
      </c>
      <c r="G10" s="221">
        <f t="shared" si="50"/>
        <v>1.0000000000000002E-2</v>
      </c>
      <c r="H10" s="221">
        <f t="shared" si="0"/>
        <v>0.25</v>
      </c>
      <c r="I10" s="221">
        <f t="shared" si="69"/>
        <v>5.000000000000001E-2</v>
      </c>
      <c r="J10" s="551">
        <f t="shared" si="1"/>
        <v>24</v>
      </c>
      <c r="K10" s="451">
        <f t="shared" si="2"/>
        <v>10.64</v>
      </c>
      <c r="L10" s="451">
        <f t="shared" si="3"/>
        <v>34.64</v>
      </c>
      <c r="M10" s="451"/>
      <c r="N10" s="221">
        <f t="shared" si="4"/>
        <v>0.30715935334872979</v>
      </c>
      <c r="O10" s="176">
        <f t="shared" si="51"/>
        <v>11.334180138568129</v>
      </c>
      <c r="P10" s="176">
        <f t="shared" si="5"/>
        <v>2.7202032332563508</v>
      </c>
      <c r="Q10" s="221">
        <f t="shared" si="6"/>
        <v>2.2668360277136257</v>
      </c>
      <c r="R10" s="221">
        <f t="shared" si="7"/>
        <v>2.2668360277136257</v>
      </c>
      <c r="S10" s="451">
        <f t="shared" si="8"/>
        <v>5</v>
      </c>
      <c r="T10" s="221">
        <f t="shared" si="9"/>
        <v>9.0434419381787798E-2</v>
      </c>
      <c r="U10" s="221">
        <f t="shared" si="10"/>
        <v>2.6376705653021439E-2</v>
      </c>
      <c r="V10" s="221">
        <f t="shared" si="11"/>
        <v>5.9496328540649866E-2</v>
      </c>
      <c r="W10" s="201">
        <f t="shared" si="12"/>
        <v>350</v>
      </c>
      <c r="X10" s="451">
        <f t="shared" si="52"/>
        <v>350</v>
      </c>
      <c r="Z10" s="221">
        <f t="shared" si="13"/>
        <v>3.0089079511712309</v>
      </c>
      <c r="AA10" s="177">
        <f t="shared" si="14"/>
        <v>1.9795447047179149</v>
      </c>
      <c r="AB10" s="177">
        <f t="shared" si="15"/>
        <v>2.0846937306036244</v>
      </c>
      <c r="AC10" s="177"/>
      <c r="AD10" s="177">
        <f t="shared" si="16"/>
        <v>0.53947368421052622</v>
      </c>
      <c r="AE10" s="555">
        <f t="shared" si="17"/>
        <v>113.02795954788819</v>
      </c>
      <c r="AF10" s="538">
        <f t="shared" si="18"/>
        <v>0.15482894736842101</v>
      </c>
      <c r="AH10" s="177">
        <f t="shared" si="19"/>
        <v>0.49487165930539345</v>
      </c>
      <c r="AI10" s="177">
        <f t="shared" si="20"/>
        <v>0.82</v>
      </c>
      <c r="AJ10" s="177">
        <f t="shared" si="21"/>
        <v>1.0645874054559361</v>
      </c>
      <c r="AL10" s="555">
        <f t="shared" si="22"/>
        <v>50</v>
      </c>
      <c r="AM10" s="469">
        <f t="shared" si="23"/>
        <v>113.02795954788819</v>
      </c>
      <c r="AO10">
        <f t="shared" si="53"/>
        <v>50</v>
      </c>
      <c r="AP10" s="469">
        <f t="shared" si="24"/>
        <v>113.02795954788819</v>
      </c>
      <c r="AQ10" s="469"/>
      <c r="AR10" s="5">
        <f t="shared" si="54"/>
        <v>8.8473684210526304</v>
      </c>
      <c r="AS10" s="5">
        <f t="shared" si="25"/>
        <v>0.23916666666666661</v>
      </c>
      <c r="AT10" s="5">
        <f t="shared" si="55"/>
        <v>8.6082017543859646</v>
      </c>
      <c r="AU10" s="177">
        <f t="shared" si="56"/>
        <v>2.7032520325203251E-2</v>
      </c>
      <c r="AW10" s="5">
        <f t="shared" si="26"/>
        <v>12.458288888888889</v>
      </c>
      <c r="AX10" s="5">
        <f t="shared" si="27"/>
        <v>0.16557286111111114</v>
      </c>
      <c r="AY10" s="5">
        <f t="shared" si="28"/>
        <v>0.49833155555555569</v>
      </c>
      <c r="AZ10" s="5">
        <f t="shared" si="29"/>
        <v>2.2831429292929299E-2</v>
      </c>
      <c r="BA10" s="5">
        <f t="shared" si="30"/>
        <v>9.9631964749837529E-2</v>
      </c>
      <c r="BB10" s="469">
        <f t="shared" si="31"/>
        <v>11.997502436647173</v>
      </c>
      <c r="BC10" s="5"/>
      <c r="BD10" s="177">
        <f t="shared" si="57"/>
        <v>7.7838864899797244E-2</v>
      </c>
      <c r="BE10" s="177">
        <f t="shared" si="32"/>
        <v>0.93396883126674934</v>
      </c>
      <c r="BF10" s="177">
        <f t="shared" si="33"/>
        <v>0.18679376625334987</v>
      </c>
      <c r="BG10" s="177"/>
      <c r="BH10" s="538">
        <f t="shared" si="34"/>
        <v>6.6647777777777758E-4</v>
      </c>
      <c r="BI10" s="538">
        <f t="shared" si="35"/>
        <v>1.6052682926829272E-2</v>
      </c>
      <c r="BJ10" s="538">
        <f t="shared" si="36"/>
        <v>5.6513979773944092E-3</v>
      </c>
      <c r="BK10" s="538">
        <f t="shared" si="37"/>
        <v>3.0515758715050568E-2</v>
      </c>
      <c r="BL10">
        <f t="shared" si="38"/>
        <v>6.96E-3</v>
      </c>
      <c r="BM10">
        <f t="shared" si="39"/>
        <v>2.1475312314098757E-5</v>
      </c>
      <c r="BN10">
        <f t="shared" si="40"/>
        <v>5.9965140831903289E-2</v>
      </c>
      <c r="BO10" s="469">
        <f t="shared" si="58"/>
        <v>59.965140831903291</v>
      </c>
      <c r="BP10" s="177">
        <f t="shared" si="41"/>
        <v>8.5743550222222242E-2</v>
      </c>
      <c r="BQ10" s="177">
        <f t="shared" si="42"/>
        <v>6.4857420088888897E-3</v>
      </c>
      <c r="BR10" s="538"/>
      <c r="BT10" s="469">
        <f t="shared" si="59"/>
        <v>92.229292231111131</v>
      </c>
      <c r="BU10" s="538">
        <f t="shared" si="43"/>
        <v>6.0588888888888877E-4</v>
      </c>
      <c r="BV10" s="538">
        <f t="shared" si="60"/>
        <v>2.6168933333333332E-2</v>
      </c>
      <c r="BW10" s="538">
        <f t="shared" si="44"/>
        <v>1.7445955555555556E-3</v>
      </c>
      <c r="BX10" s="538">
        <f t="shared" si="45"/>
        <v>0</v>
      </c>
      <c r="BY10" s="538">
        <f t="shared" si="46"/>
        <v>3.2014791367918315E-2</v>
      </c>
      <c r="BZ10" s="538">
        <f t="shared" si="61"/>
        <v>2.8519417777777775E-2</v>
      </c>
      <c r="CA10" s="641">
        <f t="shared" si="47"/>
        <v>3.8000000000000009E-3</v>
      </c>
      <c r="CB10" s="469">
        <f t="shared" si="62"/>
        <v>35.814791367918311</v>
      </c>
      <c r="CC10" s="177">
        <f t="shared" si="63"/>
        <v>0.18800922443093274</v>
      </c>
      <c r="CD10" s="5">
        <f t="shared" si="64"/>
        <v>0.3</v>
      </c>
      <c r="CE10" s="177">
        <f t="shared" si="65"/>
        <v>0.61474247817718974</v>
      </c>
      <c r="CF10" s="5">
        <f t="shared" si="66"/>
        <v>61.474247817718975</v>
      </c>
      <c r="CG10">
        <f t="shared" si="67"/>
        <v>5</v>
      </c>
      <c r="CI10" s="571">
        <f t="shared" si="48"/>
        <v>-50</v>
      </c>
      <c r="CJ10">
        <f t="shared" si="49"/>
        <v>-50</v>
      </c>
    </row>
    <row r="11" spans="2:88" x14ac:dyDescent="0.2">
      <c r="E11" s="174">
        <v>6</v>
      </c>
      <c r="F11" s="221">
        <f t="shared" si="68"/>
        <v>0.06</v>
      </c>
      <c r="G11" s="221">
        <f t="shared" si="50"/>
        <v>1.2E-2</v>
      </c>
      <c r="H11" s="221">
        <f t="shared" si="0"/>
        <v>0.3</v>
      </c>
      <c r="I11" s="221">
        <f t="shared" si="69"/>
        <v>0.06</v>
      </c>
      <c r="J11" s="551">
        <f t="shared" si="1"/>
        <v>24</v>
      </c>
      <c r="K11" s="451">
        <f t="shared" si="2"/>
        <v>10.64</v>
      </c>
      <c r="L11" s="451">
        <f t="shared" si="3"/>
        <v>34.64</v>
      </c>
      <c r="M11" s="451"/>
      <c r="N11" s="221">
        <f t="shared" si="4"/>
        <v>0.30715935334872979</v>
      </c>
      <c r="O11" s="176">
        <f t="shared" si="51"/>
        <v>11.334180138568129</v>
      </c>
      <c r="P11" s="176">
        <f t="shared" si="5"/>
        <v>2.7202032332563508</v>
      </c>
      <c r="Q11" s="221">
        <f t="shared" si="6"/>
        <v>2.2668360277136257</v>
      </c>
      <c r="R11" s="221">
        <f t="shared" si="7"/>
        <v>2.2668360277136257</v>
      </c>
      <c r="S11" s="451">
        <f t="shared" si="8"/>
        <v>5</v>
      </c>
      <c r="T11" s="221">
        <f t="shared" si="9"/>
        <v>0.10852130325814535</v>
      </c>
      <c r="U11" s="221">
        <f t="shared" si="10"/>
        <v>3.165204678362573E-2</v>
      </c>
      <c r="V11" s="221">
        <f t="shared" si="11"/>
        <v>7.1395594248779837E-2</v>
      </c>
      <c r="W11" s="201">
        <f t="shared" si="12"/>
        <v>350</v>
      </c>
      <c r="X11" s="451">
        <f t="shared" si="52"/>
        <v>350</v>
      </c>
      <c r="Z11" s="221">
        <f t="shared" si="13"/>
        <v>3.0089079511712309</v>
      </c>
      <c r="AA11" s="177">
        <f t="shared" si="14"/>
        <v>1.9795447047179149</v>
      </c>
      <c r="AB11" s="177">
        <f t="shared" si="15"/>
        <v>2.0846937306036244</v>
      </c>
      <c r="AC11" s="177"/>
      <c r="AD11" s="177">
        <f t="shared" si="16"/>
        <v>0.53947368421052622</v>
      </c>
      <c r="AE11" s="555">
        <f t="shared" si="17"/>
        <v>135.63355145746581</v>
      </c>
      <c r="AF11" s="538">
        <f t="shared" si="18"/>
        <v>0.15482894736842101</v>
      </c>
      <c r="AH11" s="177">
        <f t="shared" si="19"/>
        <v>0.54210474174315071</v>
      </c>
      <c r="AI11" s="177">
        <f t="shared" si="20"/>
        <v>0.82</v>
      </c>
      <c r="AJ11" s="177">
        <f t="shared" si="21"/>
        <v>1.0775048865471233</v>
      </c>
      <c r="AL11" s="555">
        <f t="shared" si="22"/>
        <v>60</v>
      </c>
      <c r="AM11" s="469">
        <f t="shared" si="23"/>
        <v>135.63355145746581</v>
      </c>
      <c r="AO11">
        <f t="shared" si="53"/>
        <v>60</v>
      </c>
      <c r="AP11" s="469">
        <f t="shared" si="24"/>
        <v>135.63355145746581</v>
      </c>
      <c r="AQ11" s="469"/>
      <c r="AR11" s="5">
        <f t="shared" si="54"/>
        <v>7.3728070175438578</v>
      </c>
      <c r="AS11" s="5">
        <f t="shared" si="25"/>
        <v>0.23916666666666661</v>
      </c>
      <c r="AT11" s="5">
        <f t="shared" si="55"/>
        <v>7.1336403508771911</v>
      </c>
      <c r="AU11" s="177">
        <f t="shared" si="56"/>
        <v>3.2439024390243903E-2</v>
      </c>
      <c r="AW11" s="5">
        <f t="shared" si="26"/>
        <v>12.458288888888889</v>
      </c>
      <c r="AX11" s="5">
        <f t="shared" si="27"/>
        <v>0.20242491999999998</v>
      </c>
      <c r="AY11" s="5">
        <f t="shared" si="28"/>
        <v>0.49833155555555569</v>
      </c>
      <c r="AZ11" s="5">
        <f t="shared" si="29"/>
        <v>2.8077258181818183E-2</v>
      </c>
      <c r="BA11" s="5">
        <f t="shared" si="30"/>
        <v>9.9078338206627634E-2</v>
      </c>
      <c r="BB11" s="469">
        <f t="shared" si="31"/>
        <v>11.939400584795317</v>
      </c>
      <c r="BC11" s="5"/>
      <c r="BD11" s="177">
        <f t="shared" si="57"/>
        <v>8.5268204312432108E-2</v>
      </c>
      <c r="BE11" s="177">
        <f t="shared" si="32"/>
        <v>0.93137031661239167</v>
      </c>
      <c r="BF11" s="177">
        <f t="shared" si="33"/>
        <v>0.18627406332247834</v>
      </c>
      <c r="BG11" s="177"/>
      <c r="BH11" s="538">
        <f t="shared" si="34"/>
        <v>7.997733333333332E-4</v>
      </c>
      <c r="BI11" s="538">
        <f t="shared" si="35"/>
        <v>1.9263219512195125E-2</v>
      </c>
      <c r="BJ11" s="538">
        <f t="shared" si="36"/>
        <v>6.7816775728732903E-3</v>
      </c>
      <c r="BK11" s="538">
        <f t="shared" si="37"/>
        <v>3.6618910458060684E-2</v>
      </c>
      <c r="BL11">
        <f t="shared" si="38"/>
        <v>6.96E-3</v>
      </c>
      <c r="BM11">
        <f t="shared" si="39"/>
        <v>2.5770374776918506E-5</v>
      </c>
      <c r="BN11">
        <f t="shared" si="40"/>
        <v>7.0567733497560958E-2</v>
      </c>
      <c r="BO11" s="469">
        <f t="shared" si="58"/>
        <v>70.567733497560965</v>
      </c>
      <c r="BP11" s="177">
        <f t="shared" si="41"/>
        <v>8.919323093333334E-2</v>
      </c>
      <c r="BQ11" s="177">
        <f t="shared" si="42"/>
        <v>7.2349292373333346E-3</v>
      </c>
      <c r="BR11" s="538"/>
      <c r="BT11" s="469">
        <f t="shared" si="59"/>
        <v>96.428160170666672</v>
      </c>
      <c r="BU11" s="538">
        <f t="shared" si="43"/>
        <v>7.2706666666666659E-4</v>
      </c>
      <c r="BV11" s="538">
        <f t="shared" si="60"/>
        <v>2.6023520000000001E-2</v>
      </c>
      <c r="BW11" s="538">
        <f t="shared" si="44"/>
        <v>1.7349013333333337E-3</v>
      </c>
      <c r="BX11" s="538">
        <f t="shared" si="45"/>
        <v>0</v>
      </c>
      <c r="BY11" s="538">
        <f t="shared" si="46"/>
        <v>3.1976616121184055E-2</v>
      </c>
      <c r="BZ11" s="538">
        <f t="shared" si="61"/>
        <v>2.8485488000000003E-2</v>
      </c>
      <c r="CA11" s="641">
        <f t="shared" si="47"/>
        <v>4.5600000000000007E-3</v>
      </c>
      <c r="CB11" s="469">
        <f t="shared" si="62"/>
        <v>36.536616121184053</v>
      </c>
      <c r="CC11" s="177">
        <f t="shared" si="63"/>
        <v>0.2035325097894117</v>
      </c>
      <c r="CD11" s="5">
        <f t="shared" si="64"/>
        <v>0.36</v>
      </c>
      <c r="CE11" s="177">
        <f t="shared" si="65"/>
        <v>0.63882738572532316</v>
      </c>
      <c r="CF11" s="5">
        <f t="shared" si="66"/>
        <v>63.882738572532318</v>
      </c>
      <c r="CG11">
        <f t="shared" si="67"/>
        <v>6</v>
      </c>
      <c r="CI11" s="571">
        <f t="shared" si="48"/>
        <v>-50</v>
      </c>
      <c r="CJ11">
        <f t="shared" si="49"/>
        <v>-50</v>
      </c>
    </row>
    <row r="12" spans="2:88" x14ac:dyDescent="0.2">
      <c r="E12" s="174">
        <v>7</v>
      </c>
      <c r="F12" s="221">
        <f t="shared" si="68"/>
        <v>7.0000000000000007E-2</v>
      </c>
      <c r="G12" s="221">
        <f t="shared" si="50"/>
        <v>1.4000000000000002E-2</v>
      </c>
      <c r="H12" s="221">
        <f t="shared" si="0"/>
        <v>0.35000000000000003</v>
      </c>
      <c r="I12" s="221">
        <f t="shared" si="69"/>
        <v>7.0000000000000007E-2</v>
      </c>
      <c r="J12" s="551">
        <f t="shared" si="1"/>
        <v>24</v>
      </c>
      <c r="K12" s="451">
        <f t="shared" si="2"/>
        <v>10.64</v>
      </c>
      <c r="L12" s="451">
        <f t="shared" si="3"/>
        <v>34.64</v>
      </c>
      <c r="M12" s="451"/>
      <c r="N12" s="221">
        <f t="shared" si="4"/>
        <v>0.30715935334872979</v>
      </c>
      <c r="O12" s="176">
        <f t="shared" si="51"/>
        <v>11.334180138568129</v>
      </c>
      <c r="P12" s="176">
        <f t="shared" si="5"/>
        <v>2.7202032332563508</v>
      </c>
      <c r="Q12" s="221">
        <f t="shared" si="6"/>
        <v>2.2668360277136257</v>
      </c>
      <c r="R12" s="221">
        <f t="shared" si="7"/>
        <v>2.2668360277136257</v>
      </c>
      <c r="S12" s="451">
        <f t="shared" si="8"/>
        <v>5</v>
      </c>
      <c r="T12" s="221">
        <f t="shared" si="9"/>
        <v>0.12660818713450292</v>
      </c>
      <c r="U12" s="221">
        <f t="shared" si="10"/>
        <v>3.6927387914230024E-2</v>
      </c>
      <c r="V12" s="221">
        <f t="shared" si="11"/>
        <v>8.32948599569098E-2</v>
      </c>
      <c r="W12" s="201">
        <f t="shared" si="12"/>
        <v>350</v>
      </c>
      <c r="X12" s="451">
        <f t="shared" si="52"/>
        <v>350</v>
      </c>
      <c r="Z12" s="221">
        <f t="shared" si="13"/>
        <v>3.0089079511712309</v>
      </c>
      <c r="AA12" s="177">
        <f t="shared" si="14"/>
        <v>1.9795447047179149</v>
      </c>
      <c r="AB12" s="177">
        <f t="shared" si="15"/>
        <v>2.0846937306036244</v>
      </c>
      <c r="AC12" s="177"/>
      <c r="AD12" s="177">
        <f t="shared" si="16"/>
        <v>0.53947368421052622</v>
      </c>
      <c r="AE12" s="555">
        <f t="shared" si="17"/>
        <v>158.23914336704345</v>
      </c>
      <c r="AF12" s="538">
        <f t="shared" si="18"/>
        <v>0.15482894736842101</v>
      </c>
      <c r="AH12" s="177">
        <f t="shared" si="19"/>
        <v>0.58554004376911994</v>
      </c>
      <c r="AI12" s="177">
        <f t="shared" si="20"/>
        <v>0.82</v>
      </c>
      <c r="AJ12" s="177">
        <f t="shared" si="21"/>
        <v>1.0904223676383105</v>
      </c>
      <c r="AL12" s="555">
        <f t="shared" si="22"/>
        <v>70</v>
      </c>
      <c r="AM12" s="469">
        <f t="shared" si="23"/>
        <v>158.23914336704345</v>
      </c>
      <c r="AO12">
        <f t="shared" si="53"/>
        <v>70</v>
      </c>
      <c r="AP12" s="469">
        <f t="shared" si="24"/>
        <v>158.23914336704345</v>
      </c>
      <c r="AQ12" s="469"/>
      <c r="AR12" s="5">
        <f t="shared" si="54"/>
        <v>6.3195488721804498</v>
      </c>
      <c r="AS12" s="5">
        <f t="shared" si="25"/>
        <v>0.23916666666666661</v>
      </c>
      <c r="AT12" s="5">
        <f t="shared" si="55"/>
        <v>6.0803822055137831</v>
      </c>
      <c r="AU12" s="177">
        <f t="shared" si="56"/>
        <v>3.7845528455284549E-2</v>
      </c>
      <c r="AW12" s="5">
        <f t="shared" si="26"/>
        <v>12.458288888888889</v>
      </c>
      <c r="AX12" s="5">
        <f t="shared" si="27"/>
        <v>0.24052280777777779</v>
      </c>
      <c r="AY12" s="5">
        <f t="shared" si="28"/>
        <v>0.49833155555555569</v>
      </c>
      <c r="AZ12" s="5">
        <f t="shared" si="29"/>
        <v>3.3549601414141421E-2</v>
      </c>
      <c r="BA12" s="5">
        <f t="shared" si="30"/>
        <v>9.8524711663417766E-2</v>
      </c>
      <c r="BB12" s="469">
        <f t="shared" si="31"/>
        <v>11.881298732943469</v>
      </c>
      <c r="BC12" s="5"/>
      <c r="BD12" s="177">
        <f t="shared" si="57"/>
        <v>9.2100186994622565E-2</v>
      </c>
      <c r="BE12" s="177">
        <f t="shared" si="32"/>
        <v>0.92876453181393381</v>
      </c>
      <c r="BF12" s="177">
        <f t="shared" si="33"/>
        <v>0.18575290636278677</v>
      </c>
      <c r="BG12" s="177"/>
      <c r="BH12" s="538">
        <f t="shared" si="34"/>
        <v>9.3306888888888882E-4</v>
      </c>
      <c r="BI12" s="538">
        <f t="shared" si="35"/>
        <v>2.2473756097560978E-2</v>
      </c>
      <c r="BJ12" s="538">
        <f t="shared" si="36"/>
        <v>7.9119571683521732E-3</v>
      </c>
      <c r="BK12" s="538">
        <f t="shared" si="37"/>
        <v>4.2722062201070797E-2</v>
      </c>
      <c r="BL12">
        <f t="shared" si="38"/>
        <v>6.96E-3</v>
      </c>
      <c r="BM12">
        <f t="shared" si="39"/>
        <v>3.0065437239738259E-5</v>
      </c>
      <c r="BN12">
        <f t="shared" si="40"/>
        <v>8.1170847752769948E-2</v>
      </c>
      <c r="BO12" s="469">
        <f t="shared" si="58"/>
        <v>81.170847752769944</v>
      </c>
      <c r="BP12" s="177">
        <f t="shared" si="41"/>
        <v>9.2642911644444478E-2</v>
      </c>
      <c r="BQ12" s="177">
        <f t="shared" si="42"/>
        <v>7.9841164657777786E-3</v>
      </c>
      <c r="BR12" s="538"/>
      <c r="BT12" s="469">
        <f t="shared" si="59"/>
        <v>100.62702811022226</v>
      </c>
      <c r="BU12" s="538">
        <f t="shared" si="43"/>
        <v>8.4824444444444441E-4</v>
      </c>
      <c r="BV12" s="538">
        <f t="shared" si="60"/>
        <v>2.5878106666666668E-2</v>
      </c>
      <c r="BW12" s="538">
        <f t="shared" si="44"/>
        <v>1.7252071111111115E-3</v>
      </c>
      <c r="BX12" s="538">
        <f t="shared" si="45"/>
        <v>0</v>
      </c>
      <c r="BY12" s="538">
        <f t="shared" si="46"/>
        <v>3.1938441082167E-2</v>
      </c>
      <c r="BZ12" s="538">
        <f t="shared" si="61"/>
        <v>2.8451558222222225E-2</v>
      </c>
      <c r="CA12" s="641">
        <f t="shared" si="47"/>
        <v>5.3200000000000009E-3</v>
      </c>
      <c r="CB12" s="469">
        <f t="shared" si="62"/>
        <v>37.258441082166996</v>
      </c>
      <c r="CC12" s="177">
        <f t="shared" si="63"/>
        <v>0.21905631694515923</v>
      </c>
      <c r="CD12" s="5">
        <f t="shared" si="64"/>
        <v>0.42000000000000004</v>
      </c>
      <c r="CE12" s="177">
        <f t="shared" si="65"/>
        <v>0.65721907265966728</v>
      </c>
      <c r="CF12" s="5">
        <f t="shared" si="66"/>
        <v>65.721907265966735</v>
      </c>
      <c r="CG12">
        <f t="shared" si="67"/>
        <v>7.0000000000000009</v>
      </c>
      <c r="CI12" s="571">
        <f t="shared" si="48"/>
        <v>-50</v>
      </c>
      <c r="CJ12">
        <f t="shared" si="49"/>
        <v>-50</v>
      </c>
    </row>
    <row r="13" spans="2:88" s="77" customFormat="1" x14ac:dyDescent="0.2">
      <c r="E13" s="193">
        <v>8</v>
      </c>
      <c r="F13" s="221">
        <f t="shared" si="68"/>
        <v>0.08</v>
      </c>
      <c r="G13" s="221">
        <f t="shared" si="50"/>
        <v>1.6E-2</v>
      </c>
      <c r="H13" s="221">
        <f t="shared" si="0"/>
        <v>0.4</v>
      </c>
      <c r="I13" s="221">
        <f t="shared" si="69"/>
        <v>0.08</v>
      </c>
      <c r="J13" s="551">
        <f t="shared" si="1"/>
        <v>24</v>
      </c>
      <c r="K13" s="451">
        <f t="shared" si="2"/>
        <v>10.64</v>
      </c>
      <c r="L13" s="545">
        <f t="shared" si="3"/>
        <v>34.64</v>
      </c>
      <c r="M13" s="545"/>
      <c r="N13" s="333">
        <f t="shared" si="4"/>
        <v>0.30715935334872979</v>
      </c>
      <c r="O13" s="176">
        <f t="shared" si="51"/>
        <v>11.334180138568129</v>
      </c>
      <c r="P13" s="176">
        <f t="shared" si="5"/>
        <v>2.7202032332563508</v>
      </c>
      <c r="Q13" s="333">
        <f t="shared" si="6"/>
        <v>2.2668360277136257</v>
      </c>
      <c r="R13" s="221">
        <f t="shared" si="7"/>
        <v>2.2668360277136257</v>
      </c>
      <c r="S13" s="451">
        <f t="shared" si="8"/>
        <v>5</v>
      </c>
      <c r="T13" s="221">
        <f t="shared" si="9"/>
        <v>0.14469507101086049</v>
      </c>
      <c r="U13" s="333">
        <f t="shared" si="10"/>
        <v>4.2202729044834311E-2</v>
      </c>
      <c r="V13" s="221">
        <f t="shared" si="11"/>
        <v>9.5194125665039792E-2</v>
      </c>
      <c r="W13" s="547">
        <f t="shared" si="12"/>
        <v>350</v>
      </c>
      <c r="X13" s="545">
        <f t="shared" si="52"/>
        <v>350</v>
      </c>
      <c r="Z13" s="333">
        <f t="shared" si="13"/>
        <v>3.0089079511712309</v>
      </c>
      <c r="AA13" s="177">
        <f t="shared" si="14"/>
        <v>1.9795447047179149</v>
      </c>
      <c r="AB13" s="177">
        <f t="shared" si="15"/>
        <v>2.0846937306036244</v>
      </c>
      <c r="AC13" s="548"/>
      <c r="AD13" s="177">
        <f t="shared" si="16"/>
        <v>0.53947368421052622</v>
      </c>
      <c r="AE13" s="555">
        <f t="shared" si="17"/>
        <v>180.84473527662109</v>
      </c>
      <c r="AF13" s="538">
        <f t="shared" si="18"/>
        <v>0.15482894736842101</v>
      </c>
      <c r="AG13"/>
      <c r="AH13" s="177">
        <f t="shared" si="19"/>
        <v>0.62596863714876128</v>
      </c>
      <c r="AI13" s="177">
        <f t="shared" si="20"/>
        <v>0.82</v>
      </c>
      <c r="AJ13" s="177">
        <f t="shared" si="21"/>
        <v>1.1033398487294979</v>
      </c>
      <c r="AL13" s="555">
        <f t="shared" si="22"/>
        <v>80</v>
      </c>
      <c r="AM13" s="469">
        <f t="shared" si="23"/>
        <v>180.84473527662109</v>
      </c>
      <c r="AO13">
        <f t="shared" si="53"/>
        <v>80</v>
      </c>
      <c r="AP13" s="469">
        <f t="shared" si="24"/>
        <v>180.84473527662109</v>
      </c>
      <c r="AQ13" s="469"/>
      <c r="AR13" s="5">
        <f t="shared" si="54"/>
        <v>5.5296052631578938</v>
      </c>
      <c r="AS13" s="5">
        <f t="shared" si="25"/>
        <v>0.23916666666666661</v>
      </c>
      <c r="AT13" s="5">
        <f t="shared" si="55"/>
        <v>5.2904385964912271</v>
      </c>
      <c r="AU13" s="177">
        <f t="shared" si="56"/>
        <v>4.3252032520325202E-2</v>
      </c>
      <c r="AW13" s="5">
        <f t="shared" si="26"/>
        <v>12.458288888888889</v>
      </c>
      <c r="AX13" s="5">
        <f t="shared" si="27"/>
        <v>0.27986652444444443</v>
      </c>
      <c r="AY13" s="5">
        <f t="shared" si="28"/>
        <v>0.49833155555555569</v>
      </c>
      <c r="AZ13" s="5">
        <f t="shared" si="29"/>
        <v>3.9248458989898989E-2</v>
      </c>
      <c r="BA13" s="5">
        <f t="shared" si="30"/>
        <v>9.7971085120207899E-2</v>
      </c>
      <c r="BB13" s="469">
        <f t="shared" si="31"/>
        <v>11.823196881091615</v>
      </c>
      <c r="BC13" s="5"/>
      <c r="BD13" s="177">
        <f t="shared" si="57"/>
        <v>9.8459241426197372E-2</v>
      </c>
      <c r="BE13" s="177">
        <f t="shared" si="32"/>
        <v>0.92615141550636548</v>
      </c>
      <c r="BF13" s="177">
        <f t="shared" si="33"/>
        <v>0.1852302831012731</v>
      </c>
      <c r="BG13" s="177"/>
      <c r="BH13" s="538">
        <f t="shared" si="34"/>
        <v>1.0663644444444443E-3</v>
      </c>
      <c r="BI13" s="538">
        <f t="shared" si="35"/>
        <v>2.5684292682926838E-2</v>
      </c>
      <c r="BJ13" s="538">
        <f t="shared" si="36"/>
        <v>9.0422367638310543E-3</v>
      </c>
      <c r="BK13" s="538">
        <f t="shared" si="37"/>
        <v>4.882521394408091E-2</v>
      </c>
      <c r="BL13">
        <f t="shared" si="38"/>
        <v>6.96E-3</v>
      </c>
      <c r="BM13">
        <f t="shared" si="39"/>
        <v>3.4360499702558008E-5</v>
      </c>
      <c r="BN13">
        <f t="shared" si="40"/>
        <v>9.1774483636020157E-2</v>
      </c>
      <c r="BO13" s="469">
        <f t="shared" si="58"/>
        <v>91.77448363602015</v>
      </c>
      <c r="BP13" s="177">
        <f t="shared" si="41"/>
        <v>9.6092592355555562E-2</v>
      </c>
      <c r="BQ13" s="177">
        <f t="shared" si="42"/>
        <v>8.7333036942222227E-3</v>
      </c>
      <c r="BR13" s="538"/>
      <c r="BT13" s="469">
        <f t="shared" si="59"/>
        <v>104.82589604977778</v>
      </c>
      <c r="BU13" s="538">
        <f t="shared" si="43"/>
        <v>9.6942222222222213E-4</v>
      </c>
      <c r="BV13" s="538">
        <f t="shared" si="60"/>
        <v>2.5732693333333331E-2</v>
      </c>
      <c r="BW13" s="538">
        <f t="shared" si="44"/>
        <v>1.7155128888888889E-3</v>
      </c>
      <c r="BX13" s="538">
        <f t="shared" si="45"/>
        <v>0</v>
      </c>
      <c r="BY13" s="538">
        <f t="shared" si="46"/>
        <v>3.1900266250865457E-2</v>
      </c>
      <c r="BZ13" s="538">
        <f t="shared" si="61"/>
        <v>2.841762844444444E-2</v>
      </c>
      <c r="CA13" s="641">
        <f t="shared" si="47"/>
        <v>6.0800000000000012E-3</v>
      </c>
      <c r="CB13" s="469">
        <f t="shared" si="62"/>
        <v>37.980266250865462</v>
      </c>
      <c r="CC13" s="177">
        <f t="shared" si="63"/>
        <v>0.23458064593666339</v>
      </c>
      <c r="CD13" s="5">
        <f t="shared" si="64"/>
        <v>0.48000000000000004</v>
      </c>
      <c r="CE13" s="177">
        <f t="shared" si="65"/>
        <v>0.67172264282476046</v>
      </c>
      <c r="CF13" s="5">
        <f t="shared" si="66"/>
        <v>67.17226428247605</v>
      </c>
      <c r="CG13">
        <f t="shared" si="67"/>
        <v>8</v>
      </c>
      <c r="CI13" s="571">
        <f t="shared" si="48"/>
        <v>-50</v>
      </c>
      <c r="CJ13">
        <f t="shared" si="49"/>
        <v>-50</v>
      </c>
    </row>
    <row r="14" spans="2:88" x14ac:dyDescent="0.2">
      <c r="E14" s="174">
        <v>9</v>
      </c>
      <c r="F14" s="221">
        <f t="shared" si="68"/>
        <v>0.09</v>
      </c>
      <c r="G14" s="221">
        <f t="shared" si="50"/>
        <v>1.7999999999999999E-2</v>
      </c>
      <c r="H14" s="221">
        <f t="shared" si="0"/>
        <v>0.44999999999999996</v>
      </c>
      <c r="I14" s="221">
        <f t="shared" si="69"/>
        <v>0.09</v>
      </c>
      <c r="J14" s="551">
        <f t="shared" si="1"/>
        <v>24</v>
      </c>
      <c r="K14" s="451">
        <f t="shared" si="2"/>
        <v>10.64</v>
      </c>
      <c r="L14" s="451">
        <f t="shared" si="3"/>
        <v>34.64</v>
      </c>
      <c r="M14" s="451"/>
      <c r="N14" s="221">
        <f t="shared" si="4"/>
        <v>0.30715935334872979</v>
      </c>
      <c r="O14" s="176">
        <f t="shared" si="51"/>
        <v>11.334180138568129</v>
      </c>
      <c r="P14" s="176">
        <f t="shared" si="5"/>
        <v>2.7202032332563508</v>
      </c>
      <c r="Q14" s="221">
        <f t="shared" si="6"/>
        <v>2.2668360277136257</v>
      </c>
      <c r="R14" s="221">
        <f t="shared" si="7"/>
        <v>2.2668360277136257</v>
      </c>
      <c r="S14" s="451">
        <f t="shared" si="8"/>
        <v>5</v>
      </c>
      <c r="T14" s="221">
        <f t="shared" si="9"/>
        <v>0.16278195488721803</v>
      </c>
      <c r="U14" s="221">
        <f t="shared" si="10"/>
        <v>4.7478070175438591E-2</v>
      </c>
      <c r="V14" s="221">
        <f t="shared" si="11"/>
        <v>0.10709339137316974</v>
      </c>
      <c r="W14" s="201">
        <f t="shared" si="12"/>
        <v>350</v>
      </c>
      <c r="X14" s="451">
        <f t="shared" si="52"/>
        <v>350</v>
      </c>
      <c r="Z14" s="221">
        <f t="shared" si="13"/>
        <v>3.0089079511712309</v>
      </c>
      <c r="AA14" s="177">
        <f t="shared" si="14"/>
        <v>1.9795447047179149</v>
      </c>
      <c r="AB14" s="177">
        <f t="shared" si="15"/>
        <v>2.0846937306036244</v>
      </c>
      <c r="AC14" s="177"/>
      <c r="AD14" s="177">
        <f t="shared" si="16"/>
        <v>0.53947368421052622</v>
      </c>
      <c r="AE14" s="555">
        <f t="shared" si="17"/>
        <v>203.45032718619873</v>
      </c>
      <c r="AF14" s="538">
        <f t="shared" si="18"/>
        <v>0.15482894736842101</v>
      </c>
      <c r="AH14" s="177">
        <f t="shared" si="19"/>
        <v>0.66394000220698568</v>
      </c>
      <c r="AI14" s="177">
        <f t="shared" si="20"/>
        <v>0.82</v>
      </c>
      <c r="AJ14" s="177">
        <f t="shared" si="21"/>
        <v>1.116257329820685</v>
      </c>
      <c r="AL14" s="555">
        <f t="shared" si="22"/>
        <v>90</v>
      </c>
      <c r="AM14" s="469">
        <f t="shared" si="23"/>
        <v>203.45032718619873</v>
      </c>
      <c r="AO14">
        <f t="shared" si="53"/>
        <v>90</v>
      </c>
      <c r="AP14" s="469">
        <f t="shared" si="24"/>
        <v>203.45032718619873</v>
      </c>
      <c r="AQ14" s="469"/>
      <c r="AR14" s="5">
        <f t="shared" si="54"/>
        <v>4.9152046783625725</v>
      </c>
      <c r="AS14" s="5">
        <f t="shared" si="25"/>
        <v>0.23916666666666661</v>
      </c>
      <c r="AT14" s="5">
        <f t="shared" si="55"/>
        <v>4.6760380116959057</v>
      </c>
      <c r="AU14" s="177">
        <f t="shared" si="56"/>
        <v>4.8658536585365848E-2</v>
      </c>
      <c r="AW14" s="5">
        <f t="shared" si="26"/>
        <v>12.458288888888889</v>
      </c>
      <c r="AX14" s="5">
        <f t="shared" si="27"/>
        <v>0.32045606999999998</v>
      </c>
      <c r="AY14" s="5">
        <f t="shared" si="28"/>
        <v>0.49833155555555569</v>
      </c>
      <c r="AZ14" s="5">
        <f t="shared" si="29"/>
        <v>4.5173830909090905E-2</v>
      </c>
      <c r="BA14" s="5">
        <f t="shared" si="30"/>
        <v>9.7417458576998003E-2</v>
      </c>
      <c r="BB14" s="469">
        <f t="shared" si="31"/>
        <v>11.765095029239763</v>
      </c>
      <c r="BC14" s="5"/>
      <c r="BD14" s="177">
        <f t="shared" si="57"/>
        <v>0.10443179592442139</v>
      </c>
      <c r="BE14" s="177">
        <f t="shared" si="32"/>
        <v>0.92353090545651639</v>
      </c>
      <c r="BF14" s="177">
        <f t="shared" si="33"/>
        <v>0.1847061810913033</v>
      </c>
      <c r="BG14" s="177"/>
      <c r="BH14" s="538">
        <f t="shared" si="34"/>
        <v>1.1996599999999997E-3</v>
      </c>
      <c r="BI14" s="538">
        <f t="shared" si="35"/>
        <v>2.8894829268292687E-2</v>
      </c>
      <c r="BJ14" s="538">
        <f t="shared" si="36"/>
        <v>1.0172516359309935E-2</v>
      </c>
      <c r="BK14" s="538">
        <f t="shared" si="37"/>
        <v>5.492836568709103E-2</v>
      </c>
      <c r="BL14">
        <f t="shared" si="38"/>
        <v>6.96E-3</v>
      </c>
      <c r="BM14">
        <f t="shared" si="39"/>
        <v>3.8655562165377761E-5</v>
      </c>
      <c r="BN14">
        <f t="shared" si="40"/>
        <v>0.10237864118580541</v>
      </c>
      <c r="BO14" s="469">
        <f t="shared" si="58"/>
        <v>102.37864118580541</v>
      </c>
      <c r="BP14" s="177">
        <f t="shared" si="41"/>
        <v>9.9542273066666645E-2</v>
      </c>
      <c r="BQ14" s="177">
        <f t="shared" si="42"/>
        <v>9.4824909226666667E-3</v>
      </c>
      <c r="BR14" s="538"/>
      <c r="BT14" s="469">
        <f t="shared" si="59"/>
        <v>109.02476398933331</v>
      </c>
      <c r="BU14" s="538">
        <f t="shared" si="43"/>
        <v>1.0905999999999997E-3</v>
      </c>
      <c r="BV14" s="538">
        <f t="shared" si="60"/>
        <v>2.558727999999999E-2</v>
      </c>
      <c r="BW14" s="538">
        <f t="shared" si="44"/>
        <v>1.7058186666666663E-3</v>
      </c>
      <c r="BX14" s="538">
        <f t="shared" si="45"/>
        <v>0</v>
      </c>
      <c r="BY14" s="538">
        <f t="shared" si="46"/>
        <v>3.1862091627277732E-2</v>
      </c>
      <c r="BZ14" s="538">
        <f t="shared" si="61"/>
        <v>2.8383698666666658E-2</v>
      </c>
      <c r="CA14" s="641">
        <f t="shared" si="47"/>
        <v>6.8400000000000015E-3</v>
      </c>
      <c r="CB14" s="469">
        <f t="shared" si="62"/>
        <v>38.702091627277731</v>
      </c>
      <c r="CC14" s="177">
        <f t="shared" si="63"/>
        <v>0.25010549680241645</v>
      </c>
      <c r="CD14" s="5">
        <f t="shared" si="64"/>
        <v>0.53999999999999992</v>
      </c>
      <c r="CE14" s="177">
        <f t="shared" si="65"/>
        <v>0.68345303530401724</v>
      </c>
      <c r="CF14" s="5">
        <f t="shared" si="66"/>
        <v>68.345303530401722</v>
      </c>
      <c r="CG14">
        <f t="shared" si="67"/>
        <v>9</v>
      </c>
      <c r="CI14" s="571">
        <f t="shared" si="48"/>
        <v>-50</v>
      </c>
      <c r="CJ14">
        <f t="shared" si="49"/>
        <v>-50</v>
      </c>
    </row>
    <row r="15" spans="2:88" x14ac:dyDescent="0.2">
      <c r="E15" s="174">
        <v>10</v>
      </c>
      <c r="F15" s="221">
        <f t="shared" si="68"/>
        <v>0.1</v>
      </c>
      <c r="G15" s="221">
        <f t="shared" si="50"/>
        <v>2.0000000000000004E-2</v>
      </c>
      <c r="H15" s="221">
        <f t="shared" si="0"/>
        <v>0.5</v>
      </c>
      <c r="I15" s="221">
        <f t="shared" si="69"/>
        <v>0.10000000000000002</v>
      </c>
      <c r="J15" s="551">
        <f t="shared" si="1"/>
        <v>24</v>
      </c>
      <c r="K15" s="451">
        <f t="shared" si="2"/>
        <v>10.64</v>
      </c>
      <c r="L15" s="451">
        <f t="shared" si="3"/>
        <v>34.64</v>
      </c>
      <c r="M15" s="451"/>
      <c r="N15" s="221">
        <f t="shared" si="4"/>
        <v>0.30715935334872979</v>
      </c>
      <c r="O15" s="176">
        <f t="shared" si="51"/>
        <v>11.334180138568129</v>
      </c>
      <c r="P15" s="176">
        <f t="shared" si="5"/>
        <v>2.7202032332563508</v>
      </c>
      <c r="Q15" s="221">
        <f t="shared" si="6"/>
        <v>2.2668360277136257</v>
      </c>
      <c r="R15" s="221">
        <f t="shared" si="7"/>
        <v>2.2668360277136257</v>
      </c>
      <c r="S15" s="451">
        <f t="shared" si="8"/>
        <v>5</v>
      </c>
      <c r="T15" s="221">
        <f t="shared" si="9"/>
        <v>0.1808688387635756</v>
      </c>
      <c r="U15" s="221">
        <f t="shared" si="10"/>
        <v>5.2753411306042879E-2</v>
      </c>
      <c r="V15" s="221">
        <f t="shared" si="11"/>
        <v>0.11899265708129973</v>
      </c>
      <c r="W15" s="201">
        <f t="shared" si="12"/>
        <v>350</v>
      </c>
      <c r="X15" s="451">
        <f t="shared" si="52"/>
        <v>350</v>
      </c>
      <c r="Z15" s="221">
        <f t="shared" si="13"/>
        <v>3.0089079511712309</v>
      </c>
      <c r="AA15" s="177">
        <f t="shared" si="14"/>
        <v>1.9795447047179149</v>
      </c>
      <c r="AB15" s="177">
        <f t="shared" si="15"/>
        <v>2.0846937306036244</v>
      </c>
      <c r="AC15" s="177"/>
      <c r="AD15" s="177">
        <f t="shared" si="16"/>
        <v>0.53947368421052622</v>
      </c>
      <c r="AE15" s="555">
        <f t="shared" si="17"/>
        <v>226.05591909577637</v>
      </c>
      <c r="AF15" s="538">
        <f t="shared" si="18"/>
        <v>0.15482894736842101</v>
      </c>
      <c r="AH15" s="177">
        <f t="shared" si="19"/>
        <v>0.69985421222376509</v>
      </c>
      <c r="AI15" s="177">
        <f t="shared" si="20"/>
        <v>0.82</v>
      </c>
      <c r="AJ15" s="177">
        <f t="shared" si="21"/>
        <v>1.1291748109118722</v>
      </c>
      <c r="AL15" s="555">
        <f t="shared" si="22"/>
        <v>100</v>
      </c>
      <c r="AM15" s="469">
        <f t="shared" si="23"/>
        <v>226.05591909577637</v>
      </c>
      <c r="AO15">
        <f t="shared" si="53"/>
        <v>100</v>
      </c>
      <c r="AP15" s="469">
        <f t="shared" si="24"/>
        <v>226.05591909577637</v>
      </c>
      <c r="AQ15" s="469"/>
      <c r="AR15" s="5">
        <f t="shared" si="54"/>
        <v>4.4236842105263152</v>
      </c>
      <c r="AS15" s="5">
        <f t="shared" si="25"/>
        <v>0.23916666666666661</v>
      </c>
      <c r="AT15" s="5">
        <f t="shared" si="55"/>
        <v>4.1845175438596485</v>
      </c>
      <c r="AU15" s="177">
        <f t="shared" si="56"/>
        <v>5.4065040650406501E-2</v>
      </c>
      <c r="AW15" s="5">
        <f t="shared" si="26"/>
        <v>12.458288888888889</v>
      </c>
      <c r="AX15" s="5">
        <f t="shared" si="27"/>
        <v>0.3622914444444445</v>
      </c>
      <c r="AY15" s="5">
        <f t="shared" si="28"/>
        <v>0.49833155555555569</v>
      </c>
      <c r="AZ15" s="5">
        <f t="shared" si="29"/>
        <v>5.1325717171717182E-2</v>
      </c>
      <c r="BA15" s="5">
        <f t="shared" si="30"/>
        <v>9.686383203378815E-2</v>
      </c>
      <c r="BB15" s="469">
        <f t="shared" si="31"/>
        <v>11.706993177387913</v>
      </c>
      <c r="BC15" s="5"/>
      <c r="BD15" s="177">
        <f t="shared" si="57"/>
        <v>0.11008077842102033</v>
      </c>
      <c r="BE15" s="177">
        <f t="shared" si="32"/>
        <v>0.92090293854576333</v>
      </c>
      <c r="BF15" s="177">
        <f t="shared" si="33"/>
        <v>0.18418058770915269</v>
      </c>
      <c r="BG15" s="177"/>
      <c r="BH15" s="538">
        <f t="shared" si="34"/>
        <v>1.3329555555555554E-3</v>
      </c>
      <c r="BI15" s="538">
        <f t="shared" si="35"/>
        <v>3.2105365853658543E-2</v>
      </c>
      <c r="BJ15" s="538">
        <f t="shared" si="36"/>
        <v>1.1302795954788818E-2</v>
      </c>
      <c r="BK15" s="538">
        <f t="shared" si="37"/>
        <v>6.1031517430101136E-2</v>
      </c>
      <c r="BL15">
        <f t="shared" si="38"/>
        <v>6.96E-3</v>
      </c>
      <c r="BM15">
        <f t="shared" si="39"/>
        <v>4.2950624628197514E-5</v>
      </c>
      <c r="BN15">
        <f t="shared" si="40"/>
        <v>0.11298332044062319</v>
      </c>
      <c r="BO15" s="469">
        <f t="shared" si="58"/>
        <v>112.98332044062319</v>
      </c>
      <c r="BP15" s="177">
        <f t="shared" si="41"/>
        <v>0.10299195377777777</v>
      </c>
      <c r="BQ15" s="177">
        <f t="shared" si="42"/>
        <v>1.0231678151111112E-2</v>
      </c>
      <c r="BR15" s="538"/>
      <c r="BT15" s="469">
        <f t="shared" si="59"/>
        <v>113.22363192888889</v>
      </c>
      <c r="BU15" s="538">
        <f t="shared" si="43"/>
        <v>1.2117777777777778E-3</v>
      </c>
      <c r="BV15" s="538">
        <f t="shared" si="60"/>
        <v>2.5441866666666656E-2</v>
      </c>
      <c r="BW15" s="538">
        <f t="shared" si="44"/>
        <v>1.6961244444444444E-3</v>
      </c>
      <c r="BX15" s="538">
        <f t="shared" si="45"/>
        <v>0</v>
      </c>
      <c r="BY15" s="538">
        <f t="shared" si="46"/>
        <v>3.1823917211402139E-2</v>
      </c>
      <c r="BZ15" s="538">
        <f t="shared" si="61"/>
        <v>2.8349768888888877E-2</v>
      </c>
      <c r="CA15" s="641">
        <f t="shared" si="47"/>
        <v>7.6000000000000017E-3</v>
      </c>
      <c r="CB15" s="469">
        <f t="shared" si="62"/>
        <v>39.423917211402141</v>
      </c>
      <c r="CC15" s="177">
        <f t="shared" si="63"/>
        <v>0.2656308695809142</v>
      </c>
      <c r="CD15" s="5">
        <f t="shared" si="64"/>
        <v>0.6</v>
      </c>
      <c r="CE15" s="177">
        <f t="shared" si="65"/>
        <v>0.69313609424590361</v>
      </c>
      <c r="CF15" s="5">
        <f t="shared" si="66"/>
        <v>69.313609424590368</v>
      </c>
      <c r="CG15">
        <f t="shared" si="67"/>
        <v>10</v>
      </c>
      <c r="CI15" s="571">
        <f t="shared" si="48"/>
        <v>-50</v>
      </c>
      <c r="CJ15">
        <f t="shared" si="49"/>
        <v>-50</v>
      </c>
    </row>
    <row r="16" spans="2:88" x14ac:dyDescent="0.2">
      <c r="E16" s="174">
        <v>11</v>
      </c>
      <c r="F16" s="221">
        <f t="shared" si="68"/>
        <v>0.11</v>
      </c>
      <c r="G16" s="221">
        <f t="shared" si="50"/>
        <v>2.2000000000000002E-2</v>
      </c>
      <c r="H16" s="221">
        <f t="shared" si="0"/>
        <v>0.55000000000000004</v>
      </c>
      <c r="I16" s="221">
        <f t="shared" si="69"/>
        <v>0.11000000000000001</v>
      </c>
      <c r="J16" s="551">
        <f t="shared" si="1"/>
        <v>24</v>
      </c>
      <c r="K16" s="451">
        <f t="shared" si="2"/>
        <v>10.64</v>
      </c>
      <c r="L16" s="451">
        <f t="shared" si="3"/>
        <v>34.64</v>
      </c>
      <c r="M16" s="451"/>
      <c r="N16" s="221">
        <f t="shared" si="4"/>
        <v>0.30715935334872979</v>
      </c>
      <c r="O16" s="176">
        <f t="shared" si="51"/>
        <v>11.334180138568129</v>
      </c>
      <c r="P16" s="176">
        <f t="shared" si="5"/>
        <v>2.7202032332563508</v>
      </c>
      <c r="Q16" s="221">
        <f t="shared" si="6"/>
        <v>2.2668360277136257</v>
      </c>
      <c r="R16" s="221">
        <f t="shared" si="7"/>
        <v>2.2668360277136257</v>
      </c>
      <c r="S16" s="451">
        <f t="shared" si="8"/>
        <v>5</v>
      </c>
      <c r="T16" s="221">
        <f t="shared" si="9"/>
        <v>0.19895572263993316</v>
      </c>
      <c r="U16" s="221">
        <f t="shared" si="10"/>
        <v>5.8028752436647173E-2</v>
      </c>
      <c r="V16" s="221">
        <f t="shared" si="11"/>
        <v>0.13089192278942971</v>
      </c>
      <c r="W16" s="201">
        <f t="shared" si="12"/>
        <v>350</v>
      </c>
      <c r="X16" s="451">
        <f t="shared" si="52"/>
        <v>350</v>
      </c>
      <c r="Z16" s="221">
        <f t="shared" si="13"/>
        <v>3.0089079511712309</v>
      </c>
      <c r="AA16" s="177">
        <f t="shared" si="14"/>
        <v>1.9795447047179149</v>
      </c>
      <c r="AB16" s="177">
        <f t="shared" si="15"/>
        <v>2.0846937306036244</v>
      </c>
      <c r="AC16" s="177"/>
      <c r="AD16" s="177">
        <f t="shared" si="16"/>
        <v>0.53947368421052622</v>
      </c>
      <c r="AE16" s="555">
        <f t="shared" si="17"/>
        <v>248.66151100535399</v>
      </c>
      <c r="AF16" s="538">
        <f t="shared" si="18"/>
        <v>0.15482894736842101</v>
      </c>
      <c r="AH16" s="177">
        <f t="shared" si="19"/>
        <v>0.73401329020943595</v>
      </c>
      <c r="AI16" s="177">
        <f t="shared" si="20"/>
        <v>0.82</v>
      </c>
      <c r="AJ16" s="177">
        <f t="shared" si="21"/>
        <v>1.1420922920030594</v>
      </c>
      <c r="AL16" s="555">
        <f t="shared" si="22"/>
        <v>110</v>
      </c>
      <c r="AM16" s="469">
        <f t="shared" si="23"/>
        <v>248.66151100535399</v>
      </c>
      <c r="AO16">
        <f t="shared" si="53"/>
        <v>110</v>
      </c>
      <c r="AP16" s="469">
        <f t="shared" si="24"/>
        <v>248.66151100535399</v>
      </c>
      <c r="AQ16" s="469"/>
      <c r="AR16" s="5">
        <f t="shared" si="54"/>
        <v>4.0215311004784686</v>
      </c>
      <c r="AS16" s="5">
        <f t="shared" si="25"/>
        <v>0.23916666666666661</v>
      </c>
      <c r="AT16" s="5">
        <f t="shared" si="55"/>
        <v>3.7823644338118019</v>
      </c>
      <c r="AU16" s="177">
        <f t="shared" si="56"/>
        <v>5.9471544715447147E-2</v>
      </c>
      <c r="AW16" s="5">
        <f t="shared" si="26"/>
        <v>12.458288888888889</v>
      </c>
      <c r="AX16" s="5">
        <f t="shared" si="27"/>
        <v>0.40537264777777782</v>
      </c>
      <c r="AY16" s="5">
        <f t="shared" si="28"/>
        <v>0.49833155555555569</v>
      </c>
      <c r="AZ16" s="5">
        <f t="shared" si="29"/>
        <v>5.7704117777777786E-2</v>
      </c>
      <c r="BA16" s="5">
        <f t="shared" si="30"/>
        <v>9.6310205490578282E-2</v>
      </c>
      <c r="BB16" s="469">
        <f t="shared" si="31"/>
        <v>11.648891325536061</v>
      </c>
      <c r="BC16" s="5"/>
      <c r="BD16" s="177">
        <f t="shared" si="57"/>
        <v>0.115453694421424</v>
      </c>
      <c r="BE16" s="177">
        <f t="shared" si="32"/>
        <v>0.91826745075229077</v>
      </c>
      <c r="BF16" s="177">
        <f t="shared" si="33"/>
        <v>0.18365349015045818</v>
      </c>
      <c r="BG16" s="177"/>
      <c r="BH16" s="538">
        <f t="shared" si="34"/>
        <v>1.4662511111111106E-3</v>
      </c>
      <c r="BI16" s="538">
        <f t="shared" si="35"/>
        <v>3.5315902439024396E-2</v>
      </c>
      <c r="BJ16" s="538">
        <f t="shared" si="36"/>
        <v>1.2433075550267698E-2</v>
      </c>
      <c r="BK16" s="538">
        <f t="shared" si="37"/>
        <v>6.7134669173111255E-2</v>
      </c>
      <c r="BL16">
        <f t="shared" si="38"/>
        <v>6.96E-3</v>
      </c>
      <c r="BM16">
        <f t="shared" si="39"/>
        <v>4.724568709101726E-5</v>
      </c>
      <c r="BN16">
        <f t="shared" si="40"/>
        <v>0.1235885214389749</v>
      </c>
      <c r="BO16" s="469">
        <f t="shared" si="58"/>
        <v>123.58852143897491</v>
      </c>
      <c r="BP16" s="177">
        <f t="shared" si="41"/>
        <v>0.10644163448888888</v>
      </c>
      <c r="BQ16" s="177">
        <f t="shared" si="42"/>
        <v>1.0980865379555555E-2</v>
      </c>
      <c r="BR16" s="538"/>
      <c r="BT16" s="469">
        <f t="shared" si="59"/>
        <v>117.42249986844445</v>
      </c>
      <c r="BU16" s="538">
        <f t="shared" si="43"/>
        <v>1.3329555555555552E-3</v>
      </c>
      <c r="BV16" s="538">
        <f t="shared" si="60"/>
        <v>2.5296453333333323E-2</v>
      </c>
      <c r="BW16" s="538">
        <f t="shared" si="44"/>
        <v>1.6864302222222218E-3</v>
      </c>
      <c r="BX16" s="538">
        <f t="shared" si="45"/>
        <v>0</v>
      </c>
      <c r="BY16" s="538">
        <f t="shared" si="46"/>
        <v>3.1785743003236978E-2</v>
      </c>
      <c r="BZ16" s="538">
        <f t="shared" si="61"/>
        <v>2.8315839111111102E-2</v>
      </c>
      <c r="CA16" s="641">
        <f t="shared" si="47"/>
        <v>8.3600000000000011E-3</v>
      </c>
      <c r="CB16" s="469">
        <f t="shared" si="62"/>
        <v>40.14574300323698</v>
      </c>
      <c r="CC16" s="177">
        <f t="shared" si="63"/>
        <v>0.28115676431065634</v>
      </c>
      <c r="CD16" s="5">
        <f t="shared" si="64"/>
        <v>0.66</v>
      </c>
      <c r="CE16" s="177">
        <f t="shared" si="65"/>
        <v>0.7012646830237812</v>
      </c>
      <c r="CF16" s="5">
        <f t="shared" si="66"/>
        <v>70.126468302378115</v>
      </c>
      <c r="CG16">
        <f t="shared" si="67"/>
        <v>11</v>
      </c>
      <c r="CI16" s="571">
        <f t="shared" si="48"/>
        <v>-50</v>
      </c>
      <c r="CJ16">
        <f t="shared" si="49"/>
        <v>-50</v>
      </c>
    </row>
    <row r="17" spans="5:88" x14ac:dyDescent="0.2">
      <c r="E17" s="174">
        <v>12</v>
      </c>
      <c r="F17" s="221">
        <f t="shared" si="68"/>
        <v>0.12</v>
      </c>
      <c r="G17" s="221">
        <f t="shared" si="50"/>
        <v>2.4E-2</v>
      </c>
      <c r="H17" s="221">
        <f t="shared" si="0"/>
        <v>0.6</v>
      </c>
      <c r="I17" s="221">
        <f t="shared" si="69"/>
        <v>0.12</v>
      </c>
      <c r="J17" s="551">
        <f t="shared" si="1"/>
        <v>24</v>
      </c>
      <c r="K17" s="451">
        <f t="shared" si="2"/>
        <v>10.64</v>
      </c>
      <c r="L17" s="451">
        <f t="shared" si="3"/>
        <v>34.64</v>
      </c>
      <c r="M17" s="451"/>
      <c r="N17" s="221">
        <f t="shared" si="4"/>
        <v>0.30715935334872979</v>
      </c>
      <c r="O17" s="176">
        <f t="shared" si="51"/>
        <v>11.334180138568129</v>
      </c>
      <c r="P17" s="176">
        <f t="shared" si="5"/>
        <v>2.7202032332563508</v>
      </c>
      <c r="Q17" s="221">
        <f t="shared" si="6"/>
        <v>2.2668360277136257</v>
      </c>
      <c r="R17" s="221">
        <f t="shared" si="7"/>
        <v>2.2668360277136257</v>
      </c>
      <c r="S17" s="451">
        <f t="shared" si="8"/>
        <v>5</v>
      </c>
      <c r="T17" s="221">
        <f t="shared" si="9"/>
        <v>0.2170426065162907</v>
      </c>
      <c r="U17" s="221">
        <f t="shared" si="10"/>
        <v>6.330409356725146E-2</v>
      </c>
      <c r="V17" s="221">
        <f t="shared" si="11"/>
        <v>0.14279118849755967</v>
      </c>
      <c r="W17" s="201">
        <f t="shared" si="12"/>
        <v>350</v>
      </c>
      <c r="X17" s="451">
        <f t="shared" si="52"/>
        <v>350</v>
      </c>
      <c r="Z17" s="221">
        <f t="shared" si="13"/>
        <v>3.0089079511712309</v>
      </c>
      <c r="AA17" s="177">
        <f t="shared" si="14"/>
        <v>1.9795447047179149</v>
      </c>
      <c r="AB17" s="177">
        <f t="shared" si="15"/>
        <v>2.0846937306036244</v>
      </c>
      <c r="AC17" s="177"/>
      <c r="AD17" s="177">
        <f t="shared" si="16"/>
        <v>0.53947368421052622</v>
      </c>
      <c r="AE17" s="555">
        <f t="shared" si="17"/>
        <v>271.26710291493163</v>
      </c>
      <c r="AF17" s="538">
        <f t="shared" si="18"/>
        <v>0.15482894736842101</v>
      </c>
      <c r="AH17" s="177">
        <f t="shared" si="19"/>
        <v>0.76665187799992784</v>
      </c>
      <c r="AI17" s="177">
        <f t="shared" si="20"/>
        <v>0.82</v>
      </c>
      <c r="AJ17" s="177">
        <f t="shared" si="21"/>
        <v>1.1550097730942466</v>
      </c>
      <c r="AL17" s="555">
        <f t="shared" si="22"/>
        <v>120</v>
      </c>
      <c r="AM17" s="469">
        <f t="shared" si="23"/>
        <v>271.26710291493163</v>
      </c>
      <c r="AO17">
        <f t="shared" si="53"/>
        <v>120</v>
      </c>
      <c r="AP17" s="469">
        <f t="shared" si="24"/>
        <v>271.26710291493163</v>
      </c>
      <c r="AQ17" s="469"/>
      <c r="AR17" s="5">
        <f t="shared" si="54"/>
        <v>3.6864035087719289</v>
      </c>
      <c r="AS17" s="5">
        <f t="shared" si="25"/>
        <v>0.23916666666666661</v>
      </c>
      <c r="AT17" s="5">
        <f t="shared" si="55"/>
        <v>3.4472368421052622</v>
      </c>
      <c r="AU17" s="177">
        <f t="shared" si="56"/>
        <v>6.4878048780487807E-2</v>
      </c>
      <c r="AW17" s="5">
        <f t="shared" si="26"/>
        <v>12.458288888888889</v>
      </c>
      <c r="AX17" s="5">
        <f t="shared" si="27"/>
        <v>0.44969967999999999</v>
      </c>
      <c r="AY17" s="5">
        <f t="shared" si="28"/>
        <v>0.49833155555555569</v>
      </c>
      <c r="AZ17" s="5">
        <f t="shared" si="29"/>
        <v>6.430903272727273E-2</v>
      </c>
      <c r="BA17" s="5">
        <f t="shared" si="30"/>
        <v>9.5756578947368373E-2</v>
      </c>
      <c r="BB17" s="469">
        <f t="shared" si="31"/>
        <v>11.590789473684207</v>
      </c>
      <c r="BC17" s="5"/>
      <c r="BD17" s="177">
        <f t="shared" si="57"/>
        <v>0.12058745097784151</v>
      </c>
      <c r="BE17" s="177">
        <f t="shared" si="32"/>
        <v>0.91562437713289391</v>
      </c>
      <c r="BF17" s="177">
        <f t="shared" si="33"/>
        <v>0.18312487542657879</v>
      </c>
      <c r="BG17" s="177"/>
      <c r="BH17" s="538">
        <f t="shared" si="34"/>
        <v>1.5995466666666662E-3</v>
      </c>
      <c r="BI17" s="538">
        <f t="shared" si="35"/>
        <v>3.8526439024390249E-2</v>
      </c>
      <c r="BJ17" s="538">
        <f t="shared" si="36"/>
        <v>1.3563355145746581E-2</v>
      </c>
      <c r="BK17" s="538">
        <f t="shared" si="37"/>
        <v>7.3237820916121368E-2</v>
      </c>
      <c r="BL17">
        <f t="shared" si="38"/>
        <v>6.96E-3</v>
      </c>
      <c r="BM17">
        <f t="shared" si="39"/>
        <v>5.1540749553837012E-5</v>
      </c>
      <c r="BN17">
        <f t="shared" si="40"/>
        <v>0.13419424421936565</v>
      </c>
      <c r="BO17" s="469">
        <f t="shared" si="58"/>
        <v>134.19424421936566</v>
      </c>
      <c r="BP17" s="177">
        <f t="shared" si="41"/>
        <v>0.10989131520000001</v>
      </c>
      <c r="BQ17" s="177">
        <f t="shared" si="42"/>
        <v>1.1730052608000002E-2</v>
      </c>
      <c r="BR17" s="538"/>
      <c r="BT17" s="469">
        <f t="shared" si="59"/>
        <v>121.621367808</v>
      </c>
      <c r="BU17" s="538">
        <f t="shared" si="43"/>
        <v>1.454133333333333E-3</v>
      </c>
      <c r="BV17" s="538">
        <f t="shared" si="60"/>
        <v>2.5151039999999996E-2</v>
      </c>
      <c r="BW17" s="538">
        <f t="shared" si="44"/>
        <v>1.6767360000000003E-3</v>
      </c>
      <c r="BX17" s="538">
        <f t="shared" si="45"/>
        <v>0</v>
      </c>
      <c r="BY17" s="538">
        <f t="shared" si="46"/>
        <v>3.1747569002780564E-2</v>
      </c>
      <c r="BZ17" s="538">
        <f t="shared" si="61"/>
        <v>2.8281909333333331E-2</v>
      </c>
      <c r="CA17" s="641">
        <f t="shared" si="47"/>
        <v>9.1200000000000014E-3</v>
      </c>
      <c r="CB17" s="469">
        <f t="shared" si="62"/>
        <v>40.86756900278057</v>
      </c>
      <c r="CC17" s="177">
        <f t="shared" si="63"/>
        <v>0.29668318103014629</v>
      </c>
      <c r="CD17" s="5">
        <f t="shared" si="64"/>
        <v>0.72</v>
      </c>
      <c r="CE17" s="177">
        <f t="shared" si="65"/>
        <v>0.70818521780842847</v>
      </c>
      <c r="CF17" s="5">
        <f t="shared" si="66"/>
        <v>70.818521780842843</v>
      </c>
      <c r="CG17">
        <f t="shared" si="67"/>
        <v>12</v>
      </c>
      <c r="CI17" s="571">
        <f t="shared" si="48"/>
        <v>-50</v>
      </c>
      <c r="CJ17">
        <f t="shared" si="49"/>
        <v>-50</v>
      </c>
    </row>
    <row r="18" spans="5:88" x14ac:dyDescent="0.2">
      <c r="E18" s="174">
        <v>13</v>
      </c>
      <c r="F18" s="221">
        <f t="shared" si="68"/>
        <v>0.13</v>
      </c>
      <c r="G18" s="221">
        <f t="shared" si="50"/>
        <v>2.6000000000000002E-2</v>
      </c>
      <c r="H18" s="221">
        <f t="shared" si="0"/>
        <v>0.65</v>
      </c>
      <c r="I18" s="221">
        <f t="shared" si="69"/>
        <v>0.13</v>
      </c>
      <c r="J18" s="551">
        <f t="shared" si="1"/>
        <v>24</v>
      </c>
      <c r="K18" s="451">
        <f t="shared" si="2"/>
        <v>10.64</v>
      </c>
      <c r="L18" s="451">
        <f t="shared" si="3"/>
        <v>34.64</v>
      </c>
      <c r="M18" s="451"/>
      <c r="N18" s="221">
        <f t="shared" si="4"/>
        <v>0.30715935334872979</v>
      </c>
      <c r="O18" s="176">
        <f t="shared" si="51"/>
        <v>11.334180138568129</v>
      </c>
      <c r="P18" s="176">
        <f t="shared" si="5"/>
        <v>2.7202032332563508</v>
      </c>
      <c r="Q18" s="221">
        <f t="shared" si="6"/>
        <v>2.2668360277136257</v>
      </c>
      <c r="R18" s="221">
        <f t="shared" si="7"/>
        <v>2.2668360277136257</v>
      </c>
      <c r="S18" s="451">
        <f t="shared" si="8"/>
        <v>5</v>
      </c>
      <c r="T18" s="221">
        <f t="shared" si="9"/>
        <v>0.2351294903926483</v>
      </c>
      <c r="U18" s="221">
        <f t="shared" si="10"/>
        <v>6.8579434697855754E-2</v>
      </c>
      <c r="V18" s="221">
        <f t="shared" si="11"/>
        <v>0.15469045420568966</v>
      </c>
      <c r="W18" s="201">
        <f t="shared" si="12"/>
        <v>350</v>
      </c>
      <c r="X18" s="451">
        <f t="shared" si="52"/>
        <v>350</v>
      </c>
      <c r="Z18" s="221">
        <f t="shared" si="13"/>
        <v>3.0089079511712309</v>
      </c>
      <c r="AA18" s="177">
        <f t="shared" si="14"/>
        <v>1.9795447047179149</v>
      </c>
      <c r="AB18" s="177">
        <f t="shared" si="15"/>
        <v>2.0846937306036244</v>
      </c>
      <c r="AC18" s="177"/>
      <c r="AD18" s="177">
        <f t="shared" si="16"/>
        <v>0.53947368421052622</v>
      </c>
      <c r="AE18" s="555">
        <f t="shared" si="17"/>
        <v>293.87269482450927</v>
      </c>
      <c r="AF18" s="538">
        <f t="shared" si="18"/>
        <v>0.15482894736842101</v>
      </c>
      <c r="AH18" s="177">
        <f t="shared" si="19"/>
        <v>0.7979565739296538</v>
      </c>
      <c r="AI18" s="177">
        <f t="shared" si="20"/>
        <v>0.82</v>
      </c>
      <c r="AJ18" s="177">
        <f t="shared" si="21"/>
        <v>1.167927254185434</v>
      </c>
      <c r="AL18" s="555">
        <f t="shared" si="22"/>
        <v>130</v>
      </c>
      <c r="AM18" s="469">
        <f t="shared" si="23"/>
        <v>293.87269482450927</v>
      </c>
      <c r="AO18">
        <f t="shared" si="53"/>
        <v>130</v>
      </c>
      <c r="AP18" s="469">
        <f t="shared" si="24"/>
        <v>293.87269482450927</v>
      </c>
      <c r="AQ18" s="469"/>
      <c r="AR18" s="5">
        <f t="shared" si="54"/>
        <v>3.4028340080971651</v>
      </c>
      <c r="AS18" s="5">
        <f t="shared" si="25"/>
        <v>0.23916666666666661</v>
      </c>
      <c r="AT18" s="5">
        <f t="shared" si="55"/>
        <v>3.1636673414304983</v>
      </c>
      <c r="AU18" s="177">
        <f t="shared" si="56"/>
        <v>7.0284552845528453E-2</v>
      </c>
      <c r="AW18" s="5">
        <f t="shared" si="26"/>
        <v>12.458288888888889</v>
      </c>
      <c r="AX18" s="5">
        <f t="shared" si="27"/>
        <v>0.49527254111111113</v>
      </c>
      <c r="AY18" s="5">
        <f t="shared" si="28"/>
        <v>0.49833155555555569</v>
      </c>
      <c r="AZ18" s="5">
        <f t="shared" si="29"/>
        <v>7.1140462020202022E-2</v>
      </c>
      <c r="BA18" s="5">
        <f t="shared" si="30"/>
        <v>9.5202952404158506E-2</v>
      </c>
      <c r="BB18" s="469">
        <f t="shared" si="31"/>
        <v>11.532687621832356</v>
      </c>
      <c r="BC18" s="5"/>
      <c r="BD18" s="177">
        <f t="shared" si="57"/>
        <v>0.12551139833143088</v>
      </c>
      <c r="BE18" s="177">
        <f t="shared" si="32"/>
        <v>0.91297365180430523</v>
      </c>
      <c r="BF18" s="177">
        <f t="shared" si="33"/>
        <v>0.18259473036086105</v>
      </c>
      <c r="BG18" s="177"/>
      <c r="BH18" s="538">
        <f t="shared" si="34"/>
        <v>1.732842222222222E-3</v>
      </c>
      <c r="BI18" s="538">
        <f t="shared" si="35"/>
        <v>4.1736975609756102E-2</v>
      </c>
      <c r="BJ18" s="538">
        <f t="shared" si="36"/>
        <v>1.4693634741225464E-2</v>
      </c>
      <c r="BK18" s="538">
        <f t="shared" si="37"/>
        <v>7.9340972659131481E-2</v>
      </c>
      <c r="BL18">
        <f t="shared" si="38"/>
        <v>6.96E-3</v>
      </c>
      <c r="BM18">
        <f t="shared" si="39"/>
        <v>5.5835812016656765E-5</v>
      </c>
      <c r="BN18">
        <f t="shared" si="40"/>
        <v>0.14480048882030436</v>
      </c>
      <c r="BO18" s="469">
        <f t="shared" si="58"/>
        <v>144.80048882030437</v>
      </c>
      <c r="BP18" s="177">
        <f t="shared" si="41"/>
        <v>0.11334099591111112</v>
      </c>
      <c r="BQ18" s="177">
        <f t="shared" si="42"/>
        <v>1.2479239836444445E-2</v>
      </c>
      <c r="BR18" s="538"/>
      <c r="BT18" s="469">
        <f t="shared" si="59"/>
        <v>125.82023574755557</v>
      </c>
      <c r="BU18" s="538">
        <f t="shared" si="43"/>
        <v>1.575311111111111E-3</v>
      </c>
      <c r="BV18" s="538">
        <f t="shared" si="60"/>
        <v>2.5005626666666662E-2</v>
      </c>
      <c r="BW18" s="538">
        <f t="shared" si="44"/>
        <v>1.6670417777777777E-3</v>
      </c>
      <c r="BX18" s="538">
        <f t="shared" si="45"/>
        <v>0</v>
      </c>
      <c r="BY18" s="538">
        <f t="shared" si="46"/>
        <v>3.1709395210031174E-2</v>
      </c>
      <c r="BZ18" s="538">
        <f t="shared" si="61"/>
        <v>2.8247979555555549E-2</v>
      </c>
      <c r="CA18" s="641">
        <f t="shared" si="47"/>
        <v>9.8800000000000016E-3</v>
      </c>
      <c r="CB18" s="469">
        <f t="shared" si="62"/>
        <v>41.589395210031171</v>
      </c>
      <c r="CC18" s="177">
        <f t="shared" si="63"/>
        <v>0.31221011977789109</v>
      </c>
      <c r="CD18" s="5">
        <f t="shared" si="64"/>
        <v>0.78</v>
      </c>
      <c r="CE18" s="177">
        <f t="shared" si="65"/>
        <v>0.71414829974164562</v>
      </c>
      <c r="CF18" s="5">
        <f t="shared" si="66"/>
        <v>71.414829974164562</v>
      </c>
      <c r="CG18">
        <f t="shared" si="67"/>
        <v>13</v>
      </c>
      <c r="CI18" s="571">
        <f t="shared" si="48"/>
        <v>-50</v>
      </c>
      <c r="CJ18">
        <f t="shared" si="49"/>
        <v>-50</v>
      </c>
    </row>
    <row r="19" spans="5:88" x14ac:dyDescent="0.2">
      <c r="E19" s="174">
        <v>14</v>
      </c>
      <c r="F19" s="221">
        <f t="shared" si="68"/>
        <v>0.14000000000000001</v>
      </c>
      <c r="G19" s="221">
        <f t="shared" si="50"/>
        <v>2.8000000000000004E-2</v>
      </c>
      <c r="H19" s="221">
        <f t="shared" si="0"/>
        <v>0.70000000000000007</v>
      </c>
      <c r="I19" s="221">
        <f t="shared" si="69"/>
        <v>0.14000000000000001</v>
      </c>
      <c r="J19" s="551">
        <f t="shared" si="1"/>
        <v>24</v>
      </c>
      <c r="K19" s="451">
        <f t="shared" si="2"/>
        <v>10.64</v>
      </c>
      <c r="L19" s="451">
        <f t="shared" si="3"/>
        <v>34.64</v>
      </c>
      <c r="M19" s="451"/>
      <c r="N19" s="221">
        <f t="shared" si="4"/>
        <v>0.30715935334872979</v>
      </c>
      <c r="O19" s="176">
        <f t="shared" si="51"/>
        <v>11.334180138568129</v>
      </c>
      <c r="P19" s="176">
        <f t="shared" si="5"/>
        <v>2.7202032332563508</v>
      </c>
      <c r="Q19" s="221">
        <f t="shared" si="6"/>
        <v>2.2668360277136257</v>
      </c>
      <c r="R19" s="221">
        <f t="shared" si="7"/>
        <v>2.2668360277136257</v>
      </c>
      <c r="S19" s="451">
        <f t="shared" si="8"/>
        <v>5</v>
      </c>
      <c r="T19" s="221">
        <f t="shared" si="9"/>
        <v>0.25321637426900584</v>
      </c>
      <c r="U19" s="221">
        <f t="shared" si="10"/>
        <v>7.3854775828460048E-2</v>
      </c>
      <c r="V19" s="221">
        <f t="shared" si="11"/>
        <v>0.1665897199138196</v>
      </c>
      <c r="W19" s="201">
        <f t="shared" si="12"/>
        <v>350</v>
      </c>
      <c r="X19" s="451">
        <f t="shared" si="52"/>
        <v>350</v>
      </c>
      <c r="Z19" s="221">
        <f t="shared" si="13"/>
        <v>3.0089079511712309</v>
      </c>
      <c r="AA19" s="177">
        <f t="shared" si="14"/>
        <v>1.9795447047179149</v>
      </c>
      <c r="AB19" s="177">
        <f t="shared" si="15"/>
        <v>2.0846937306036244</v>
      </c>
      <c r="AC19" s="177"/>
      <c r="AD19" s="177">
        <f t="shared" si="16"/>
        <v>0.53947368421052622</v>
      </c>
      <c r="AE19" s="555">
        <f t="shared" si="17"/>
        <v>316.47828673408691</v>
      </c>
      <c r="AF19" s="538">
        <f t="shared" si="18"/>
        <v>0.15482894736842101</v>
      </c>
      <c r="AH19" s="177">
        <f t="shared" si="19"/>
        <v>0.82807867121082501</v>
      </c>
      <c r="AI19" s="177">
        <f t="shared" si="20"/>
        <v>0.82807867121082501</v>
      </c>
      <c r="AJ19" s="177">
        <f t="shared" si="21"/>
        <v>1.1808447352766211</v>
      </c>
      <c r="AL19" s="555">
        <f t="shared" si="22"/>
        <v>140</v>
      </c>
      <c r="AM19" s="469">
        <f t="shared" si="23"/>
        <v>316.47828673408691</v>
      </c>
      <c r="AO19">
        <f t="shared" si="53"/>
        <v>140</v>
      </c>
      <c r="AP19" s="469">
        <f t="shared" si="24"/>
        <v>316.47828673408691</v>
      </c>
      <c r="AQ19" s="469"/>
      <c r="AR19" s="5">
        <f t="shared" si="54"/>
        <v>3.1597744360902249</v>
      </c>
      <c r="AS19" s="5">
        <f t="shared" si="25"/>
        <v>0.241522945769824</v>
      </c>
      <c r="AT19" s="5">
        <f t="shared" si="55"/>
        <v>2.9182514903204009</v>
      </c>
      <c r="AU19" s="177">
        <f t="shared" si="56"/>
        <v>7.6436768084203688E-2</v>
      </c>
      <c r="AW19" s="5">
        <f t="shared" si="26"/>
        <v>12.458288888888889</v>
      </c>
      <c r="AX19" s="5">
        <f t="shared" si="27"/>
        <v>0.54209123111111113</v>
      </c>
      <c r="AY19" s="5">
        <f t="shared" si="28"/>
        <v>0.49833155555555569</v>
      </c>
      <c r="AZ19" s="5">
        <f t="shared" si="29"/>
        <v>7.8198405656565662E-2</v>
      </c>
      <c r="BA19" s="5">
        <f t="shared" si="30"/>
        <v>9.4572964964087042E-2</v>
      </c>
      <c r="BB19" s="469">
        <f t="shared" si="31"/>
        <v>11.465422462357115</v>
      </c>
      <c r="BC19" s="5"/>
      <c r="BD19" s="177">
        <f t="shared" si="57"/>
        <v>0.13217889875615327</v>
      </c>
      <c r="BE19" s="177">
        <f t="shared" si="32"/>
        <v>0.91891276472805428</v>
      </c>
      <c r="BF19" s="177">
        <f t="shared" si="33"/>
        <v>0.18378255294561086</v>
      </c>
      <c r="BG19" s="177"/>
      <c r="BH19" s="538">
        <f t="shared" si="34"/>
        <v>1.9218387404028358E-3</v>
      </c>
      <c r="BI19" s="538">
        <f t="shared" si="35"/>
        <v>4.5390336796059694E-2</v>
      </c>
      <c r="BJ19" s="538">
        <f t="shared" si="36"/>
        <v>1.5823914336704346E-2</v>
      </c>
      <c r="BK19" s="538">
        <f t="shared" si="37"/>
        <v>8.5444124402141594E-2</v>
      </c>
      <c r="BL19">
        <f t="shared" si="38"/>
        <v>6.96E-3</v>
      </c>
      <c r="BM19">
        <f t="shared" si="39"/>
        <v>6.0130874479476518E-5</v>
      </c>
      <c r="BN19">
        <f t="shared" si="40"/>
        <v>0.15591507763065876</v>
      </c>
      <c r="BO19" s="469">
        <f t="shared" si="58"/>
        <v>155.91507763065877</v>
      </c>
      <c r="BP19" s="177">
        <f t="shared" si="41"/>
        <v>0.11799221112536397</v>
      </c>
      <c r="BQ19" s="177">
        <f t="shared" si="42"/>
        <v>1.3276488445014559E-2</v>
      </c>
      <c r="BR19" s="538"/>
      <c r="BT19" s="469">
        <f t="shared" si="59"/>
        <v>131.26869957037854</v>
      </c>
      <c r="BU19" s="538">
        <f t="shared" si="43"/>
        <v>1.7471261276389418E-3</v>
      </c>
      <c r="BV19" s="538">
        <f t="shared" si="60"/>
        <v>2.5332020075404693E-2</v>
      </c>
      <c r="BW19" s="538">
        <f t="shared" si="44"/>
        <v>1.688801338360313E-3</v>
      </c>
      <c r="BX19" s="538">
        <f t="shared" si="45"/>
        <v>0</v>
      </c>
      <c r="BY19" s="538">
        <f t="shared" si="46"/>
        <v>3.2294424791835731E-2</v>
      </c>
      <c r="BZ19" s="538">
        <f t="shared" si="61"/>
        <v>2.8767947541403948E-2</v>
      </c>
      <c r="CA19" s="641">
        <f t="shared" si="47"/>
        <v>1.0850684116597266E-2</v>
      </c>
      <c r="CB19" s="469">
        <f t="shared" si="62"/>
        <v>43.145108908432995</v>
      </c>
      <c r="CC19" s="177">
        <f t="shared" si="63"/>
        <v>0.33032888610947031</v>
      </c>
      <c r="CD19" s="5">
        <f t="shared" si="64"/>
        <v>0.84000000000000008</v>
      </c>
      <c r="CE19" s="177">
        <f t="shared" si="65"/>
        <v>0.71774695982461478</v>
      </c>
      <c r="CF19" s="5">
        <f t="shared" si="66"/>
        <v>71.774695982461481</v>
      </c>
      <c r="CG19">
        <f t="shared" si="67"/>
        <v>14.000000000000002</v>
      </c>
      <c r="CI19" s="571">
        <f t="shared" si="48"/>
        <v>-50</v>
      </c>
      <c r="CJ19">
        <f t="shared" si="49"/>
        <v>-50</v>
      </c>
    </row>
    <row r="20" spans="5:88" x14ac:dyDescent="0.2">
      <c r="E20" s="174">
        <v>15</v>
      </c>
      <c r="F20" s="221">
        <f t="shared" si="68"/>
        <v>0.15</v>
      </c>
      <c r="G20" s="221">
        <f t="shared" si="50"/>
        <v>0.03</v>
      </c>
      <c r="H20" s="221">
        <f t="shared" si="0"/>
        <v>0.75</v>
      </c>
      <c r="I20" s="221">
        <f t="shared" si="69"/>
        <v>0.15</v>
      </c>
      <c r="J20" s="551">
        <f t="shared" si="1"/>
        <v>24</v>
      </c>
      <c r="K20" s="451">
        <f t="shared" si="2"/>
        <v>10.64</v>
      </c>
      <c r="L20" s="451">
        <f t="shared" si="3"/>
        <v>34.64</v>
      </c>
      <c r="M20" s="451"/>
      <c r="N20" s="221">
        <f t="shared" si="4"/>
        <v>0.30715935334872979</v>
      </c>
      <c r="O20" s="176">
        <f t="shared" si="51"/>
        <v>11.334180138568129</v>
      </c>
      <c r="P20" s="176">
        <f t="shared" si="5"/>
        <v>2.7202032332563508</v>
      </c>
      <c r="Q20" s="221">
        <f t="shared" si="6"/>
        <v>2.2668360277136257</v>
      </c>
      <c r="R20" s="221">
        <f t="shared" si="7"/>
        <v>2.2668360277136257</v>
      </c>
      <c r="S20" s="451">
        <f t="shared" si="8"/>
        <v>5</v>
      </c>
      <c r="T20" s="221">
        <f t="shared" si="9"/>
        <v>0.27130325814536344</v>
      </c>
      <c r="U20" s="221">
        <f t="shared" si="10"/>
        <v>7.9130116959064342E-2</v>
      </c>
      <c r="V20" s="221">
        <f t="shared" si="11"/>
        <v>0.17848898562194962</v>
      </c>
      <c r="W20" s="201">
        <f t="shared" si="12"/>
        <v>350</v>
      </c>
      <c r="X20" s="451">
        <f t="shared" si="52"/>
        <v>350</v>
      </c>
      <c r="Z20" s="221">
        <f t="shared" si="13"/>
        <v>3.0089079511712309</v>
      </c>
      <c r="AA20" s="177">
        <f t="shared" si="14"/>
        <v>1.9795447047179149</v>
      </c>
      <c r="AB20" s="177">
        <f t="shared" si="15"/>
        <v>2.0846937306036244</v>
      </c>
      <c r="AC20" s="177"/>
      <c r="AD20" s="177">
        <f t="shared" si="16"/>
        <v>0.53947368421052622</v>
      </c>
      <c r="AE20" s="555">
        <f t="shared" si="17"/>
        <v>339.08387864366455</v>
      </c>
      <c r="AF20" s="538">
        <f t="shared" si="18"/>
        <v>0.15482894736842101</v>
      </c>
      <c r="AH20" s="177">
        <f t="shared" si="19"/>
        <v>0.8571428571428571</v>
      </c>
      <c r="AI20" s="177">
        <f t="shared" si="20"/>
        <v>0.8571428571428571</v>
      </c>
      <c r="AJ20" s="177">
        <f t="shared" si="21"/>
        <v>1.1937622163678083</v>
      </c>
      <c r="AL20" s="555">
        <f t="shared" si="22"/>
        <v>150</v>
      </c>
      <c r="AM20" s="469">
        <f t="shared" si="23"/>
        <v>339.08387864366455</v>
      </c>
      <c r="AO20">
        <f t="shared" si="53"/>
        <v>150</v>
      </c>
      <c r="AP20" s="469">
        <f t="shared" si="24"/>
        <v>339.08387864366455</v>
      </c>
      <c r="AQ20" s="469"/>
      <c r="AR20" s="5">
        <f t="shared" si="54"/>
        <v>2.9491228070175435</v>
      </c>
      <c r="AS20" s="5">
        <f t="shared" si="25"/>
        <v>0.25</v>
      </c>
      <c r="AT20" s="5">
        <f t="shared" si="55"/>
        <v>2.6991228070175435</v>
      </c>
      <c r="AU20" s="177">
        <f t="shared" si="56"/>
        <v>8.4770969660916129E-2</v>
      </c>
      <c r="AW20" s="5">
        <f t="shared" si="26"/>
        <v>12.458288888888889</v>
      </c>
      <c r="AX20" s="5">
        <f t="shared" si="27"/>
        <v>0.59015574999999998</v>
      </c>
      <c r="AY20" s="5">
        <f t="shared" si="28"/>
        <v>0.49833155555555569</v>
      </c>
      <c r="AZ20" s="5">
        <f t="shared" si="29"/>
        <v>8.5482863636363635E-2</v>
      </c>
      <c r="BA20" s="5">
        <f t="shared" si="30"/>
        <v>9.3719541910331355E-2</v>
      </c>
      <c r="BB20" s="469">
        <f t="shared" si="31"/>
        <v>11.371345029239764</v>
      </c>
      <c r="BC20" s="5"/>
      <c r="BD20" s="177">
        <f t="shared" si="57"/>
        <v>0.14408413329711034</v>
      </c>
      <c r="BE20" s="177">
        <f t="shared" si="32"/>
        <v>0.94686371081733622</v>
      </c>
      <c r="BF20" s="177">
        <f t="shared" si="33"/>
        <v>0.18937274216346725</v>
      </c>
      <c r="BG20" s="177"/>
      <c r="BH20" s="538">
        <f t="shared" si="34"/>
        <v>2.2836261214777406E-3</v>
      </c>
      <c r="BI20" s="538">
        <f t="shared" si="35"/>
        <v>5.03394238123566E-2</v>
      </c>
      <c r="BJ20" s="538">
        <f t="shared" si="36"/>
        <v>1.6954193932183226E-2</v>
      </c>
      <c r="BK20" s="538">
        <f t="shared" si="37"/>
        <v>9.1547276145151707E-2</v>
      </c>
      <c r="BL20">
        <f t="shared" si="38"/>
        <v>6.96E-3</v>
      </c>
      <c r="BM20">
        <f t="shared" si="39"/>
        <v>6.4425936942296271E-5</v>
      </c>
      <c r="BN20">
        <f t="shared" si="40"/>
        <v>0.16852824131316685</v>
      </c>
      <c r="BO20" s="469">
        <f t="shared" si="58"/>
        <v>168.52824131316686</v>
      </c>
      <c r="BP20" s="177">
        <f t="shared" si="41"/>
        <v>0.12579648775631611</v>
      </c>
      <c r="BQ20" s="177">
        <f t="shared" si="42"/>
        <v>1.4199859510252644E-2</v>
      </c>
      <c r="BR20" s="538"/>
      <c r="BT20" s="469">
        <f t="shared" si="59"/>
        <v>139.99634726656876</v>
      </c>
      <c r="BU20" s="538">
        <f t="shared" si="43"/>
        <v>2.0760237467979462E-3</v>
      </c>
      <c r="BV20" s="538">
        <f t="shared" si="60"/>
        <v>2.6896526605883282E-2</v>
      </c>
      <c r="BW20" s="538">
        <f t="shared" si="44"/>
        <v>1.7931017737255524E-3</v>
      </c>
      <c r="BX20" s="538">
        <f t="shared" si="45"/>
        <v>0</v>
      </c>
      <c r="BY20" s="538">
        <f t="shared" si="46"/>
        <v>3.4542548303548921E-2</v>
      </c>
      <c r="BZ20" s="538">
        <f t="shared" si="61"/>
        <v>3.0765652126406778E-2</v>
      </c>
      <c r="CA20" s="641">
        <f t="shared" si="47"/>
        <v>1.2456142480787675E-2</v>
      </c>
      <c r="CB20" s="469">
        <f t="shared" si="62"/>
        <v>46.998690784336596</v>
      </c>
      <c r="CC20" s="177">
        <f t="shared" si="63"/>
        <v>0.35552327936407219</v>
      </c>
      <c r="CD20" s="5">
        <f t="shared" si="64"/>
        <v>0.9</v>
      </c>
      <c r="CE20" s="177">
        <f t="shared" si="65"/>
        <v>0.71683258669313865</v>
      </c>
      <c r="CF20" s="5">
        <f t="shared" si="66"/>
        <v>71.683258669313858</v>
      </c>
      <c r="CG20">
        <f t="shared" si="67"/>
        <v>15</v>
      </c>
      <c r="CI20" s="571">
        <f t="shared" si="48"/>
        <v>-50</v>
      </c>
      <c r="CJ20">
        <f t="shared" si="49"/>
        <v>-50</v>
      </c>
    </row>
    <row r="21" spans="5:88" s="77" customFormat="1" x14ac:dyDescent="0.2">
      <c r="E21" s="193">
        <v>16</v>
      </c>
      <c r="F21" s="333">
        <f t="shared" si="68"/>
        <v>0.16</v>
      </c>
      <c r="G21" s="221">
        <f t="shared" si="50"/>
        <v>3.2000000000000001E-2</v>
      </c>
      <c r="H21" s="221">
        <f t="shared" si="0"/>
        <v>0.8</v>
      </c>
      <c r="I21" s="221">
        <f t="shared" si="69"/>
        <v>0.16</v>
      </c>
      <c r="J21" s="551">
        <f t="shared" si="1"/>
        <v>24</v>
      </c>
      <c r="K21" s="451">
        <f t="shared" si="2"/>
        <v>10.64</v>
      </c>
      <c r="L21" s="545">
        <f t="shared" si="3"/>
        <v>34.64</v>
      </c>
      <c r="M21" s="545"/>
      <c r="N21" s="333">
        <f t="shared" si="4"/>
        <v>0.30715935334872979</v>
      </c>
      <c r="O21" s="176">
        <f t="shared" si="51"/>
        <v>11.334180138568129</v>
      </c>
      <c r="P21" s="176">
        <f t="shared" si="5"/>
        <v>2.7202032332563508</v>
      </c>
      <c r="Q21" s="333">
        <f t="shared" si="6"/>
        <v>2.2668360277136257</v>
      </c>
      <c r="R21" s="221">
        <f t="shared" si="7"/>
        <v>2.2668360277136257</v>
      </c>
      <c r="S21" s="451">
        <f t="shared" si="8"/>
        <v>5</v>
      </c>
      <c r="T21" s="221">
        <f t="shared" si="9"/>
        <v>0.28939014202172098</v>
      </c>
      <c r="U21" s="333">
        <f t="shared" si="10"/>
        <v>8.4405458089668622E-2</v>
      </c>
      <c r="V21" s="221">
        <f t="shared" si="11"/>
        <v>0.19038825133007958</v>
      </c>
      <c r="W21" s="547">
        <f t="shared" si="12"/>
        <v>350</v>
      </c>
      <c r="X21" s="545">
        <f t="shared" si="52"/>
        <v>350</v>
      </c>
      <c r="Z21" s="333">
        <f t="shared" si="13"/>
        <v>3.0089079511712309</v>
      </c>
      <c r="AA21" s="177">
        <f t="shared" si="14"/>
        <v>1.9795447047179149</v>
      </c>
      <c r="AB21" s="177">
        <f t="shared" si="15"/>
        <v>2.0846937306036244</v>
      </c>
      <c r="AC21" s="548"/>
      <c r="AD21" s="177">
        <f t="shared" si="16"/>
        <v>0.53947368421052622</v>
      </c>
      <c r="AE21" s="555">
        <f t="shared" si="17"/>
        <v>361.68947055324219</v>
      </c>
      <c r="AF21" s="538">
        <f t="shared" si="18"/>
        <v>0.15482894736842101</v>
      </c>
      <c r="AG21"/>
      <c r="AH21" s="177">
        <f t="shared" si="19"/>
        <v>0.88525333627598102</v>
      </c>
      <c r="AI21" s="177">
        <f t="shared" si="20"/>
        <v>0.88525333627598102</v>
      </c>
      <c r="AJ21" s="177">
        <f t="shared" si="21"/>
        <v>1.2483358046488748</v>
      </c>
      <c r="AL21" s="555">
        <f t="shared" si="22"/>
        <v>160</v>
      </c>
      <c r="AM21" s="469">
        <f t="shared" si="23"/>
        <v>350</v>
      </c>
      <c r="AO21">
        <f t="shared" si="53"/>
        <v>160</v>
      </c>
      <c r="AP21" s="469">
        <f t="shared" si="24"/>
        <v>350</v>
      </c>
      <c r="AQ21" s="469"/>
      <c r="AR21" s="5">
        <f t="shared" si="54"/>
        <v>2.8571428571428572</v>
      </c>
      <c r="AS21" s="5">
        <f t="shared" si="25"/>
        <v>0.25819888974716115</v>
      </c>
      <c r="AT21" s="5">
        <f t="shared" si="55"/>
        <v>2.5989439673956962</v>
      </c>
      <c r="AU21" s="177">
        <f t="shared" si="56"/>
        <v>9.0369611411506401E-2</v>
      </c>
      <c r="AW21" s="5">
        <f t="shared" si="26"/>
        <v>12.458288888888889</v>
      </c>
      <c r="AX21" s="5">
        <f t="shared" si="27"/>
        <v>0.63946609777777774</v>
      </c>
      <c r="AY21" s="5">
        <f t="shared" si="28"/>
        <v>0.49833155555555569</v>
      </c>
      <c r="AZ21" s="5">
        <f t="shared" si="29"/>
        <v>9.2993835959595955E-2</v>
      </c>
      <c r="BA21" s="5">
        <f t="shared" si="30"/>
        <v>9.6257183977618371E-2</v>
      </c>
      <c r="BB21" s="469">
        <f t="shared" si="31"/>
        <v>11.684195410647538</v>
      </c>
      <c r="BC21" s="5"/>
      <c r="BD21" s="177">
        <f t="shared" si="57"/>
        <v>0.15364490109999149</v>
      </c>
      <c r="BE21" s="177">
        <f t="shared" si="32"/>
        <v>0.9749209899512723</v>
      </c>
      <c r="BF21" s="177">
        <f t="shared" si="33"/>
        <v>0.19498419799025446</v>
      </c>
      <c r="BG21" s="177"/>
      <c r="BH21" s="538">
        <f t="shared" si="34"/>
        <v>2.5967431197428783E-3</v>
      </c>
      <c r="BI21" s="538">
        <f t="shared" si="35"/>
        <v>5.3664057245049974E-2</v>
      </c>
      <c r="BJ21" s="538">
        <f t="shared" si="36"/>
        <v>1.7499999999999998E-2</v>
      </c>
      <c r="BK21" s="538">
        <f t="shared" si="37"/>
        <v>9.4494456000000004E-2</v>
      </c>
      <c r="BL21">
        <f t="shared" si="38"/>
        <v>6.96E-3</v>
      </c>
      <c r="BM21">
        <f t="shared" si="39"/>
        <v>6.6500000000000004E-5</v>
      </c>
      <c r="BN21">
        <f t="shared" si="40"/>
        <v>0.17571650230505034</v>
      </c>
      <c r="BO21" s="469">
        <f t="shared" si="58"/>
        <v>175.71650230505034</v>
      </c>
      <c r="BP21" s="177">
        <f t="shared" si="41"/>
        <v>0.13373597955987426</v>
      </c>
      <c r="BQ21" s="177">
        <f t="shared" si="42"/>
        <v>1.512863918239497E-2</v>
      </c>
      <c r="BR21" s="538"/>
      <c r="BT21" s="469">
        <f t="shared" si="59"/>
        <v>148.86461874226922</v>
      </c>
      <c r="BU21" s="538">
        <f t="shared" si="43"/>
        <v>2.3606755634026167E-3</v>
      </c>
      <c r="BV21" s="538">
        <f t="shared" si="60"/>
        <v>2.8514128099427064E-2</v>
      </c>
      <c r="BW21" s="538">
        <f t="shared" si="44"/>
        <v>1.9009418732951378E-3</v>
      </c>
      <c r="BX21" s="538">
        <f t="shared" si="45"/>
        <v>0</v>
      </c>
      <c r="BY21" s="538">
        <f t="shared" si="46"/>
        <v>3.680534079921223E-2</v>
      </c>
      <c r="BZ21" s="538">
        <f t="shared" si="61"/>
        <v>3.277574553612482E-2</v>
      </c>
      <c r="CA21" s="641">
        <f t="shared" si="47"/>
        <v>1.3714285714285715E-2</v>
      </c>
      <c r="CB21" s="469">
        <f t="shared" si="62"/>
        <v>50.519626513497947</v>
      </c>
      <c r="CC21" s="177">
        <f t="shared" si="63"/>
        <v>0.37510074756081752</v>
      </c>
      <c r="CD21" s="5">
        <f t="shared" si="64"/>
        <v>0.96000000000000008</v>
      </c>
      <c r="CE21" s="177">
        <f t="shared" si="65"/>
        <v>0.71904685976237115</v>
      </c>
      <c r="CF21" s="5">
        <f t="shared" si="66"/>
        <v>71.904685976237118</v>
      </c>
      <c r="CG21">
        <f t="shared" si="67"/>
        <v>16</v>
      </c>
      <c r="CI21" s="571">
        <f t="shared" si="48"/>
        <v>-50</v>
      </c>
      <c r="CJ21">
        <f t="shared" si="49"/>
        <v>-50</v>
      </c>
    </row>
    <row r="22" spans="5:88" x14ac:dyDescent="0.2">
      <c r="E22" s="174">
        <v>17</v>
      </c>
      <c r="F22" s="221">
        <f t="shared" si="68"/>
        <v>0.17</v>
      </c>
      <c r="G22" s="221">
        <f t="shared" si="50"/>
        <v>3.4000000000000002E-2</v>
      </c>
      <c r="H22" s="221">
        <f t="shared" si="0"/>
        <v>0.85000000000000009</v>
      </c>
      <c r="I22" s="221">
        <f t="shared" si="69"/>
        <v>0.17</v>
      </c>
      <c r="J22" s="551">
        <f t="shared" si="1"/>
        <v>24</v>
      </c>
      <c r="K22" s="451">
        <f t="shared" si="2"/>
        <v>10.64</v>
      </c>
      <c r="L22" s="451">
        <f t="shared" si="3"/>
        <v>34.64</v>
      </c>
      <c r="M22" s="451"/>
      <c r="N22" s="221">
        <f t="shared" si="4"/>
        <v>0.30715935334872979</v>
      </c>
      <c r="O22" s="176">
        <f t="shared" si="51"/>
        <v>11.334180138568129</v>
      </c>
      <c r="P22" s="176">
        <f t="shared" si="5"/>
        <v>2.7202032332563508</v>
      </c>
      <c r="Q22" s="221">
        <f t="shared" si="6"/>
        <v>2.2668360277136257</v>
      </c>
      <c r="R22" s="221">
        <f t="shared" si="7"/>
        <v>2.2668360277136257</v>
      </c>
      <c r="S22" s="451">
        <f t="shared" si="8"/>
        <v>5</v>
      </c>
      <c r="T22" s="221">
        <f t="shared" si="9"/>
        <v>0.30747702589807852</v>
      </c>
      <c r="U22" s="221">
        <f t="shared" si="10"/>
        <v>8.9680799220272903E-2</v>
      </c>
      <c r="V22" s="221">
        <f t="shared" si="11"/>
        <v>0.20228751703820952</v>
      </c>
      <c r="W22" s="201">
        <f t="shared" si="12"/>
        <v>350</v>
      </c>
      <c r="X22" s="451">
        <f t="shared" si="52"/>
        <v>350</v>
      </c>
      <c r="Z22" s="221">
        <f t="shared" si="13"/>
        <v>3.0089079511712309</v>
      </c>
      <c r="AA22" s="177">
        <f t="shared" si="14"/>
        <v>1.9795447047179149</v>
      </c>
      <c r="AB22" s="177">
        <f t="shared" si="15"/>
        <v>2.0846937306036244</v>
      </c>
      <c r="AC22" s="177"/>
      <c r="AD22" s="177">
        <f t="shared" si="16"/>
        <v>0.53947368421052622</v>
      </c>
      <c r="AE22" s="555">
        <f t="shared" si="17"/>
        <v>384.29506246281983</v>
      </c>
      <c r="AF22" s="538">
        <f t="shared" si="18"/>
        <v>0.15482894736842101</v>
      </c>
      <c r="AH22" s="177">
        <f t="shared" si="19"/>
        <v>0.91249825272407492</v>
      </c>
      <c r="AI22" s="177">
        <f t="shared" si="20"/>
        <v>0.91249825272407492</v>
      </c>
      <c r="AJ22" s="177">
        <f t="shared" si="21"/>
        <v>1.2685172242400555</v>
      </c>
      <c r="AL22" s="555">
        <f t="shared" si="22"/>
        <v>170</v>
      </c>
      <c r="AM22" s="469">
        <f t="shared" si="23"/>
        <v>350</v>
      </c>
      <c r="AO22">
        <f t="shared" si="53"/>
        <v>170</v>
      </c>
      <c r="AP22" s="469">
        <f t="shared" si="24"/>
        <v>350</v>
      </c>
      <c r="AQ22" s="469"/>
      <c r="AR22" s="5">
        <f t="shared" si="54"/>
        <v>2.8571428571428572</v>
      </c>
      <c r="AS22" s="5">
        <f t="shared" si="25"/>
        <v>0.26614532371118854</v>
      </c>
      <c r="AT22" s="5">
        <f t="shared" si="55"/>
        <v>2.5909975334316688</v>
      </c>
      <c r="AU22" s="177">
        <f t="shared" si="56"/>
        <v>9.315086329891599E-2</v>
      </c>
      <c r="AW22" s="5">
        <f t="shared" si="26"/>
        <v>12.458288888888889</v>
      </c>
      <c r="AX22" s="5">
        <f t="shared" si="27"/>
        <v>0.69002227444444442</v>
      </c>
      <c r="AY22" s="5">
        <f t="shared" si="28"/>
        <v>0.49833155555555569</v>
      </c>
      <c r="AZ22" s="5">
        <f t="shared" si="29"/>
        <v>0.10073132262626264</v>
      </c>
      <c r="BA22" s="5">
        <f t="shared" si="30"/>
        <v>0.10196055108411659</v>
      </c>
      <c r="BB22" s="469">
        <f t="shared" si="31"/>
        <v>12.376932796760657</v>
      </c>
      <c r="BC22" s="5"/>
      <c r="BD22" s="177">
        <f t="shared" si="57"/>
        <v>0.16079215515850101</v>
      </c>
      <c r="BE22" s="177">
        <f t="shared" si="32"/>
        <v>1.0033880669963098</v>
      </c>
      <c r="BF22" s="177">
        <f t="shared" si="33"/>
        <v>0.20067761339926196</v>
      </c>
      <c r="BG22" s="177"/>
      <c r="BH22" s="538">
        <f t="shared" si="34"/>
        <v>2.8439528876567006E-3</v>
      </c>
      <c r="BI22" s="538">
        <f t="shared" si="35"/>
        <v>5.5315644080133432E-2</v>
      </c>
      <c r="BJ22" s="538">
        <f t="shared" si="36"/>
        <v>1.7499999999999998E-2</v>
      </c>
      <c r="BK22" s="538">
        <f t="shared" si="37"/>
        <v>9.4494456000000004E-2</v>
      </c>
      <c r="BL22">
        <f t="shared" si="38"/>
        <v>6.96E-3</v>
      </c>
      <c r="BM22">
        <f t="shared" si="39"/>
        <v>6.6500000000000004E-5</v>
      </c>
      <c r="BN22">
        <f t="shared" si="40"/>
        <v>0.17765770525917077</v>
      </c>
      <c r="BO22" s="469">
        <f t="shared" si="58"/>
        <v>177.65770525917077</v>
      </c>
      <c r="BP22" s="177">
        <f t="shared" si="41"/>
        <v>0.14185857363248117</v>
      </c>
      <c r="BQ22" s="177">
        <f t="shared" si="42"/>
        <v>1.6064742945299249E-2</v>
      </c>
      <c r="BR22" s="538"/>
      <c r="BT22" s="469">
        <f t="shared" si="59"/>
        <v>157.92331657778041</v>
      </c>
      <c r="BU22" s="538">
        <f t="shared" si="43"/>
        <v>2.5854117160515463E-3</v>
      </c>
      <c r="BV22" s="538">
        <f t="shared" si="60"/>
        <v>3.020362838971773E-2</v>
      </c>
      <c r="BW22" s="538">
        <f t="shared" si="44"/>
        <v>2.0135752259811822E-3</v>
      </c>
      <c r="BX22" s="538">
        <f t="shared" si="45"/>
        <v>0</v>
      </c>
      <c r="BY22" s="538">
        <f t="shared" si="46"/>
        <v>3.9087757667102013E-2</v>
      </c>
      <c r="BZ22" s="538">
        <f t="shared" si="61"/>
        <v>3.4802615331750456E-2</v>
      </c>
      <c r="CA22" s="641">
        <f t="shared" si="47"/>
        <v>1.4571428571428569E-2</v>
      </c>
      <c r="CB22" s="469">
        <f t="shared" si="62"/>
        <v>53.65918623853058</v>
      </c>
      <c r="CC22" s="177">
        <f t="shared" si="63"/>
        <v>0.38924020807548176</v>
      </c>
      <c r="CD22" s="5">
        <f t="shared" si="64"/>
        <v>1.02</v>
      </c>
      <c r="CE22" s="177">
        <f t="shared" si="65"/>
        <v>0.72379427875745561</v>
      </c>
      <c r="CF22" s="5">
        <f t="shared" si="66"/>
        <v>72.379427875745563</v>
      </c>
      <c r="CG22">
        <f t="shared" si="67"/>
        <v>17</v>
      </c>
      <c r="CI22" s="571">
        <f t="shared" si="48"/>
        <v>-50</v>
      </c>
      <c r="CJ22">
        <f t="shared" si="49"/>
        <v>-50</v>
      </c>
    </row>
    <row r="23" spans="5:88" x14ac:dyDescent="0.2">
      <c r="E23" s="174">
        <v>18</v>
      </c>
      <c r="F23" s="221">
        <f t="shared" si="68"/>
        <v>0.18</v>
      </c>
      <c r="G23" s="221">
        <f t="shared" si="50"/>
        <v>3.5999999999999997E-2</v>
      </c>
      <c r="H23" s="221">
        <f t="shared" si="0"/>
        <v>0.89999999999999991</v>
      </c>
      <c r="I23" s="221">
        <f t="shared" si="69"/>
        <v>0.18</v>
      </c>
      <c r="J23" s="551">
        <f t="shared" si="1"/>
        <v>24</v>
      </c>
      <c r="K23" s="451">
        <f t="shared" si="2"/>
        <v>10.64</v>
      </c>
      <c r="L23" s="451">
        <f t="shared" si="3"/>
        <v>34.64</v>
      </c>
      <c r="M23" s="451"/>
      <c r="N23" s="221">
        <f t="shared" si="4"/>
        <v>0.30715935334872979</v>
      </c>
      <c r="O23" s="176">
        <f t="shared" si="51"/>
        <v>11.334180138568129</v>
      </c>
      <c r="P23" s="176">
        <f t="shared" si="5"/>
        <v>2.7202032332563508</v>
      </c>
      <c r="Q23" s="221">
        <f t="shared" si="6"/>
        <v>2.2668360277136257</v>
      </c>
      <c r="R23" s="221">
        <f t="shared" si="7"/>
        <v>2.2668360277136257</v>
      </c>
      <c r="S23" s="451">
        <f t="shared" si="8"/>
        <v>5</v>
      </c>
      <c r="T23" s="221">
        <f t="shared" si="9"/>
        <v>0.32556390977443606</v>
      </c>
      <c r="U23" s="221">
        <f t="shared" si="10"/>
        <v>9.4956140350877183E-2</v>
      </c>
      <c r="V23" s="221">
        <f t="shared" si="11"/>
        <v>0.21418678274633948</v>
      </c>
      <c r="W23" s="201">
        <f t="shared" si="12"/>
        <v>350</v>
      </c>
      <c r="X23" s="451">
        <f t="shared" si="52"/>
        <v>350</v>
      </c>
      <c r="Z23" s="221">
        <f t="shared" si="13"/>
        <v>3.0089079511712309</v>
      </c>
      <c r="AA23" s="177">
        <f t="shared" si="14"/>
        <v>1.9795447047179149</v>
      </c>
      <c r="AB23" s="177">
        <f t="shared" si="15"/>
        <v>2.0846937306036244</v>
      </c>
      <c r="AC23" s="177"/>
      <c r="AD23" s="177">
        <f t="shared" si="16"/>
        <v>0.53947368421052622</v>
      </c>
      <c r="AE23" s="555">
        <f t="shared" si="17"/>
        <v>406.90065437239747</v>
      </c>
      <c r="AF23" s="538">
        <f t="shared" si="18"/>
        <v>0.15482894736842101</v>
      </c>
      <c r="AH23" s="177">
        <f t="shared" si="19"/>
        <v>0.93895295572314186</v>
      </c>
      <c r="AI23" s="177">
        <f t="shared" si="20"/>
        <v>0.93895295572314186</v>
      </c>
      <c r="AJ23" s="177">
        <f t="shared" si="21"/>
        <v>1.2881133005356606</v>
      </c>
      <c r="AL23" s="555">
        <f t="shared" si="22"/>
        <v>180</v>
      </c>
      <c r="AM23" s="469">
        <f t="shared" si="23"/>
        <v>350</v>
      </c>
      <c r="AO23">
        <f t="shared" si="53"/>
        <v>180</v>
      </c>
      <c r="AP23" s="469">
        <f t="shared" si="24"/>
        <v>350</v>
      </c>
      <c r="AQ23" s="469"/>
      <c r="AR23" s="5">
        <f t="shared" si="54"/>
        <v>2.8571428571428572</v>
      </c>
      <c r="AS23" s="5">
        <f t="shared" si="25"/>
        <v>0.27386127875258304</v>
      </c>
      <c r="AT23" s="5">
        <f t="shared" si="55"/>
        <v>2.5832815783902743</v>
      </c>
      <c r="AU23" s="177">
        <f t="shared" si="56"/>
        <v>9.5851447563404066E-2</v>
      </c>
      <c r="AW23" s="5">
        <f t="shared" si="26"/>
        <v>12.458288888888889</v>
      </c>
      <c r="AX23" s="5">
        <f t="shared" si="27"/>
        <v>0.74182428</v>
      </c>
      <c r="AY23" s="5">
        <f t="shared" si="28"/>
        <v>0.49833155555555569</v>
      </c>
      <c r="AZ23" s="5">
        <f t="shared" si="29"/>
        <v>0.10869532363636362</v>
      </c>
      <c r="BA23" s="5">
        <f t="shared" si="30"/>
        <v>0.10763673243292805</v>
      </c>
      <c r="BB23" s="469">
        <f t="shared" si="31"/>
        <v>13.06640789195137</v>
      </c>
      <c r="BC23" s="5"/>
      <c r="BD23" s="177">
        <f t="shared" si="57"/>
        <v>0.1678350043098705</v>
      </c>
      <c r="BE23" s="177">
        <f t="shared" si="32"/>
        <v>1.0309393044184783</v>
      </c>
      <c r="BF23" s="177">
        <f t="shared" si="33"/>
        <v>0.20618786088369567</v>
      </c>
      <c r="BG23" s="177"/>
      <c r="BH23" s="538">
        <f t="shared" si="34"/>
        <v>3.0985447538863673E-3</v>
      </c>
      <c r="BI23" s="538">
        <f t="shared" si="35"/>
        <v>5.6919328175936867E-2</v>
      </c>
      <c r="BJ23" s="538">
        <f t="shared" si="36"/>
        <v>1.7499999999999998E-2</v>
      </c>
      <c r="BK23" s="538">
        <f t="shared" si="37"/>
        <v>9.4494456000000004E-2</v>
      </c>
      <c r="BL23">
        <f t="shared" si="38"/>
        <v>6.96E-3</v>
      </c>
      <c r="BM23">
        <f t="shared" si="39"/>
        <v>6.6500000000000004E-5</v>
      </c>
      <c r="BN23">
        <f t="shared" si="40"/>
        <v>0.17955978347923046</v>
      </c>
      <c r="BO23" s="469">
        <f t="shared" si="58"/>
        <v>179.55978347923048</v>
      </c>
      <c r="BP23" s="177">
        <f t="shared" si="41"/>
        <v>0.149960658893767</v>
      </c>
      <c r="BQ23" s="177">
        <f t="shared" si="42"/>
        <v>1.700002635575068E-2</v>
      </c>
      <c r="BR23" s="538"/>
      <c r="BT23" s="469">
        <f t="shared" si="59"/>
        <v>166.9606852495177</v>
      </c>
      <c r="BU23" s="538">
        <f t="shared" si="43"/>
        <v>2.816858867169425E-3</v>
      </c>
      <c r="BV23" s="538">
        <f t="shared" si="60"/>
        <v>3.1885075481845673E-2</v>
      </c>
      <c r="BW23" s="538">
        <f t="shared" si="44"/>
        <v>2.1256716987897123E-3</v>
      </c>
      <c r="BX23" s="538">
        <f t="shared" si="45"/>
        <v>0</v>
      </c>
      <c r="BY23" s="538">
        <f t="shared" si="46"/>
        <v>4.1368799882721498E-2</v>
      </c>
      <c r="BZ23" s="538">
        <f t="shared" si="61"/>
        <v>3.6827606047804808E-2</v>
      </c>
      <c r="CA23" s="641">
        <f t="shared" si="47"/>
        <v>1.5428571428571429E-2</v>
      </c>
      <c r="CB23" s="469">
        <f t="shared" si="62"/>
        <v>56.797371311292927</v>
      </c>
      <c r="CC23" s="177">
        <f t="shared" si="63"/>
        <v>0.40331784004004112</v>
      </c>
      <c r="CD23" s="5">
        <f t="shared" si="64"/>
        <v>1.0799999999999998</v>
      </c>
      <c r="CE23" s="177">
        <f t="shared" si="65"/>
        <v>0.72809749255820055</v>
      </c>
      <c r="CF23" s="5">
        <f t="shared" si="66"/>
        <v>72.809749255820051</v>
      </c>
      <c r="CG23">
        <f t="shared" si="67"/>
        <v>18</v>
      </c>
      <c r="CI23" s="571">
        <f t="shared" si="48"/>
        <v>-50</v>
      </c>
      <c r="CJ23">
        <f t="shared" si="49"/>
        <v>-50</v>
      </c>
    </row>
    <row r="24" spans="5:88" x14ac:dyDescent="0.2">
      <c r="E24" s="174">
        <v>19</v>
      </c>
      <c r="F24" s="221">
        <f t="shared" si="68"/>
        <v>0.19</v>
      </c>
      <c r="G24" s="221">
        <f t="shared" si="50"/>
        <v>3.8000000000000006E-2</v>
      </c>
      <c r="H24" s="221">
        <f t="shared" si="0"/>
        <v>0.95</v>
      </c>
      <c r="I24" s="221">
        <f t="shared" si="69"/>
        <v>0.19000000000000003</v>
      </c>
      <c r="J24" s="551">
        <f t="shared" si="1"/>
        <v>24</v>
      </c>
      <c r="K24" s="451">
        <f t="shared" si="2"/>
        <v>10.64</v>
      </c>
      <c r="L24" s="451">
        <f t="shared" si="3"/>
        <v>34.64</v>
      </c>
      <c r="M24" s="451"/>
      <c r="N24" s="221">
        <f t="shared" si="4"/>
        <v>0.30715935334872979</v>
      </c>
      <c r="O24" s="176">
        <f t="shared" si="51"/>
        <v>11.334180138568129</v>
      </c>
      <c r="P24" s="176">
        <f t="shared" si="5"/>
        <v>2.7202032332563508</v>
      </c>
      <c r="Q24" s="221">
        <f t="shared" si="6"/>
        <v>2.2668360277136257</v>
      </c>
      <c r="R24" s="221">
        <f t="shared" si="7"/>
        <v>2.2668360277136257</v>
      </c>
      <c r="S24" s="451">
        <f t="shared" si="8"/>
        <v>5</v>
      </c>
      <c r="T24" s="221">
        <f t="shared" si="9"/>
        <v>0.3436507936507936</v>
      </c>
      <c r="U24" s="221">
        <f t="shared" si="10"/>
        <v>0.10023148148148146</v>
      </c>
      <c r="V24" s="221">
        <f t="shared" si="11"/>
        <v>0.22608604845446945</v>
      </c>
      <c r="W24" s="201">
        <f t="shared" si="12"/>
        <v>350</v>
      </c>
      <c r="X24" s="451">
        <f t="shared" si="52"/>
        <v>350</v>
      </c>
      <c r="Z24" s="221">
        <f t="shared" si="13"/>
        <v>3.0089079511712309</v>
      </c>
      <c r="AA24" s="177">
        <f t="shared" si="14"/>
        <v>1.9795447047179149</v>
      </c>
      <c r="AB24" s="177">
        <f t="shared" si="15"/>
        <v>2.0846937306036244</v>
      </c>
      <c r="AC24" s="177"/>
      <c r="AD24" s="177">
        <f t="shared" si="16"/>
        <v>0.53947368421052622</v>
      </c>
      <c r="AE24" s="555">
        <f t="shared" si="17"/>
        <v>429.506246281975</v>
      </c>
      <c r="AF24" s="538">
        <f t="shared" si="18"/>
        <v>0.15482894736842101</v>
      </c>
      <c r="AH24" s="177">
        <f t="shared" si="19"/>
        <v>0.96468245806480746</v>
      </c>
      <c r="AI24" s="177">
        <f t="shared" si="20"/>
        <v>0.96468245806480746</v>
      </c>
      <c r="AJ24" s="177">
        <f t="shared" si="21"/>
        <v>1.3071721911591165</v>
      </c>
      <c r="AL24" s="555">
        <f t="shared" si="22"/>
        <v>190</v>
      </c>
      <c r="AM24" s="469">
        <f t="shared" si="23"/>
        <v>350</v>
      </c>
      <c r="AO24">
        <f t="shared" si="53"/>
        <v>190</v>
      </c>
      <c r="AP24" s="469">
        <f t="shared" si="24"/>
        <v>350</v>
      </c>
      <c r="AQ24" s="469"/>
      <c r="AR24" s="5">
        <f t="shared" si="54"/>
        <v>2.8571428571428572</v>
      </c>
      <c r="AS24" s="5">
        <f t="shared" si="25"/>
        <v>0.28136571693556883</v>
      </c>
      <c r="AT24" s="5">
        <f t="shared" si="55"/>
        <v>2.5757771402072884</v>
      </c>
      <c r="AU24" s="177">
        <f t="shared" si="56"/>
        <v>9.8478000927449086E-2</v>
      </c>
      <c r="AW24" s="5">
        <f t="shared" si="26"/>
        <v>12.458288888888889</v>
      </c>
      <c r="AX24" s="5">
        <f t="shared" si="27"/>
        <v>0.7948721144444445</v>
      </c>
      <c r="AY24" s="5">
        <f t="shared" si="28"/>
        <v>0.49833155555555569</v>
      </c>
      <c r="AZ24" s="5">
        <f t="shared" si="29"/>
        <v>0.11688583898989902</v>
      </c>
      <c r="BA24" s="5">
        <f t="shared" si="30"/>
        <v>0.11328649459245016</v>
      </c>
      <c r="BB24" s="469">
        <f t="shared" si="31"/>
        <v>13.752712684427355</v>
      </c>
      <c r="BC24" s="5"/>
      <c r="BD24" s="177">
        <f t="shared" si="57"/>
        <v>0.17478065636310813</v>
      </c>
      <c r="BE24" s="177">
        <f t="shared" si="32"/>
        <v>1.0576498547136175</v>
      </c>
      <c r="BF24" s="177">
        <f t="shared" si="33"/>
        <v>0.21152997094272352</v>
      </c>
      <c r="BG24" s="177"/>
      <c r="BH24" s="538">
        <f t="shared" si="34"/>
        <v>3.3603105622590783E-3</v>
      </c>
      <c r="BI24" s="538">
        <f t="shared" si="35"/>
        <v>5.8479050607888633E-2</v>
      </c>
      <c r="BJ24" s="538">
        <f t="shared" si="36"/>
        <v>1.7499999999999998E-2</v>
      </c>
      <c r="BK24" s="538">
        <f t="shared" si="37"/>
        <v>9.4494456000000004E-2</v>
      </c>
      <c r="BL24">
        <f t="shared" si="38"/>
        <v>6.96E-3</v>
      </c>
      <c r="BM24">
        <f t="shared" si="39"/>
        <v>6.6500000000000004E-5</v>
      </c>
      <c r="BN24">
        <f t="shared" si="40"/>
        <v>0.18142643936985262</v>
      </c>
      <c r="BO24" s="469">
        <f t="shared" si="58"/>
        <v>181.4264393698526</v>
      </c>
      <c r="BP24" s="177">
        <f t="shared" si="41"/>
        <v>0.15804281363942627</v>
      </c>
      <c r="BQ24" s="177">
        <f t="shared" si="42"/>
        <v>1.7934512545577055E-2</v>
      </c>
      <c r="BR24" s="538"/>
      <c r="BT24" s="469">
        <f t="shared" si="59"/>
        <v>175.97732618500334</v>
      </c>
      <c r="BU24" s="538">
        <f t="shared" si="43"/>
        <v>3.0548277838718892E-3</v>
      </c>
      <c r="BV24" s="538">
        <f t="shared" si="60"/>
        <v>3.355869645527209E-2</v>
      </c>
      <c r="BW24" s="538">
        <f t="shared" si="44"/>
        <v>2.2372464303514728E-3</v>
      </c>
      <c r="BX24" s="538">
        <f t="shared" si="45"/>
        <v>0</v>
      </c>
      <c r="BY24" s="538">
        <f t="shared" si="46"/>
        <v>4.3648525458045477E-2</v>
      </c>
      <c r="BZ24" s="538">
        <f t="shared" si="61"/>
        <v>3.8850770669495452E-2</v>
      </c>
      <c r="CA24" s="641">
        <f t="shared" si="47"/>
        <v>1.6285714285714282E-2</v>
      </c>
      <c r="CB24" s="469">
        <f t="shared" si="62"/>
        <v>59.934239743759761</v>
      </c>
      <c r="CC24" s="177">
        <f t="shared" si="63"/>
        <v>0.4173380052986157</v>
      </c>
      <c r="CD24" s="5">
        <f t="shared" si="64"/>
        <v>1.1399999999999999</v>
      </c>
      <c r="CE24" s="177">
        <f t="shared" si="65"/>
        <v>0.73201835190646858</v>
      </c>
      <c r="CF24" s="5">
        <f t="shared" si="66"/>
        <v>73.201835190646861</v>
      </c>
      <c r="CG24">
        <f t="shared" si="67"/>
        <v>19</v>
      </c>
      <c r="CI24" s="571">
        <f t="shared" si="48"/>
        <v>-50</v>
      </c>
      <c r="CJ24">
        <f t="shared" si="49"/>
        <v>-50</v>
      </c>
    </row>
    <row r="25" spans="5:88" x14ac:dyDescent="0.2">
      <c r="E25" s="174">
        <v>20</v>
      </c>
      <c r="F25" s="221">
        <f t="shared" si="68"/>
        <v>0.2</v>
      </c>
      <c r="G25" s="221">
        <f t="shared" si="50"/>
        <v>4.0000000000000008E-2</v>
      </c>
      <c r="H25" s="221">
        <f t="shared" si="0"/>
        <v>1</v>
      </c>
      <c r="I25" s="221">
        <f t="shared" si="69"/>
        <v>0.20000000000000004</v>
      </c>
      <c r="J25" s="551">
        <f t="shared" si="1"/>
        <v>24</v>
      </c>
      <c r="K25" s="451">
        <f t="shared" si="2"/>
        <v>10.64</v>
      </c>
      <c r="L25" s="451">
        <f t="shared" si="3"/>
        <v>34.64</v>
      </c>
      <c r="M25" s="451"/>
      <c r="N25" s="221">
        <f t="shared" si="4"/>
        <v>0.30715935334872979</v>
      </c>
      <c r="O25" s="176">
        <f t="shared" si="51"/>
        <v>11.334180138568129</v>
      </c>
      <c r="P25" s="176">
        <f t="shared" si="5"/>
        <v>2.7202032332563508</v>
      </c>
      <c r="Q25" s="221">
        <f t="shared" si="6"/>
        <v>2.2668360277136257</v>
      </c>
      <c r="R25" s="221">
        <f t="shared" si="7"/>
        <v>2.2668360277136257</v>
      </c>
      <c r="S25" s="451">
        <f t="shared" si="8"/>
        <v>5</v>
      </c>
      <c r="T25" s="221">
        <f t="shared" si="9"/>
        <v>0.36173767752715119</v>
      </c>
      <c r="U25" s="221">
        <f t="shared" si="10"/>
        <v>0.10550682261208576</v>
      </c>
      <c r="V25" s="221">
        <f t="shared" si="11"/>
        <v>0.23798531416259947</v>
      </c>
      <c r="W25" s="201">
        <f t="shared" si="12"/>
        <v>350</v>
      </c>
      <c r="X25" s="451">
        <f t="shared" si="52"/>
        <v>350</v>
      </c>
      <c r="Z25" s="221">
        <f t="shared" si="13"/>
        <v>3.0089079511712309</v>
      </c>
      <c r="AA25" s="177">
        <f t="shared" si="14"/>
        <v>1.9795447047179149</v>
      </c>
      <c r="AB25" s="177">
        <f t="shared" si="15"/>
        <v>2.0846937306036244</v>
      </c>
      <c r="AC25" s="177"/>
      <c r="AD25" s="177">
        <f t="shared" si="16"/>
        <v>0.53947368421052622</v>
      </c>
      <c r="AE25" s="555">
        <f t="shared" si="17"/>
        <v>452.11183819155275</v>
      </c>
      <c r="AF25" s="538">
        <f t="shared" si="18"/>
        <v>0.15482894736842101</v>
      </c>
      <c r="AH25" s="177">
        <f t="shared" si="19"/>
        <v>0.9897433186107869</v>
      </c>
      <c r="AI25" s="177">
        <f t="shared" si="20"/>
        <v>0.9897433186107869</v>
      </c>
      <c r="AJ25" s="177">
        <f t="shared" si="21"/>
        <v>1.3257357915635459</v>
      </c>
      <c r="AL25" s="555">
        <f t="shared" si="22"/>
        <v>200</v>
      </c>
      <c r="AM25" s="469">
        <f t="shared" si="23"/>
        <v>350</v>
      </c>
      <c r="AO25">
        <f t="shared" si="53"/>
        <v>200</v>
      </c>
      <c r="AP25" s="469">
        <f t="shared" si="24"/>
        <v>350</v>
      </c>
      <c r="AQ25" s="469"/>
      <c r="AR25" s="5">
        <f t="shared" si="54"/>
        <v>2.8571428571428572</v>
      </c>
      <c r="AS25" s="5">
        <f t="shared" si="25"/>
        <v>0.28867513459481287</v>
      </c>
      <c r="AT25" s="5">
        <f t="shared" si="55"/>
        <v>2.5684677225480446</v>
      </c>
      <c r="AU25" s="177">
        <f t="shared" si="56"/>
        <v>0.1010362971081845</v>
      </c>
      <c r="AW25" s="5">
        <f t="shared" si="26"/>
        <v>12.458288888888889</v>
      </c>
      <c r="AX25" s="5">
        <f t="shared" si="27"/>
        <v>0.84916577777777791</v>
      </c>
      <c r="AY25" s="5">
        <f t="shared" si="28"/>
        <v>0.49833155555555569</v>
      </c>
      <c r="AZ25" s="5">
        <f t="shared" si="29"/>
        <v>0.12530286868686871</v>
      </c>
      <c r="BA25" s="5">
        <f t="shared" si="30"/>
        <v>0.11891054271055759</v>
      </c>
      <c r="BB25" s="469">
        <f t="shared" si="31"/>
        <v>14.435931791933582</v>
      </c>
      <c r="BC25" s="5"/>
      <c r="BD25" s="177">
        <f t="shared" si="57"/>
        <v>0.18163546997679966</v>
      </c>
      <c r="BE25" s="177">
        <f t="shared" si="32"/>
        <v>1.0835851019485363</v>
      </c>
      <c r="BF25" s="177">
        <f t="shared" si="33"/>
        <v>0.21671702038970728</v>
      </c>
      <c r="BG25" s="177"/>
      <c r="BH25" s="538">
        <f t="shared" si="34"/>
        <v>3.6290588349062181E-3</v>
      </c>
      <c r="BI25" s="538">
        <f t="shared" si="35"/>
        <v>5.99982399741859E-2</v>
      </c>
      <c r="BJ25" s="538">
        <f t="shared" si="36"/>
        <v>1.7499999999999998E-2</v>
      </c>
      <c r="BK25" s="538">
        <f t="shared" si="37"/>
        <v>9.4494456000000004E-2</v>
      </c>
      <c r="BL25">
        <f t="shared" si="38"/>
        <v>6.96E-3</v>
      </c>
      <c r="BM25">
        <f t="shared" si="39"/>
        <v>6.6500000000000004E-5</v>
      </c>
      <c r="BN25">
        <f t="shared" si="40"/>
        <v>0.18326088215638692</v>
      </c>
      <c r="BO25" s="469">
        <f t="shared" si="58"/>
        <v>183.26088215638691</v>
      </c>
      <c r="BP25" s="177">
        <f t="shared" si="41"/>
        <v>0.16610556982979227</v>
      </c>
      <c r="BQ25" s="177">
        <f t="shared" si="42"/>
        <v>1.8868222793191693E-2</v>
      </c>
      <c r="BR25" s="538"/>
      <c r="BT25" s="469">
        <f t="shared" si="59"/>
        <v>184.97379262298398</v>
      </c>
      <c r="BU25" s="538">
        <f t="shared" si="43"/>
        <v>3.2991443953692893E-3</v>
      </c>
      <c r="BV25" s="538">
        <f t="shared" si="60"/>
        <v>3.5224700194944593E-2</v>
      </c>
      <c r="BW25" s="538">
        <f t="shared" si="44"/>
        <v>2.3483133463296402E-3</v>
      </c>
      <c r="BX25" s="538">
        <f t="shared" si="45"/>
        <v>0</v>
      </c>
      <c r="BY25" s="538">
        <f t="shared" si="46"/>
        <v>4.5926987696615983E-2</v>
      </c>
      <c r="BZ25" s="538">
        <f t="shared" si="61"/>
        <v>4.0872157936643526E-2</v>
      </c>
      <c r="CA25" s="641">
        <f t="shared" si="47"/>
        <v>1.7142857142857137E-2</v>
      </c>
      <c r="CB25" s="469">
        <f t="shared" si="62"/>
        <v>63.069844839473113</v>
      </c>
      <c r="CC25" s="177">
        <f t="shared" si="63"/>
        <v>0.43130451961884397</v>
      </c>
      <c r="CD25" s="5">
        <f t="shared" si="64"/>
        <v>1.2</v>
      </c>
      <c r="CE25" s="177">
        <f t="shared" si="65"/>
        <v>0.73560759843930379</v>
      </c>
      <c r="CF25" s="5">
        <f t="shared" si="66"/>
        <v>73.560759843930384</v>
      </c>
      <c r="CG25">
        <f t="shared" si="67"/>
        <v>20</v>
      </c>
      <c r="CI25" s="571">
        <f t="shared" si="48"/>
        <v>-50</v>
      </c>
      <c r="CJ25">
        <f t="shared" si="49"/>
        <v>-50</v>
      </c>
    </row>
    <row r="26" spans="5:88" x14ac:dyDescent="0.2">
      <c r="E26" s="174">
        <v>21</v>
      </c>
      <c r="F26" s="221">
        <f t="shared" si="68"/>
        <v>0.21</v>
      </c>
      <c r="G26" s="221">
        <f t="shared" si="50"/>
        <v>4.2000000000000003E-2</v>
      </c>
      <c r="H26" s="221">
        <f t="shared" si="0"/>
        <v>1.05</v>
      </c>
      <c r="I26" s="221">
        <f t="shared" si="69"/>
        <v>0.21000000000000002</v>
      </c>
      <c r="J26" s="551">
        <f t="shared" si="1"/>
        <v>24</v>
      </c>
      <c r="K26" s="451">
        <f t="shared" si="2"/>
        <v>10.64</v>
      </c>
      <c r="L26" s="451">
        <f t="shared" si="3"/>
        <v>34.64</v>
      </c>
      <c r="M26" s="451"/>
      <c r="N26" s="221">
        <f t="shared" si="4"/>
        <v>0.30715935334872979</v>
      </c>
      <c r="O26" s="176">
        <f t="shared" si="51"/>
        <v>11.334180138568129</v>
      </c>
      <c r="P26" s="176">
        <f t="shared" si="5"/>
        <v>2.7202032332563508</v>
      </c>
      <c r="Q26" s="221">
        <f t="shared" si="6"/>
        <v>2.2668360277136257</v>
      </c>
      <c r="R26" s="221">
        <f t="shared" si="7"/>
        <v>2.2668360277136257</v>
      </c>
      <c r="S26" s="451">
        <f t="shared" si="8"/>
        <v>5</v>
      </c>
      <c r="T26" s="221">
        <f t="shared" si="9"/>
        <v>0.37982456140350879</v>
      </c>
      <c r="U26" s="221">
        <f t="shared" si="10"/>
        <v>0.11078216374269007</v>
      </c>
      <c r="V26" s="221">
        <f t="shared" si="11"/>
        <v>0.24988457987072943</v>
      </c>
      <c r="W26" s="201">
        <f t="shared" si="12"/>
        <v>350</v>
      </c>
      <c r="X26" s="451">
        <f t="shared" si="52"/>
        <v>350</v>
      </c>
      <c r="Z26" s="221">
        <f t="shared" si="13"/>
        <v>3.0089079511712309</v>
      </c>
      <c r="AA26" s="177">
        <f t="shared" si="14"/>
        <v>1.9795447047179149</v>
      </c>
      <c r="AB26" s="177">
        <f t="shared" si="15"/>
        <v>2.0846937306036244</v>
      </c>
      <c r="AC26" s="177"/>
      <c r="AD26" s="177">
        <f t="shared" si="16"/>
        <v>0.53947368421052622</v>
      </c>
      <c r="AE26" s="555">
        <f t="shared" si="17"/>
        <v>474.71743010113033</v>
      </c>
      <c r="AF26" s="538">
        <f t="shared" si="18"/>
        <v>0.15482894736842101</v>
      </c>
      <c r="AH26" s="177">
        <f t="shared" si="19"/>
        <v>1.0141851056742199</v>
      </c>
      <c r="AI26" s="177">
        <f t="shared" si="20"/>
        <v>1.0141851056742199</v>
      </c>
      <c r="AJ26" s="177">
        <f t="shared" si="21"/>
        <v>1.3438408190179407</v>
      </c>
      <c r="AL26" s="555">
        <f t="shared" si="22"/>
        <v>210</v>
      </c>
      <c r="AM26" s="469">
        <f t="shared" si="23"/>
        <v>350</v>
      </c>
      <c r="AO26">
        <f t="shared" si="53"/>
        <v>210</v>
      </c>
      <c r="AP26" s="469">
        <f t="shared" si="24"/>
        <v>350</v>
      </c>
      <c r="AQ26" s="469"/>
      <c r="AR26" s="5">
        <f t="shared" si="54"/>
        <v>2.8571428571428572</v>
      </c>
      <c r="AS26" s="5">
        <f t="shared" si="25"/>
        <v>0.2958039891549808</v>
      </c>
      <c r="AT26" s="5">
        <f t="shared" si="55"/>
        <v>2.5613388679878764</v>
      </c>
      <c r="AU26" s="177">
        <f t="shared" si="56"/>
        <v>0.10353139620424327</v>
      </c>
      <c r="AW26" s="5">
        <f t="shared" si="26"/>
        <v>12.458288888888889</v>
      </c>
      <c r="AX26" s="5">
        <f t="shared" si="27"/>
        <v>0.90470527000000001</v>
      </c>
      <c r="AY26" s="5">
        <f t="shared" si="28"/>
        <v>0.49833155555555569</v>
      </c>
      <c r="AZ26" s="5">
        <f t="shared" si="29"/>
        <v>0.13394641272727273</v>
      </c>
      <c r="BA26" s="5">
        <f t="shared" si="30"/>
        <v>0.12450952830496617</v>
      </c>
      <c r="BB26" s="469">
        <f t="shared" si="31"/>
        <v>15.116143396595945</v>
      </c>
      <c r="BC26" s="5"/>
      <c r="BD26" s="177">
        <f t="shared" si="57"/>
        <v>0.18840509201876074</v>
      </c>
      <c r="BE26" s="177">
        <f t="shared" si="32"/>
        <v>1.1088023523758328</v>
      </c>
      <c r="BF26" s="177">
        <f t="shared" si="33"/>
        <v>0.22176047047516656</v>
      </c>
      <c r="BG26" s="177"/>
      <c r="BH26" s="538">
        <f t="shared" si="34"/>
        <v>3.9046126568457466E-3</v>
      </c>
      <c r="BI26" s="538">
        <f t="shared" si="35"/>
        <v>6.1479901105971214E-2</v>
      </c>
      <c r="BJ26" s="538">
        <f t="shared" si="36"/>
        <v>1.7499999999999998E-2</v>
      </c>
      <c r="BK26" s="538">
        <f t="shared" si="37"/>
        <v>9.4494456000000004E-2</v>
      </c>
      <c r="BL26">
        <f t="shared" si="38"/>
        <v>6.96E-3</v>
      </c>
      <c r="BM26">
        <f t="shared" si="39"/>
        <v>6.6500000000000004E-5</v>
      </c>
      <c r="BN26">
        <f t="shared" si="40"/>
        <v>0.18506591414762105</v>
      </c>
      <c r="BO26" s="469">
        <f t="shared" si="58"/>
        <v>185.06591414762104</v>
      </c>
      <c r="BP26" s="177">
        <f t="shared" si="41"/>
        <v>0.1741494189668514</v>
      </c>
      <c r="BQ26" s="177">
        <f t="shared" si="42"/>
        <v>1.9801176758674058E-2</v>
      </c>
      <c r="BR26" s="538"/>
      <c r="BT26" s="469">
        <f t="shared" si="59"/>
        <v>193.95059572552549</v>
      </c>
      <c r="BU26" s="538">
        <f t="shared" si="43"/>
        <v>3.5496478698597701E-3</v>
      </c>
      <c r="BV26" s="538">
        <f t="shared" si="60"/>
        <v>3.6883279699025412E-2</v>
      </c>
      <c r="BW26" s="538">
        <f t="shared" si="44"/>
        <v>2.4588853132683614E-3</v>
      </c>
      <c r="BX26" s="538">
        <f t="shared" si="45"/>
        <v>0</v>
      </c>
      <c r="BY26" s="538">
        <f t="shared" si="46"/>
        <v>4.820423579295266E-2</v>
      </c>
      <c r="BZ26" s="538">
        <f t="shared" si="61"/>
        <v>4.2891812882153546E-2</v>
      </c>
      <c r="CA26" s="641">
        <f t="shared" si="47"/>
        <v>1.8000000000000002E-2</v>
      </c>
      <c r="CB26" s="469">
        <f t="shared" si="62"/>
        <v>66.204235792952659</v>
      </c>
      <c r="CC26" s="177">
        <f t="shared" si="63"/>
        <v>0.44522074566609915</v>
      </c>
      <c r="CD26" s="5">
        <f t="shared" si="64"/>
        <v>1.26</v>
      </c>
      <c r="CE26" s="177">
        <f t="shared" si="65"/>
        <v>0.73890726652390948</v>
      </c>
      <c r="CF26" s="5">
        <f t="shared" si="66"/>
        <v>73.890726652390953</v>
      </c>
      <c r="CG26">
        <f t="shared" si="67"/>
        <v>21</v>
      </c>
      <c r="CI26" s="571">
        <f t="shared" si="48"/>
        <v>-50</v>
      </c>
      <c r="CJ26">
        <f t="shared" si="49"/>
        <v>-50</v>
      </c>
    </row>
    <row r="27" spans="5:88" x14ac:dyDescent="0.2">
      <c r="E27" s="174">
        <v>22</v>
      </c>
      <c r="F27" s="221">
        <f t="shared" si="68"/>
        <v>0.22</v>
      </c>
      <c r="G27" s="221">
        <f t="shared" si="50"/>
        <v>4.4000000000000004E-2</v>
      </c>
      <c r="H27" s="221">
        <f t="shared" si="0"/>
        <v>1.1000000000000001</v>
      </c>
      <c r="I27" s="221">
        <f t="shared" si="69"/>
        <v>0.22000000000000003</v>
      </c>
      <c r="J27" s="551">
        <f t="shared" si="1"/>
        <v>24</v>
      </c>
      <c r="K27" s="451">
        <f t="shared" si="2"/>
        <v>10.64</v>
      </c>
      <c r="L27" s="451">
        <f t="shared" si="3"/>
        <v>34.64</v>
      </c>
      <c r="M27" s="451"/>
      <c r="N27" s="221">
        <f t="shared" si="4"/>
        <v>0.30715935334872979</v>
      </c>
      <c r="O27" s="176">
        <f t="shared" si="51"/>
        <v>11.334180138568129</v>
      </c>
      <c r="P27" s="176">
        <f t="shared" si="5"/>
        <v>2.7202032332563508</v>
      </c>
      <c r="Q27" s="221">
        <f t="shared" si="6"/>
        <v>2.2668360277136257</v>
      </c>
      <c r="R27" s="221">
        <f t="shared" si="7"/>
        <v>2.2668360277136257</v>
      </c>
      <c r="S27" s="451">
        <f t="shared" si="8"/>
        <v>5</v>
      </c>
      <c r="T27" s="221">
        <f t="shared" si="9"/>
        <v>0.39791144527986633</v>
      </c>
      <c r="U27" s="221">
        <f t="shared" si="10"/>
        <v>0.11605750487329435</v>
      </c>
      <c r="V27" s="221">
        <f t="shared" si="11"/>
        <v>0.26178384557885942</v>
      </c>
      <c r="W27" s="201">
        <f t="shared" si="12"/>
        <v>350</v>
      </c>
      <c r="X27" s="451">
        <f t="shared" si="52"/>
        <v>350</v>
      </c>
      <c r="Z27" s="221">
        <f t="shared" si="13"/>
        <v>3.0089079511712309</v>
      </c>
      <c r="AA27" s="177">
        <f t="shared" si="14"/>
        <v>1.9795447047179149</v>
      </c>
      <c r="AB27" s="177">
        <f t="shared" si="15"/>
        <v>2.0846937306036244</v>
      </c>
      <c r="AC27" s="177"/>
      <c r="AD27" s="177">
        <f t="shared" si="16"/>
        <v>0.53947368421052622</v>
      </c>
      <c r="AE27" s="555">
        <f t="shared" si="17"/>
        <v>497.32302201070797</v>
      </c>
      <c r="AF27" s="538">
        <f t="shared" si="18"/>
        <v>0.15482894736842101</v>
      </c>
      <c r="AH27" s="177">
        <f t="shared" si="19"/>
        <v>1.0380515499762828</v>
      </c>
      <c r="AI27" s="177">
        <f t="shared" si="20"/>
        <v>1.0380515499762828</v>
      </c>
      <c r="AJ27" s="177">
        <f t="shared" si="21"/>
        <v>1.3615196666490983</v>
      </c>
      <c r="AL27" s="555">
        <f t="shared" si="22"/>
        <v>220</v>
      </c>
      <c r="AM27" s="469">
        <f t="shared" si="23"/>
        <v>350</v>
      </c>
      <c r="AO27">
        <f t="shared" si="53"/>
        <v>220</v>
      </c>
      <c r="AP27" s="469">
        <f t="shared" si="24"/>
        <v>350</v>
      </c>
      <c r="AQ27" s="469"/>
      <c r="AR27" s="5">
        <f t="shared" si="54"/>
        <v>2.8571428571428572</v>
      </c>
      <c r="AS27" s="5">
        <f t="shared" si="25"/>
        <v>0.30276503540974914</v>
      </c>
      <c r="AT27" s="5">
        <f t="shared" si="55"/>
        <v>2.5543778217331079</v>
      </c>
      <c r="AU27" s="177">
        <f t="shared" si="56"/>
        <v>0.1059677623934122</v>
      </c>
      <c r="AW27" s="5">
        <f t="shared" si="26"/>
        <v>12.458288888888889</v>
      </c>
      <c r="AX27" s="5">
        <f t="shared" si="27"/>
        <v>0.96149059111111113</v>
      </c>
      <c r="AY27" s="5">
        <f t="shared" si="28"/>
        <v>0.49833155555555569</v>
      </c>
      <c r="AZ27" s="5">
        <f t="shared" si="29"/>
        <v>0.14281647111111112</v>
      </c>
      <c r="BA27" s="5">
        <f t="shared" si="30"/>
        <v>0.13008405573640824</v>
      </c>
      <c r="BB27" s="469">
        <f t="shared" si="31"/>
        <v>15.793420021702326</v>
      </c>
      <c r="BC27" s="5"/>
      <c r="BD27" s="177">
        <f t="shared" si="57"/>
        <v>0.19509456723803723</v>
      </c>
      <c r="BE27" s="177">
        <f t="shared" si="32"/>
        <v>1.1333521664577002</v>
      </c>
      <c r="BF27" s="177">
        <f t="shared" si="33"/>
        <v>0.22667043329154005</v>
      </c>
      <c r="BG27" s="177"/>
      <c r="BH27" s="538">
        <f t="shared" si="34"/>
        <v>4.1868079182376733E-3</v>
      </c>
      <c r="BI27" s="538">
        <f t="shared" si="35"/>
        <v>6.2926684959562273E-2</v>
      </c>
      <c r="BJ27" s="538">
        <f t="shared" si="36"/>
        <v>1.7499999999999998E-2</v>
      </c>
      <c r="BK27" s="538">
        <f t="shared" si="37"/>
        <v>9.4494456000000004E-2</v>
      </c>
      <c r="BL27">
        <f t="shared" si="38"/>
        <v>6.96E-3</v>
      </c>
      <c r="BM27">
        <f t="shared" si="39"/>
        <v>6.6500000000000004E-5</v>
      </c>
      <c r="BN27">
        <f t="shared" si="40"/>
        <v>0.18684399859436182</v>
      </c>
      <c r="BO27" s="469">
        <f t="shared" si="58"/>
        <v>186.84399859436181</v>
      </c>
      <c r="BP27" s="177">
        <f t="shared" si="41"/>
        <v>0.18217481697757731</v>
      </c>
      <c r="BQ27" s="177">
        <f t="shared" si="42"/>
        <v>2.0733392679103093E-2</v>
      </c>
      <c r="BR27" s="538"/>
      <c r="BT27" s="469">
        <f t="shared" si="59"/>
        <v>202.90820965668041</v>
      </c>
      <c r="BU27" s="538">
        <f t="shared" si="43"/>
        <v>3.8061890165797031E-3</v>
      </c>
      <c r="BV27" s="538">
        <f t="shared" si="60"/>
        <v>3.8534613996430878E-2</v>
      </c>
      <c r="BW27" s="538">
        <f t="shared" si="44"/>
        <v>2.5689742664287253E-3</v>
      </c>
      <c r="BX27" s="538">
        <f t="shared" si="45"/>
        <v>0</v>
      </c>
      <c r="BY27" s="538">
        <f t="shared" si="46"/>
        <v>5.0480315330450942E-2</v>
      </c>
      <c r="BZ27" s="538">
        <f t="shared" si="61"/>
        <v>4.490977727943931E-2</v>
      </c>
      <c r="CA27" s="641">
        <f t="shared" si="47"/>
        <v>1.8857142857142857E-2</v>
      </c>
      <c r="CB27" s="469">
        <f t="shared" si="62"/>
        <v>69.337458187593796</v>
      </c>
      <c r="CC27" s="177">
        <f t="shared" si="63"/>
        <v>0.45908966643863602</v>
      </c>
      <c r="CD27" s="5">
        <f t="shared" si="64"/>
        <v>1.32</v>
      </c>
      <c r="CE27" s="177">
        <f t="shared" si="65"/>
        <v>0.74195248553287529</v>
      </c>
      <c r="CF27" s="5">
        <f t="shared" si="66"/>
        <v>74.195248553287527</v>
      </c>
      <c r="CG27">
        <f t="shared" si="67"/>
        <v>22</v>
      </c>
      <c r="CI27" s="571">
        <f t="shared" si="48"/>
        <v>-50</v>
      </c>
      <c r="CJ27">
        <f t="shared" si="49"/>
        <v>-50</v>
      </c>
    </row>
    <row r="28" spans="5:88" x14ac:dyDescent="0.2">
      <c r="E28" s="174">
        <v>23</v>
      </c>
      <c r="F28" s="221">
        <f t="shared" si="68"/>
        <v>0.23</v>
      </c>
      <c r="G28" s="221">
        <f t="shared" si="50"/>
        <v>4.6000000000000006E-2</v>
      </c>
      <c r="H28" s="221">
        <f t="shared" si="0"/>
        <v>1.1500000000000001</v>
      </c>
      <c r="I28" s="221">
        <f t="shared" si="69"/>
        <v>0.23000000000000004</v>
      </c>
      <c r="J28" s="551">
        <f t="shared" si="1"/>
        <v>24</v>
      </c>
      <c r="K28" s="451">
        <f t="shared" si="2"/>
        <v>10.64</v>
      </c>
      <c r="L28" s="451">
        <f t="shared" si="3"/>
        <v>34.64</v>
      </c>
      <c r="M28" s="451"/>
      <c r="N28" s="221">
        <f t="shared" si="4"/>
        <v>0.30715935334872979</v>
      </c>
      <c r="O28" s="176">
        <f t="shared" si="51"/>
        <v>11.334180138568129</v>
      </c>
      <c r="P28" s="176">
        <f t="shared" si="5"/>
        <v>2.7202032332563508</v>
      </c>
      <c r="Q28" s="221">
        <f t="shared" si="6"/>
        <v>2.2668360277136257</v>
      </c>
      <c r="R28" s="221">
        <f t="shared" si="7"/>
        <v>2.2668360277136257</v>
      </c>
      <c r="S28" s="451">
        <f t="shared" si="8"/>
        <v>5</v>
      </c>
      <c r="T28" s="221">
        <f t="shared" si="9"/>
        <v>0.41599832915622392</v>
      </c>
      <c r="U28" s="221">
        <f t="shared" si="10"/>
        <v>0.12133284600389864</v>
      </c>
      <c r="V28" s="221">
        <f t="shared" si="11"/>
        <v>0.27368311128698936</v>
      </c>
      <c r="W28" s="201">
        <f t="shared" si="12"/>
        <v>350</v>
      </c>
      <c r="X28" s="451">
        <f t="shared" si="52"/>
        <v>350</v>
      </c>
      <c r="Z28" s="221">
        <f t="shared" si="13"/>
        <v>3.0089079511712309</v>
      </c>
      <c r="AA28" s="177">
        <f t="shared" si="14"/>
        <v>1.9795447047179149</v>
      </c>
      <c r="AB28" s="177">
        <f t="shared" si="15"/>
        <v>2.0846937306036244</v>
      </c>
      <c r="AC28" s="177"/>
      <c r="AD28" s="177">
        <f t="shared" si="16"/>
        <v>0.53947368421052622</v>
      </c>
      <c r="AE28" s="555">
        <f t="shared" si="17"/>
        <v>519.92861392028567</v>
      </c>
      <c r="AF28" s="538">
        <f t="shared" si="18"/>
        <v>0.15482894736842101</v>
      </c>
      <c r="AH28" s="177">
        <f t="shared" si="19"/>
        <v>1.0613814640575263</v>
      </c>
      <c r="AI28" s="177">
        <f t="shared" si="20"/>
        <v>1.0613814640575263</v>
      </c>
      <c r="AJ28" s="177">
        <f t="shared" si="21"/>
        <v>1.3788010844870566</v>
      </c>
      <c r="AL28" s="555">
        <f t="shared" si="22"/>
        <v>230</v>
      </c>
      <c r="AM28" s="469">
        <f t="shared" si="23"/>
        <v>350</v>
      </c>
      <c r="AO28">
        <f t="shared" si="53"/>
        <v>230</v>
      </c>
      <c r="AP28" s="469">
        <f t="shared" si="24"/>
        <v>350</v>
      </c>
      <c r="AQ28" s="469"/>
      <c r="AR28" s="5">
        <f t="shared" si="54"/>
        <v>2.8571428571428572</v>
      </c>
      <c r="AS28" s="5">
        <f t="shared" si="25"/>
        <v>0.30956959368344522</v>
      </c>
      <c r="AT28" s="5">
        <f t="shared" si="55"/>
        <v>2.5475732634594119</v>
      </c>
      <c r="AU28" s="177">
        <f t="shared" si="56"/>
        <v>0.10834935778920582</v>
      </c>
      <c r="AW28" s="5">
        <f t="shared" si="26"/>
        <v>12.458288888888889</v>
      </c>
      <c r="AX28" s="5">
        <f t="shared" si="27"/>
        <v>1.0195217411111113</v>
      </c>
      <c r="AY28" s="5">
        <f t="shared" si="28"/>
        <v>0.49833155555555569</v>
      </c>
      <c r="AZ28" s="5">
        <f t="shared" si="29"/>
        <v>0.15191304383838386</v>
      </c>
      <c r="BA28" s="5">
        <f t="shared" si="30"/>
        <v>0.13563468763788536</v>
      </c>
      <c r="BB28" s="469">
        <f t="shared" si="31"/>
        <v>16.467829183212906</v>
      </c>
      <c r="BC28" s="5"/>
      <c r="BD28" s="177">
        <f t="shared" si="57"/>
        <v>0.20170842683323498</v>
      </c>
      <c r="BE28" s="177">
        <f t="shared" si="32"/>
        <v>1.1572794211012205</v>
      </c>
      <c r="BF28" s="177">
        <f t="shared" si="33"/>
        <v>0.2314558842202441</v>
      </c>
      <c r="BG28" s="177"/>
      <c r="BH28" s="538">
        <f t="shared" si="34"/>
        <v>4.4754918401092364E-3</v>
      </c>
      <c r="BI28" s="538">
        <f t="shared" si="35"/>
        <v>6.4340944351167245E-2</v>
      </c>
      <c r="BJ28" s="538">
        <f t="shared" si="36"/>
        <v>1.7499999999999998E-2</v>
      </c>
      <c r="BK28" s="538">
        <f t="shared" si="37"/>
        <v>9.4494456000000004E-2</v>
      </c>
      <c r="BL28">
        <f t="shared" si="38"/>
        <v>6.96E-3</v>
      </c>
      <c r="BM28">
        <f t="shared" si="39"/>
        <v>6.6500000000000004E-5</v>
      </c>
      <c r="BN28">
        <f t="shared" si="40"/>
        <v>0.18859731371846539</v>
      </c>
      <c r="BO28" s="469">
        <f t="shared" si="58"/>
        <v>188.59731371846539</v>
      </c>
      <c r="BP28" s="177">
        <f t="shared" si="41"/>
        <v>0.19018218830973435</v>
      </c>
      <c r="BQ28" s="177">
        <f t="shared" si="42"/>
        <v>2.1664887532389376E-2</v>
      </c>
      <c r="BR28" s="538"/>
      <c r="BT28" s="469">
        <f t="shared" si="59"/>
        <v>211.84707584212373</v>
      </c>
      <c r="BU28" s="538">
        <f t="shared" si="43"/>
        <v>4.0686289455538508E-3</v>
      </c>
      <c r="BV28" s="538">
        <f t="shared" si="60"/>
        <v>4.0178869755131283E-2</v>
      </c>
      <c r="BW28" s="538">
        <f t="shared" si="44"/>
        <v>2.6785913170087523E-3</v>
      </c>
      <c r="BX28" s="538">
        <f t="shared" si="45"/>
        <v>0</v>
      </c>
      <c r="BY28" s="538">
        <f t="shared" si="46"/>
        <v>5.2755268698846725E-2</v>
      </c>
      <c r="BZ28" s="538">
        <f t="shared" si="61"/>
        <v>4.6926090017693885E-2</v>
      </c>
      <c r="CA28" s="641">
        <f t="shared" si="47"/>
        <v>1.9714285714285715E-2</v>
      </c>
      <c r="CB28" s="469">
        <f t="shared" si="62"/>
        <v>72.469554413132443</v>
      </c>
      <c r="CC28" s="177">
        <f t="shared" si="63"/>
        <v>0.47291394397372161</v>
      </c>
      <c r="CD28" s="5">
        <f t="shared" si="64"/>
        <v>1.3800000000000001</v>
      </c>
      <c r="CE28" s="177">
        <f t="shared" si="65"/>
        <v>0.74477285061630016</v>
      </c>
      <c r="CF28" s="5">
        <f t="shared" si="66"/>
        <v>74.477285061630013</v>
      </c>
      <c r="CG28">
        <f t="shared" si="67"/>
        <v>23</v>
      </c>
      <c r="CI28" s="571">
        <f t="shared" si="48"/>
        <v>-50</v>
      </c>
      <c r="CJ28">
        <f t="shared" si="49"/>
        <v>-50</v>
      </c>
    </row>
    <row r="29" spans="5:88" x14ac:dyDescent="0.2">
      <c r="E29" s="174">
        <v>24</v>
      </c>
      <c r="F29" s="221">
        <f t="shared" si="68"/>
        <v>0.24</v>
      </c>
      <c r="G29" s="221">
        <f t="shared" si="50"/>
        <v>4.8000000000000001E-2</v>
      </c>
      <c r="H29" s="221">
        <f t="shared" si="0"/>
        <v>1.2</v>
      </c>
      <c r="I29" s="221">
        <f t="shared" si="69"/>
        <v>0.24</v>
      </c>
      <c r="J29" s="551">
        <f t="shared" si="1"/>
        <v>24</v>
      </c>
      <c r="K29" s="451">
        <f t="shared" si="2"/>
        <v>10.64</v>
      </c>
      <c r="L29" s="451">
        <f t="shared" si="3"/>
        <v>34.64</v>
      </c>
      <c r="M29" s="451"/>
      <c r="N29" s="221">
        <f t="shared" si="4"/>
        <v>0.30715935334872979</v>
      </c>
      <c r="O29" s="176">
        <f t="shared" si="51"/>
        <v>11.334180138568129</v>
      </c>
      <c r="P29" s="176">
        <f t="shared" si="5"/>
        <v>2.7202032332563508</v>
      </c>
      <c r="Q29" s="221">
        <f t="shared" si="6"/>
        <v>2.2668360277136257</v>
      </c>
      <c r="R29" s="221">
        <f t="shared" si="7"/>
        <v>2.2668360277136257</v>
      </c>
      <c r="S29" s="451">
        <f t="shared" si="8"/>
        <v>5</v>
      </c>
      <c r="T29" s="221">
        <f t="shared" si="9"/>
        <v>0.43408521303258141</v>
      </c>
      <c r="U29" s="221">
        <f t="shared" si="10"/>
        <v>0.12660818713450292</v>
      </c>
      <c r="V29" s="221">
        <f t="shared" si="11"/>
        <v>0.28558237699511935</v>
      </c>
      <c r="W29" s="201">
        <f t="shared" si="12"/>
        <v>350</v>
      </c>
      <c r="X29" s="451">
        <f t="shared" si="52"/>
        <v>350</v>
      </c>
      <c r="Z29" s="221">
        <f t="shared" si="13"/>
        <v>3.0089079511712309</v>
      </c>
      <c r="AA29" s="177">
        <f t="shared" si="14"/>
        <v>1.9795447047179149</v>
      </c>
      <c r="AB29" s="177">
        <f t="shared" si="15"/>
        <v>2.0846937306036244</v>
      </c>
      <c r="AC29" s="177"/>
      <c r="AD29" s="177">
        <f t="shared" si="16"/>
        <v>0.53947368421052622</v>
      </c>
      <c r="AE29" s="555">
        <f t="shared" si="17"/>
        <v>542.53420582986325</v>
      </c>
      <c r="AF29" s="538">
        <f t="shared" si="18"/>
        <v>0.15482894736842101</v>
      </c>
      <c r="AH29" s="177">
        <f t="shared" si="19"/>
        <v>1.0842094834863014</v>
      </c>
      <c r="AI29" s="177">
        <f t="shared" si="20"/>
        <v>1.0842094834863014</v>
      </c>
      <c r="AJ29" s="177">
        <f t="shared" si="21"/>
        <v>1.3957107285083714</v>
      </c>
      <c r="AL29" s="555">
        <f t="shared" si="22"/>
        <v>240</v>
      </c>
      <c r="AM29" s="469">
        <f t="shared" si="23"/>
        <v>350</v>
      </c>
      <c r="AO29">
        <f t="shared" si="53"/>
        <v>240</v>
      </c>
      <c r="AP29" s="469">
        <f t="shared" si="24"/>
        <v>350</v>
      </c>
      <c r="AQ29" s="469"/>
      <c r="AR29" s="5">
        <f t="shared" si="54"/>
        <v>2.8571428571428572</v>
      </c>
      <c r="AS29" s="5">
        <f t="shared" si="25"/>
        <v>0.31622776601683794</v>
      </c>
      <c r="AT29" s="5">
        <f t="shared" si="55"/>
        <v>2.5409150911260192</v>
      </c>
      <c r="AU29" s="177">
        <f t="shared" si="56"/>
        <v>0.11067971810589328</v>
      </c>
      <c r="AW29" s="5">
        <f t="shared" si="26"/>
        <v>12.458288888888889</v>
      </c>
      <c r="AX29" s="5">
        <f t="shared" si="27"/>
        <v>1.07879872</v>
      </c>
      <c r="AY29" s="5">
        <f t="shared" si="28"/>
        <v>0.49833155555555569</v>
      </c>
      <c r="AZ29" s="5">
        <f t="shared" si="29"/>
        <v>0.16123613090909089</v>
      </c>
      <c r="BA29" s="5">
        <f t="shared" si="30"/>
        <v>0.14116194950700106</v>
      </c>
      <c r="BB29" s="469">
        <f t="shared" si="31"/>
        <v>17.139433940840128</v>
      </c>
      <c r="BC29" s="5"/>
      <c r="BD29" s="177">
        <f t="shared" si="57"/>
        <v>0.20825076071758308</v>
      </c>
      <c r="BE29" s="177">
        <f t="shared" si="32"/>
        <v>1.1806241660315537</v>
      </c>
      <c r="BF29" s="177">
        <f t="shared" si="33"/>
        <v>0.23612483320631075</v>
      </c>
      <c r="BG29" s="177"/>
      <c r="BH29" s="538">
        <f t="shared" si="34"/>
        <v>4.7705217273397256E-3</v>
      </c>
      <c r="BI29" s="538">
        <f t="shared" si="35"/>
        <v>6.5724778888939586E-2</v>
      </c>
      <c r="BJ29" s="538">
        <f t="shared" si="36"/>
        <v>1.7499999999999998E-2</v>
      </c>
      <c r="BK29" s="538">
        <f t="shared" si="37"/>
        <v>9.4494456000000004E-2</v>
      </c>
      <c r="BL29">
        <f t="shared" si="38"/>
        <v>6.96E-3</v>
      </c>
      <c r="BM29">
        <f t="shared" si="39"/>
        <v>6.6500000000000004E-5</v>
      </c>
      <c r="BN29">
        <f t="shared" si="40"/>
        <v>0.19032779620213994</v>
      </c>
      <c r="BO29" s="469">
        <f t="shared" si="58"/>
        <v>190.32779620213995</v>
      </c>
      <c r="BP29" s="177">
        <f t="shared" si="41"/>
        <v>0.19817192939631242</v>
      </c>
      <c r="BQ29" s="177">
        <f t="shared" si="42"/>
        <v>2.2595677175852497E-2</v>
      </c>
      <c r="BR29" s="538"/>
      <c r="BT29" s="469">
        <f t="shared" si="59"/>
        <v>220.76760657216494</v>
      </c>
      <c r="BU29" s="538">
        <f t="shared" si="43"/>
        <v>4.3368379339452047E-3</v>
      </c>
      <c r="BV29" s="538">
        <f t="shared" si="60"/>
        <v>4.1816202642531053E-2</v>
      </c>
      <c r="BW29" s="538">
        <f t="shared" si="44"/>
        <v>2.7877468428354037E-3</v>
      </c>
      <c r="BX29" s="538">
        <f t="shared" si="45"/>
        <v>0</v>
      </c>
      <c r="BY29" s="538">
        <f t="shared" si="46"/>
        <v>5.5029135447212302E-2</v>
      </c>
      <c r="BZ29" s="538">
        <f t="shared" si="61"/>
        <v>4.8940787419311661E-2</v>
      </c>
      <c r="CA29" s="641">
        <f t="shared" si="47"/>
        <v>2.057142857142857E-2</v>
      </c>
      <c r="CB29" s="469">
        <f t="shared" si="62"/>
        <v>75.600564018640881</v>
      </c>
      <c r="CC29" s="177">
        <f t="shared" si="63"/>
        <v>0.48669596679294569</v>
      </c>
      <c r="CD29" s="5">
        <f t="shared" si="64"/>
        <v>1.44</v>
      </c>
      <c r="CE29" s="177">
        <f t="shared" si="65"/>
        <v>0.74739347817130242</v>
      </c>
      <c r="CF29" s="5">
        <f t="shared" si="66"/>
        <v>74.739347817130238</v>
      </c>
      <c r="CG29">
        <f t="shared" si="67"/>
        <v>24</v>
      </c>
      <c r="CI29" s="571">
        <f t="shared" si="48"/>
        <v>-50</v>
      </c>
      <c r="CJ29">
        <f t="shared" si="49"/>
        <v>-50</v>
      </c>
    </row>
    <row r="30" spans="5:88" x14ac:dyDescent="0.2">
      <c r="E30" s="174">
        <v>25</v>
      </c>
      <c r="F30" s="221">
        <f t="shared" si="68"/>
        <v>0.25</v>
      </c>
      <c r="G30" s="221">
        <f t="shared" si="50"/>
        <v>0.05</v>
      </c>
      <c r="H30" s="221">
        <f t="shared" si="0"/>
        <v>1.25</v>
      </c>
      <c r="I30" s="221">
        <f t="shared" si="69"/>
        <v>0.25</v>
      </c>
      <c r="J30" s="551">
        <f t="shared" si="1"/>
        <v>24</v>
      </c>
      <c r="K30" s="451">
        <f t="shared" si="2"/>
        <v>10.64</v>
      </c>
      <c r="L30" s="451">
        <f t="shared" si="3"/>
        <v>34.64</v>
      </c>
      <c r="M30" s="451"/>
      <c r="N30" s="221">
        <f t="shared" si="4"/>
        <v>0.30715935334872979</v>
      </c>
      <c r="O30" s="176">
        <f t="shared" si="51"/>
        <v>11.334180138568129</v>
      </c>
      <c r="P30" s="176">
        <f t="shared" si="5"/>
        <v>2.7202032332563508</v>
      </c>
      <c r="Q30" s="221">
        <f t="shared" si="6"/>
        <v>2.2668360277136257</v>
      </c>
      <c r="R30" s="221">
        <f t="shared" si="7"/>
        <v>2.2668360277136257</v>
      </c>
      <c r="S30" s="451">
        <f t="shared" si="8"/>
        <v>5</v>
      </c>
      <c r="T30" s="221">
        <f t="shared" si="9"/>
        <v>0.452172096908939</v>
      </c>
      <c r="U30" s="221">
        <f t="shared" si="10"/>
        <v>0.13188352826510721</v>
      </c>
      <c r="V30" s="221">
        <f t="shared" si="11"/>
        <v>0.29748164270324934</v>
      </c>
      <c r="W30" s="201">
        <f t="shared" si="12"/>
        <v>350</v>
      </c>
      <c r="X30" s="451">
        <f t="shared" si="52"/>
        <v>350</v>
      </c>
      <c r="Z30" s="221">
        <f t="shared" si="13"/>
        <v>3.0089079511712309</v>
      </c>
      <c r="AA30" s="177">
        <f t="shared" si="14"/>
        <v>1.9795447047179149</v>
      </c>
      <c r="AB30" s="177">
        <f t="shared" si="15"/>
        <v>2.0846937306036244</v>
      </c>
      <c r="AC30" s="177"/>
      <c r="AD30" s="177">
        <f t="shared" si="16"/>
        <v>0.53947368421052622</v>
      </c>
      <c r="AE30" s="555">
        <f t="shared" si="17"/>
        <v>565.13979773944095</v>
      </c>
      <c r="AF30" s="538">
        <f t="shared" si="18"/>
        <v>0.15482894736842101</v>
      </c>
      <c r="AH30" s="177">
        <f t="shared" si="19"/>
        <v>1.1065666703449761</v>
      </c>
      <c r="AI30" s="177">
        <f t="shared" si="20"/>
        <v>1.1065666703449761</v>
      </c>
      <c r="AJ30" s="177">
        <f t="shared" si="21"/>
        <v>1.4122716076629453</v>
      </c>
      <c r="AL30" s="555">
        <f t="shared" si="22"/>
        <v>250</v>
      </c>
      <c r="AM30" s="469">
        <f t="shared" si="23"/>
        <v>350</v>
      </c>
      <c r="AO30">
        <f t="shared" si="53"/>
        <v>250</v>
      </c>
      <c r="AP30" s="469">
        <f t="shared" si="24"/>
        <v>350</v>
      </c>
      <c r="AQ30" s="469"/>
      <c r="AR30" s="5">
        <f t="shared" si="54"/>
        <v>2.8571428571428572</v>
      </c>
      <c r="AS30" s="5">
        <f t="shared" si="25"/>
        <v>0.3227486121839514</v>
      </c>
      <c r="AT30" s="5">
        <f t="shared" si="55"/>
        <v>2.5343942449589059</v>
      </c>
      <c r="AU30" s="177">
        <f t="shared" si="56"/>
        <v>0.11296201426438299</v>
      </c>
      <c r="AW30" s="5">
        <f t="shared" si="26"/>
        <v>12.458288888888889</v>
      </c>
      <c r="AX30" s="5">
        <f t="shared" si="27"/>
        <v>1.1393215277777777</v>
      </c>
      <c r="AY30" s="5">
        <f t="shared" si="28"/>
        <v>0.49833155555555569</v>
      </c>
      <c r="AZ30" s="5">
        <f t="shared" si="29"/>
        <v>0.17078573232323235</v>
      </c>
      <c r="BA30" s="5">
        <f t="shared" si="30"/>
        <v>0.14666633362030701</v>
      </c>
      <c r="BB30" s="469">
        <f t="shared" si="31"/>
        <v>17.808293367770183</v>
      </c>
      <c r="BC30" s="5"/>
      <c r="BD30" s="177">
        <f t="shared" si="57"/>
        <v>0.21472527703488317</v>
      </c>
      <c r="BE30" s="177">
        <f t="shared" si="32"/>
        <v>1.2034223210634163</v>
      </c>
      <c r="BF30" s="177">
        <f t="shared" si="33"/>
        <v>0.24068446421268327</v>
      </c>
      <c r="BG30" s="177"/>
      <c r="BH30" s="538">
        <f t="shared" si="34"/>
        <v>5.0717639057478057E-3</v>
      </c>
      <c r="BI30" s="538">
        <f t="shared" si="35"/>
        <v>6.7080071556312459E-2</v>
      </c>
      <c r="BJ30" s="538">
        <f t="shared" si="36"/>
        <v>1.7499999999999998E-2</v>
      </c>
      <c r="BK30" s="538">
        <f t="shared" si="37"/>
        <v>9.4494456000000004E-2</v>
      </c>
      <c r="BL30">
        <f t="shared" si="38"/>
        <v>6.96E-3</v>
      </c>
      <c r="BM30">
        <f t="shared" si="39"/>
        <v>6.6500000000000004E-5</v>
      </c>
      <c r="BN30">
        <f t="shared" si="40"/>
        <v>0.1920371765415268</v>
      </c>
      <c r="BO30" s="469">
        <f t="shared" si="58"/>
        <v>192.0371765415268</v>
      </c>
      <c r="BP30" s="177">
        <f t="shared" si="41"/>
        <v>0.20614441160849167</v>
      </c>
      <c r="BQ30" s="177">
        <f t="shared" si="42"/>
        <v>2.3525776464339669E-2</v>
      </c>
      <c r="BR30" s="538"/>
      <c r="BT30" s="469">
        <f t="shared" si="59"/>
        <v>229.67018807283134</v>
      </c>
      <c r="BU30" s="538">
        <f t="shared" si="43"/>
        <v>4.610694459770733E-3</v>
      </c>
      <c r="BV30" s="538">
        <f t="shared" si="60"/>
        <v>4.3446758485009805E-2</v>
      </c>
      <c r="BW30" s="538">
        <f t="shared" si="44"/>
        <v>2.8964505656673208E-3</v>
      </c>
      <c r="BX30" s="538">
        <f t="shared" si="45"/>
        <v>0</v>
      </c>
      <c r="BY30" s="538">
        <f t="shared" si="46"/>
        <v>5.7301952584738657E-2</v>
      </c>
      <c r="BZ30" s="538">
        <f t="shared" si="61"/>
        <v>5.0953903510447859E-2</v>
      </c>
      <c r="CA30" s="641">
        <f t="shared" si="47"/>
        <v>2.1428571428571429E-2</v>
      </c>
      <c r="CB30" s="469">
        <f t="shared" si="62"/>
        <v>78.730524013310088</v>
      </c>
      <c r="CC30" s="177">
        <f t="shared" si="63"/>
        <v>0.50043788862766825</v>
      </c>
      <c r="CD30" s="5">
        <f t="shared" si="64"/>
        <v>1.5</v>
      </c>
      <c r="CE30" s="177">
        <f t="shared" si="65"/>
        <v>0.74983582770921398</v>
      </c>
      <c r="CF30" s="5">
        <f t="shared" si="66"/>
        <v>74.983582770921402</v>
      </c>
      <c r="CG30">
        <f t="shared" si="67"/>
        <v>25</v>
      </c>
      <c r="CI30" s="571">
        <f t="shared" si="48"/>
        <v>-50</v>
      </c>
      <c r="CJ30">
        <f t="shared" si="49"/>
        <v>-50</v>
      </c>
    </row>
    <row r="31" spans="5:88" x14ac:dyDescent="0.2">
      <c r="E31" s="174">
        <v>26</v>
      </c>
      <c r="F31" s="221">
        <f t="shared" si="68"/>
        <v>0.26</v>
      </c>
      <c r="G31" s="221">
        <f t="shared" si="50"/>
        <v>5.2000000000000005E-2</v>
      </c>
      <c r="H31" s="221">
        <f t="shared" si="0"/>
        <v>1.3</v>
      </c>
      <c r="I31" s="221">
        <f t="shared" si="69"/>
        <v>0.26</v>
      </c>
      <c r="J31" s="551">
        <f t="shared" si="1"/>
        <v>24</v>
      </c>
      <c r="K31" s="451">
        <f t="shared" si="2"/>
        <v>10.64</v>
      </c>
      <c r="L31" s="451">
        <f t="shared" si="3"/>
        <v>34.64</v>
      </c>
      <c r="M31" s="451"/>
      <c r="N31" s="221">
        <f t="shared" si="4"/>
        <v>0.30715935334872979</v>
      </c>
      <c r="O31" s="176">
        <f t="shared" si="51"/>
        <v>11.334180138568129</v>
      </c>
      <c r="P31" s="176">
        <f t="shared" si="5"/>
        <v>2.7202032332563508</v>
      </c>
      <c r="Q31" s="221">
        <f t="shared" si="6"/>
        <v>2.2668360277136257</v>
      </c>
      <c r="R31" s="221">
        <f t="shared" si="7"/>
        <v>2.2668360277136257</v>
      </c>
      <c r="S31" s="451">
        <f t="shared" si="8"/>
        <v>5</v>
      </c>
      <c r="T31" s="221">
        <f t="shared" si="9"/>
        <v>0.4702589807852966</v>
      </c>
      <c r="U31" s="221">
        <f t="shared" si="10"/>
        <v>0.13715886939571151</v>
      </c>
      <c r="V31" s="221">
        <f t="shared" si="11"/>
        <v>0.30938090841137933</v>
      </c>
      <c r="W31" s="201">
        <f t="shared" si="12"/>
        <v>350</v>
      </c>
      <c r="X31" s="451">
        <f t="shared" si="52"/>
        <v>350</v>
      </c>
      <c r="Z31" s="221">
        <f t="shared" si="13"/>
        <v>3.0089079511712309</v>
      </c>
      <c r="AA31" s="177">
        <f t="shared" si="14"/>
        <v>1.9795447047179149</v>
      </c>
      <c r="AB31" s="177">
        <f t="shared" si="15"/>
        <v>2.0846937306036244</v>
      </c>
      <c r="AC31" s="177"/>
      <c r="AD31" s="177">
        <f t="shared" si="16"/>
        <v>0.53947368421052622</v>
      </c>
      <c r="AE31" s="555">
        <f t="shared" si="17"/>
        <v>587.74538964901853</v>
      </c>
      <c r="AF31" s="538">
        <f t="shared" si="18"/>
        <v>0.15482894736842101</v>
      </c>
      <c r="AH31" s="177">
        <f t="shared" si="19"/>
        <v>1.1284810090360857</v>
      </c>
      <c r="AI31" s="177">
        <f t="shared" si="20"/>
        <v>1.1284810090360857</v>
      </c>
      <c r="AJ31" s="177">
        <f t="shared" si="21"/>
        <v>1.4285044511378413</v>
      </c>
      <c r="AL31" s="555">
        <f t="shared" si="22"/>
        <v>260</v>
      </c>
      <c r="AM31" s="469">
        <f t="shared" si="23"/>
        <v>350</v>
      </c>
      <c r="AO31">
        <f t="shared" si="53"/>
        <v>260</v>
      </c>
      <c r="AP31" s="469">
        <f t="shared" si="24"/>
        <v>350</v>
      </c>
      <c r="AQ31" s="469"/>
      <c r="AR31" s="5">
        <f t="shared" si="54"/>
        <v>2.8571428571428572</v>
      </c>
      <c r="AS31" s="5">
        <f t="shared" si="25"/>
        <v>0.32914029430219166</v>
      </c>
      <c r="AT31" s="5">
        <f t="shared" si="55"/>
        <v>2.5280025628406655</v>
      </c>
      <c r="AU31" s="177">
        <f t="shared" si="56"/>
        <v>0.11519910300576708</v>
      </c>
      <c r="AW31" s="5">
        <f t="shared" si="26"/>
        <v>12.458288888888889</v>
      </c>
      <c r="AX31" s="5">
        <f t="shared" si="27"/>
        <v>1.2010901644444445</v>
      </c>
      <c r="AY31" s="5">
        <f t="shared" si="28"/>
        <v>0.49833155555555569</v>
      </c>
      <c r="AZ31" s="5">
        <f t="shared" si="29"/>
        <v>0.18056184808080811</v>
      </c>
      <c r="BA31" s="5">
        <f t="shared" si="30"/>
        <v>0.15214830239318822</v>
      </c>
      <c r="BB31" s="469">
        <f t="shared" si="31"/>
        <v>18.474462953849255</v>
      </c>
      <c r="BC31" s="5"/>
      <c r="BD31" s="177">
        <f t="shared" si="57"/>
        <v>0.22113535159466713</v>
      </c>
      <c r="BE31" s="177">
        <f t="shared" si="32"/>
        <v>1.2257062489739869</v>
      </c>
      <c r="BF31" s="177">
        <f t="shared" si="33"/>
        <v>0.2451412497947974</v>
      </c>
      <c r="BG31" s="177"/>
      <c r="BH31" s="538">
        <f t="shared" si="34"/>
        <v>5.3790928097386757E-3</v>
      </c>
      <c r="BI31" s="538">
        <f t="shared" si="35"/>
        <v>6.8408518767767518E-2</v>
      </c>
      <c r="BJ31" s="538">
        <f t="shared" si="36"/>
        <v>1.7499999999999998E-2</v>
      </c>
      <c r="BK31" s="538">
        <f t="shared" si="37"/>
        <v>9.4494456000000004E-2</v>
      </c>
      <c r="BL31">
        <f t="shared" si="38"/>
        <v>6.96E-3</v>
      </c>
      <c r="BM31">
        <f t="shared" si="39"/>
        <v>6.6500000000000004E-5</v>
      </c>
      <c r="BN31">
        <f t="shared" si="40"/>
        <v>0.19372700804690979</v>
      </c>
      <c r="BO31" s="469">
        <f t="shared" si="58"/>
        <v>193.72700804690979</v>
      </c>
      <c r="BP31" s="177">
        <f t="shared" si="41"/>
        <v>0.21409998379032455</v>
      </c>
      <c r="BQ31" s="177">
        <f t="shared" si="42"/>
        <v>2.4455199351612982E-2</v>
      </c>
      <c r="BR31" s="538"/>
      <c r="BT31" s="469">
        <f t="shared" si="59"/>
        <v>238.55518314193753</v>
      </c>
      <c r="BU31" s="538">
        <f t="shared" si="43"/>
        <v>4.8900843724897052E-3</v>
      </c>
      <c r="BV31" s="538">
        <f t="shared" si="60"/>
        <v>4.507067426321644E-2</v>
      </c>
      <c r="BW31" s="538">
        <f t="shared" si="44"/>
        <v>3.0047116175477631E-3</v>
      </c>
      <c r="BX31" s="538">
        <f t="shared" si="45"/>
        <v>0</v>
      </c>
      <c r="BY31" s="538">
        <f t="shared" si="46"/>
        <v>5.9573754838827632E-2</v>
      </c>
      <c r="BZ31" s="538">
        <f t="shared" si="61"/>
        <v>5.2965470253253912E-2</v>
      </c>
      <c r="CA31" s="641">
        <f t="shared" si="47"/>
        <v>2.2285714285714291E-2</v>
      </c>
      <c r="CB31" s="469">
        <f t="shared" si="62"/>
        <v>81.859469124541917</v>
      </c>
      <c r="CC31" s="177">
        <f t="shared" si="63"/>
        <v>0.51414166031338926</v>
      </c>
      <c r="CD31" s="5">
        <f t="shared" si="64"/>
        <v>1.56</v>
      </c>
      <c r="CE31" s="177">
        <f t="shared" si="65"/>
        <v>0.75211834844698799</v>
      </c>
      <c r="CF31" s="5">
        <f t="shared" si="66"/>
        <v>75.211834844698799</v>
      </c>
      <c r="CG31">
        <f t="shared" si="67"/>
        <v>26</v>
      </c>
      <c r="CI31" s="571">
        <f t="shared" si="48"/>
        <v>-50</v>
      </c>
      <c r="CJ31">
        <f t="shared" si="49"/>
        <v>-50</v>
      </c>
    </row>
    <row r="32" spans="5:88" x14ac:dyDescent="0.2">
      <c r="E32" s="174">
        <v>27</v>
      </c>
      <c r="F32" s="221">
        <f t="shared" si="68"/>
        <v>0.27</v>
      </c>
      <c r="G32" s="221">
        <f t="shared" si="50"/>
        <v>5.4000000000000006E-2</v>
      </c>
      <c r="H32" s="221">
        <f t="shared" si="0"/>
        <v>1.35</v>
      </c>
      <c r="I32" s="221">
        <f t="shared" si="69"/>
        <v>0.27</v>
      </c>
      <c r="J32" s="551">
        <f t="shared" si="1"/>
        <v>24</v>
      </c>
      <c r="K32" s="451">
        <f t="shared" si="2"/>
        <v>10.64</v>
      </c>
      <c r="L32" s="451">
        <f t="shared" si="3"/>
        <v>34.64</v>
      </c>
      <c r="M32" s="451"/>
      <c r="N32" s="221">
        <f t="shared" si="4"/>
        <v>0.30715935334872979</v>
      </c>
      <c r="O32" s="176">
        <f t="shared" si="51"/>
        <v>11.334180138568129</v>
      </c>
      <c r="P32" s="176">
        <f t="shared" si="5"/>
        <v>2.7202032332563508</v>
      </c>
      <c r="Q32" s="221">
        <f t="shared" si="6"/>
        <v>2.2668360277136257</v>
      </c>
      <c r="R32" s="221">
        <f t="shared" si="7"/>
        <v>2.2668360277136257</v>
      </c>
      <c r="S32" s="451">
        <f t="shared" si="8"/>
        <v>5</v>
      </c>
      <c r="T32" s="221">
        <f t="shared" si="9"/>
        <v>0.48834586466165414</v>
      </c>
      <c r="U32" s="221">
        <f t="shared" si="10"/>
        <v>0.1424342105263158</v>
      </c>
      <c r="V32" s="221">
        <f t="shared" si="11"/>
        <v>0.32128017411950927</v>
      </c>
      <c r="W32" s="201">
        <f t="shared" si="12"/>
        <v>350</v>
      </c>
      <c r="X32" s="451">
        <f t="shared" si="52"/>
        <v>350</v>
      </c>
      <c r="Z32" s="221">
        <f t="shared" si="13"/>
        <v>3.0089079511712309</v>
      </c>
      <c r="AA32" s="177">
        <f t="shared" si="14"/>
        <v>1.9795447047179149</v>
      </c>
      <c r="AB32" s="177">
        <f t="shared" si="15"/>
        <v>2.0846937306036244</v>
      </c>
      <c r="AC32" s="177"/>
      <c r="AD32" s="177">
        <f t="shared" si="16"/>
        <v>0.53947368421052622</v>
      </c>
      <c r="AE32" s="555">
        <f t="shared" si="17"/>
        <v>610.35098155859623</v>
      </c>
      <c r="AF32" s="538">
        <f t="shared" si="18"/>
        <v>0.15482894736842101</v>
      </c>
      <c r="AH32" s="177">
        <f t="shared" si="19"/>
        <v>1.149977816999892</v>
      </c>
      <c r="AI32" s="177">
        <f t="shared" si="20"/>
        <v>1.149977816999892</v>
      </c>
      <c r="AJ32" s="177">
        <f t="shared" si="21"/>
        <v>1.4444280125925126</v>
      </c>
      <c r="AL32" s="555">
        <f t="shared" si="22"/>
        <v>270</v>
      </c>
      <c r="AM32" s="469">
        <f t="shared" si="23"/>
        <v>350</v>
      </c>
      <c r="AO32">
        <f t="shared" si="53"/>
        <v>270</v>
      </c>
      <c r="AP32" s="469">
        <f t="shared" si="24"/>
        <v>350</v>
      </c>
      <c r="AQ32" s="469"/>
      <c r="AR32" s="5">
        <f t="shared" si="54"/>
        <v>2.8571428571428572</v>
      </c>
      <c r="AS32" s="5">
        <f t="shared" si="25"/>
        <v>0.33541019662496852</v>
      </c>
      <c r="AT32" s="5">
        <f t="shared" si="55"/>
        <v>2.5217326605178885</v>
      </c>
      <c r="AU32" s="177">
        <f t="shared" si="56"/>
        <v>0.11739356881873898</v>
      </c>
      <c r="AW32" s="5">
        <f t="shared" si="26"/>
        <v>12.458288888888889</v>
      </c>
      <c r="AX32" s="5">
        <f t="shared" si="27"/>
        <v>1.2641046300000001</v>
      </c>
      <c r="AY32" s="5">
        <f t="shared" si="28"/>
        <v>0.49833155555555569</v>
      </c>
      <c r="AZ32" s="5">
        <f t="shared" si="29"/>
        <v>0.19056447818181821</v>
      </c>
      <c r="BA32" s="5">
        <f t="shared" si="30"/>
        <v>0.157608291282368</v>
      </c>
      <c r="BB32" s="469">
        <f t="shared" si="31"/>
        <v>19.13799495388416</v>
      </c>
      <c r="BC32" s="5"/>
      <c r="BD32" s="177">
        <f t="shared" si="57"/>
        <v>0.22748406925539896</v>
      </c>
      <c r="BE32" s="177">
        <f t="shared" si="32"/>
        <v>1.2475052300741947</v>
      </c>
      <c r="BF32" s="177">
        <f t="shared" si="33"/>
        <v>0.24950104601483894</v>
      </c>
      <c r="BG32" s="177"/>
      <c r="BH32" s="538">
        <f t="shared" si="34"/>
        <v>5.6923901941494668E-3</v>
      </c>
      <c r="BI32" s="538">
        <f t="shared" si="35"/>
        <v>6.9711655266533459E-2</v>
      </c>
      <c r="BJ32" s="538">
        <f t="shared" si="36"/>
        <v>1.7499999999999998E-2</v>
      </c>
      <c r="BK32" s="538">
        <f t="shared" si="37"/>
        <v>9.4494456000000004E-2</v>
      </c>
      <c r="BL32">
        <f t="shared" si="38"/>
        <v>6.96E-3</v>
      </c>
      <c r="BM32">
        <f t="shared" si="39"/>
        <v>6.6500000000000004E-5</v>
      </c>
      <c r="BN32">
        <f t="shared" si="40"/>
        <v>0.19539869082854738</v>
      </c>
      <c r="BO32" s="469">
        <f t="shared" si="58"/>
        <v>195.39869082854739</v>
      </c>
      <c r="BP32" s="177">
        <f t="shared" si="41"/>
        <v>0.22203897444837267</v>
      </c>
      <c r="BQ32" s="177">
        <f t="shared" si="42"/>
        <v>2.5383958977934912E-2</v>
      </c>
      <c r="BR32" s="538"/>
      <c r="BT32" s="469">
        <f t="shared" si="59"/>
        <v>247.42293342630759</v>
      </c>
      <c r="BU32" s="538">
        <f t="shared" si="43"/>
        <v>5.174900176499516E-3</v>
      </c>
      <c r="BV32" s="538">
        <f t="shared" si="60"/>
        <v>4.6688078971874082E-2</v>
      </c>
      <c r="BW32" s="538">
        <f t="shared" si="44"/>
        <v>3.1125385981249391E-3</v>
      </c>
      <c r="BX32" s="538">
        <f t="shared" si="45"/>
        <v>0</v>
      </c>
      <c r="BY32" s="538">
        <f t="shared" si="46"/>
        <v>6.184457487797667E-2</v>
      </c>
      <c r="BZ32" s="538">
        <f t="shared" si="61"/>
        <v>5.4975517746498531E-2</v>
      </c>
      <c r="CA32" s="641">
        <f t="shared" si="47"/>
        <v>2.3142857142857149E-2</v>
      </c>
      <c r="CB32" s="469">
        <f t="shared" si="62"/>
        <v>84.987432020833822</v>
      </c>
      <c r="CC32" s="177">
        <f t="shared" si="63"/>
        <v>0.52780905627568875</v>
      </c>
      <c r="CD32" s="5">
        <f t="shared" si="64"/>
        <v>1.62</v>
      </c>
      <c r="CE32" s="177">
        <f t="shared" si="65"/>
        <v>0.75425699284883729</v>
      </c>
      <c r="CF32" s="5">
        <f t="shared" si="66"/>
        <v>75.425699284883734</v>
      </c>
      <c r="CG32">
        <f t="shared" si="67"/>
        <v>27</v>
      </c>
      <c r="CI32" s="571">
        <f t="shared" si="48"/>
        <v>-50</v>
      </c>
      <c r="CJ32">
        <f t="shared" si="49"/>
        <v>-50</v>
      </c>
    </row>
    <row r="33" spans="5:88" x14ac:dyDescent="0.2">
      <c r="E33" s="174">
        <v>28</v>
      </c>
      <c r="F33" s="221">
        <f t="shared" si="68"/>
        <v>0.28000000000000003</v>
      </c>
      <c r="G33" s="221">
        <f t="shared" si="50"/>
        <v>5.6000000000000008E-2</v>
      </c>
      <c r="H33" s="221">
        <f t="shared" si="0"/>
        <v>1.4000000000000001</v>
      </c>
      <c r="I33" s="221">
        <f t="shared" si="69"/>
        <v>0.28000000000000003</v>
      </c>
      <c r="J33" s="551">
        <f t="shared" si="1"/>
        <v>24</v>
      </c>
      <c r="K33" s="451">
        <f t="shared" si="2"/>
        <v>10.64</v>
      </c>
      <c r="L33" s="451">
        <f t="shared" si="3"/>
        <v>34.64</v>
      </c>
      <c r="M33" s="451"/>
      <c r="N33" s="221">
        <f t="shared" si="4"/>
        <v>0.30715935334872979</v>
      </c>
      <c r="O33" s="176">
        <f t="shared" si="51"/>
        <v>11.334180138568129</v>
      </c>
      <c r="P33" s="176">
        <f t="shared" si="5"/>
        <v>2.7202032332563508</v>
      </c>
      <c r="Q33" s="221">
        <f t="shared" si="6"/>
        <v>2.2668360277136257</v>
      </c>
      <c r="R33" s="221">
        <f t="shared" si="7"/>
        <v>2.2668360277136257</v>
      </c>
      <c r="S33" s="451">
        <f t="shared" si="8"/>
        <v>5</v>
      </c>
      <c r="T33" s="221">
        <f t="shared" si="9"/>
        <v>0.50643274853801168</v>
      </c>
      <c r="U33" s="221">
        <f t="shared" si="10"/>
        <v>0.1477095516569201</v>
      </c>
      <c r="V33" s="221">
        <f t="shared" si="11"/>
        <v>0.3331794398276392</v>
      </c>
      <c r="W33" s="201">
        <f t="shared" si="12"/>
        <v>350</v>
      </c>
      <c r="X33" s="451">
        <f t="shared" si="52"/>
        <v>350</v>
      </c>
      <c r="Z33" s="221">
        <f t="shared" si="13"/>
        <v>3.0089079511712309</v>
      </c>
      <c r="AA33" s="177">
        <f t="shared" si="14"/>
        <v>1.9795447047179149</v>
      </c>
      <c r="AB33" s="177">
        <f t="shared" si="15"/>
        <v>2.0846937306036244</v>
      </c>
      <c r="AC33" s="177"/>
      <c r="AD33" s="177">
        <f t="shared" si="16"/>
        <v>0.53947368421052622</v>
      </c>
      <c r="AE33" s="555">
        <f t="shared" si="17"/>
        <v>632.95657346817381</v>
      </c>
      <c r="AF33" s="538">
        <f t="shared" si="18"/>
        <v>0.15482894736842101</v>
      </c>
      <c r="AH33" s="177">
        <f t="shared" si="19"/>
        <v>1.1710800875382399</v>
      </c>
      <c r="AI33" s="177">
        <f t="shared" si="20"/>
        <v>1.1710800875382399</v>
      </c>
      <c r="AJ33" s="177">
        <f t="shared" si="21"/>
        <v>1.4600593241023998</v>
      </c>
      <c r="AL33" s="555">
        <f t="shared" si="22"/>
        <v>280</v>
      </c>
      <c r="AM33" s="469">
        <f t="shared" si="23"/>
        <v>350</v>
      </c>
      <c r="AO33">
        <f t="shared" si="53"/>
        <v>280</v>
      </c>
      <c r="AP33" s="469">
        <f t="shared" si="24"/>
        <v>350</v>
      </c>
      <c r="AQ33" s="469"/>
      <c r="AR33" s="5">
        <f t="shared" si="54"/>
        <v>2.8571428571428572</v>
      </c>
      <c r="AS33" s="5">
        <f t="shared" si="25"/>
        <v>0.34156502553198664</v>
      </c>
      <c r="AT33" s="5">
        <f t="shared" si="55"/>
        <v>2.5155778316108703</v>
      </c>
      <c r="AU33" s="177">
        <f t="shared" si="56"/>
        <v>0.11954775893619532</v>
      </c>
      <c r="AW33" s="5">
        <f t="shared" si="26"/>
        <v>12.458288888888889</v>
      </c>
      <c r="AX33" s="5">
        <f t="shared" si="27"/>
        <v>1.3283649244444444</v>
      </c>
      <c r="AY33" s="5">
        <f t="shared" si="28"/>
        <v>0.49833155555555569</v>
      </c>
      <c r="AZ33" s="5">
        <f t="shared" si="29"/>
        <v>0.20079362262626266</v>
      </c>
      <c r="BA33" s="5">
        <f t="shared" si="30"/>
        <v>0.16304671130811194</v>
      </c>
      <c r="BB33" s="469">
        <f t="shared" si="31"/>
        <v>19.79893869030677</v>
      </c>
      <c r="BC33" s="5"/>
      <c r="BD33" s="177">
        <f t="shared" si="57"/>
        <v>0.23377425881631594</v>
      </c>
      <c r="BE33" s="177">
        <f t="shared" si="32"/>
        <v>1.2688458583417284</v>
      </c>
      <c r="BF33" s="177">
        <f t="shared" si="33"/>
        <v>0.25376917166834567</v>
      </c>
      <c r="BG33" s="177"/>
      <c r="BH33" s="538">
        <f t="shared" si="34"/>
        <v>6.0115444493629659E-3</v>
      </c>
      <c r="BI33" s="538">
        <f t="shared" si="35"/>
        <v>7.0990874906568108E-2</v>
      </c>
      <c r="BJ33" s="538">
        <f t="shared" si="36"/>
        <v>1.7499999999999998E-2</v>
      </c>
      <c r="BK33" s="538">
        <f t="shared" si="37"/>
        <v>9.4494456000000004E-2</v>
      </c>
      <c r="BL33">
        <f t="shared" si="38"/>
        <v>6.96E-3</v>
      </c>
      <c r="BM33">
        <f t="shared" si="39"/>
        <v>6.6500000000000004E-5</v>
      </c>
      <c r="BN33">
        <f t="shared" si="40"/>
        <v>0.19705349178626611</v>
      </c>
      <c r="BO33" s="469">
        <f t="shared" si="58"/>
        <v>197.05349178626611</v>
      </c>
      <c r="BP33" s="177">
        <f t="shared" si="41"/>
        <v>0.22996169365444519</v>
      </c>
      <c r="BQ33" s="177">
        <f t="shared" si="42"/>
        <v>2.6312067746177809E-2</v>
      </c>
      <c r="BR33" s="538"/>
      <c r="BT33" s="469">
        <f t="shared" si="59"/>
        <v>256.27376140062296</v>
      </c>
      <c r="BU33" s="538">
        <f t="shared" si="43"/>
        <v>5.4650404085117878E-3</v>
      </c>
      <c r="BV33" s="538">
        <f t="shared" si="60"/>
        <v>4.8299094366928717E-2</v>
      </c>
      <c r="BW33" s="538">
        <f t="shared" si="44"/>
        <v>3.2199396244619151E-3</v>
      </c>
      <c r="BX33" s="538">
        <f t="shared" si="45"/>
        <v>0</v>
      </c>
      <c r="BY33" s="538">
        <f t="shared" si="46"/>
        <v>6.4114443505396315E-2</v>
      </c>
      <c r="BZ33" s="538">
        <f t="shared" si="61"/>
        <v>5.6984074399902426E-2</v>
      </c>
      <c r="CA33" s="641">
        <f t="shared" si="47"/>
        <v>2.4000000000000004E-2</v>
      </c>
      <c r="CB33" s="469">
        <f t="shared" si="62"/>
        <v>88.114443505396324</v>
      </c>
      <c r="CC33" s="177">
        <f t="shared" si="63"/>
        <v>0.54144169669228537</v>
      </c>
      <c r="CD33" s="5">
        <f t="shared" si="64"/>
        <v>1.6800000000000002</v>
      </c>
      <c r="CE33" s="177">
        <f t="shared" si="65"/>
        <v>0.75626562808355979</v>
      </c>
      <c r="CF33" s="5">
        <f t="shared" si="66"/>
        <v>75.626562808355985</v>
      </c>
      <c r="CG33">
        <f t="shared" si="67"/>
        <v>28.000000000000004</v>
      </c>
      <c r="CI33" s="571">
        <f t="shared" si="48"/>
        <v>-50</v>
      </c>
      <c r="CJ33">
        <f t="shared" si="49"/>
        <v>-50</v>
      </c>
    </row>
    <row r="34" spans="5:88" x14ac:dyDescent="0.2">
      <c r="E34" s="174">
        <v>29</v>
      </c>
      <c r="F34" s="221">
        <f t="shared" si="68"/>
        <v>0.28999999999999998</v>
      </c>
      <c r="G34" s="221">
        <f t="shared" si="50"/>
        <v>5.7999999999999996E-2</v>
      </c>
      <c r="H34" s="221">
        <f t="shared" si="0"/>
        <v>1.45</v>
      </c>
      <c r="I34" s="221">
        <f t="shared" si="69"/>
        <v>0.28999999999999998</v>
      </c>
      <c r="J34" s="551">
        <f t="shared" si="1"/>
        <v>24</v>
      </c>
      <c r="K34" s="451">
        <f t="shared" si="2"/>
        <v>10.64</v>
      </c>
      <c r="L34" s="451">
        <f t="shared" si="3"/>
        <v>34.64</v>
      </c>
      <c r="M34" s="451"/>
      <c r="N34" s="221">
        <f t="shared" si="4"/>
        <v>0.30715935334872979</v>
      </c>
      <c r="O34" s="176">
        <f t="shared" si="51"/>
        <v>11.334180138568129</v>
      </c>
      <c r="P34" s="176">
        <f t="shared" si="5"/>
        <v>2.7202032332563508</v>
      </c>
      <c r="Q34" s="221">
        <f t="shared" si="6"/>
        <v>2.2668360277136257</v>
      </c>
      <c r="R34" s="221">
        <f t="shared" si="7"/>
        <v>2.2668360277136257</v>
      </c>
      <c r="S34" s="451">
        <f t="shared" si="8"/>
        <v>5</v>
      </c>
      <c r="T34" s="221">
        <f t="shared" si="9"/>
        <v>0.52451963241436927</v>
      </c>
      <c r="U34" s="221">
        <f t="shared" si="10"/>
        <v>0.15298489278752439</v>
      </c>
      <c r="V34" s="221">
        <f t="shared" si="11"/>
        <v>0.3450787055357693</v>
      </c>
      <c r="W34" s="201">
        <f t="shared" si="12"/>
        <v>350</v>
      </c>
      <c r="X34" s="451">
        <f t="shared" si="52"/>
        <v>350</v>
      </c>
      <c r="Z34" s="221">
        <f t="shared" si="13"/>
        <v>3.0089079511712309</v>
      </c>
      <c r="AA34" s="177">
        <f t="shared" si="14"/>
        <v>1.9795447047179149</v>
      </c>
      <c r="AB34" s="177">
        <f t="shared" si="15"/>
        <v>2.0846937306036244</v>
      </c>
      <c r="AC34" s="177"/>
      <c r="AD34" s="177">
        <f t="shared" si="16"/>
        <v>0.53947368421052622</v>
      </c>
      <c r="AE34" s="555">
        <f t="shared" si="17"/>
        <v>655.56216537775151</v>
      </c>
      <c r="AF34" s="538">
        <f t="shared" si="18"/>
        <v>0.15482894736842101</v>
      </c>
      <c r="AH34" s="177">
        <f t="shared" si="19"/>
        <v>1.1918087779779549</v>
      </c>
      <c r="AI34" s="177">
        <f t="shared" si="20"/>
        <v>1.1918087779779549</v>
      </c>
      <c r="AJ34" s="177">
        <f t="shared" si="21"/>
        <v>1.4754139096132999</v>
      </c>
      <c r="AL34" s="555">
        <f t="shared" si="22"/>
        <v>290</v>
      </c>
      <c r="AM34" s="469">
        <f t="shared" si="23"/>
        <v>350</v>
      </c>
      <c r="AO34">
        <f t="shared" si="53"/>
        <v>290</v>
      </c>
      <c r="AP34" s="469">
        <f t="shared" si="24"/>
        <v>350</v>
      </c>
      <c r="AQ34" s="469"/>
      <c r="AR34" s="5">
        <f t="shared" si="54"/>
        <v>2.8571428571428572</v>
      </c>
      <c r="AS34" s="5">
        <f t="shared" si="25"/>
        <v>0.3476108935769035</v>
      </c>
      <c r="AT34" s="5">
        <f t="shared" si="55"/>
        <v>2.5095319635659536</v>
      </c>
      <c r="AU34" s="177">
        <f t="shared" si="56"/>
        <v>0.12166381275191622</v>
      </c>
      <c r="AW34" s="5">
        <f t="shared" si="26"/>
        <v>12.458288888888889</v>
      </c>
      <c r="AX34" s="5">
        <f t="shared" si="27"/>
        <v>1.3938710477777776</v>
      </c>
      <c r="AY34" s="5">
        <f t="shared" si="28"/>
        <v>0.49833155555555569</v>
      </c>
      <c r="AZ34" s="5">
        <f t="shared" si="29"/>
        <v>0.2112492814141414</v>
      </c>
      <c r="BA34" s="5">
        <f t="shared" si="30"/>
        <v>0.16846395125789967</v>
      </c>
      <c r="BB34" s="469">
        <f t="shared" si="31"/>
        <v>20.457340817614625</v>
      </c>
      <c r="BC34" s="5"/>
      <c r="BD34" s="177">
        <f t="shared" si="57"/>
        <v>0.24000852263117897</v>
      </c>
      <c r="BE34" s="177">
        <f t="shared" si="32"/>
        <v>1.2897523744029331</v>
      </c>
      <c r="BF34" s="177">
        <f t="shared" si="33"/>
        <v>0.25795047488058664</v>
      </c>
      <c r="BG34" s="177"/>
      <c r="BH34" s="538">
        <f t="shared" si="34"/>
        <v>6.3364500029161261E-3</v>
      </c>
      <c r="BI34" s="538">
        <f t="shared" si="35"/>
        <v>7.2247448121023627E-2</v>
      </c>
      <c r="BJ34" s="538">
        <f t="shared" si="36"/>
        <v>1.7499999999999998E-2</v>
      </c>
      <c r="BK34" s="538">
        <f t="shared" si="37"/>
        <v>9.4494456000000004E-2</v>
      </c>
      <c r="BL34">
        <f t="shared" si="38"/>
        <v>6.96E-3</v>
      </c>
      <c r="BM34">
        <f t="shared" si="39"/>
        <v>6.6500000000000004E-5</v>
      </c>
      <c r="BN34">
        <f t="shared" si="40"/>
        <v>0.19869256138560951</v>
      </c>
      <c r="BO34" s="469">
        <f t="shared" si="58"/>
        <v>198.69256138560951</v>
      </c>
      <c r="BP34" s="177">
        <f t="shared" si="41"/>
        <v>0.23786843470803951</v>
      </c>
      <c r="BQ34" s="177">
        <f t="shared" si="42"/>
        <v>2.7239537388321577E-2</v>
      </c>
      <c r="BR34" s="538"/>
      <c r="BT34" s="469">
        <f t="shared" si="59"/>
        <v>265.10797209636104</v>
      </c>
      <c r="BU34" s="538">
        <f t="shared" si="43"/>
        <v>5.7604090935601156E-3</v>
      </c>
      <c r="BV34" s="538">
        <f t="shared" si="60"/>
        <v>4.9903835618340116E-2</v>
      </c>
      <c r="BW34" s="538">
        <f t="shared" si="44"/>
        <v>3.3269223745560081E-3</v>
      </c>
      <c r="BX34" s="538">
        <f t="shared" si="45"/>
        <v>0</v>
      </c>
      <c r="BY34" s="538">
        <f t="shared" si="46"/>
        <v>6.6383389828120268E-2</v>
      </c>
      <c r="BZ34" s="538">
        <f t="shared" si="61"/>
        <v>5.8991167086456242E-2</v>
      </c>
      <c r="CA34" s="641">
        <f t="shared" si="47"/>
        <v>2.4857142857142862E-2</v>
      </c>
      <c r="CB34" s="469">
        <f t="shared" si="62"/>
        <v>91.240532685263133</v>
      </c>
      <c r="CC34" s="177">
        <f t="shared" si="63"/>
        <v>0.55504106616723381</v>
      </c>
      <c r="CD34" s="5">
        <f t="shared" si="64"/>
        <v>1.74</v>
      </c>
      <c r="CE34" s="177">
        <f t="shared" si="65"/>
        <v>0.75815636837637768</v>
      </c>
      <c r="CF34" s="5">
        <f t="shared" si="66"/>
        <v>75.815636837637769</v>
      </c>
      <c r="CG34">
        <f t="shared" si="67"/>
        <v>28.999999999999996</v>
      </c>
      <c r="CI34" s="571">
        <f t="shared" si="48"/>
        <v>-50</v>
      </c>
      <c r="CJ34">
        <f t="shared" si="49"/>
        <v>-50</v>
      </c>
    </row>
    <row r="35" spans="5:88" x14ac:dyDescent="0.2">
      <c r="E35" s="174">
        <v>30</v>
      </c>
      <c r="F35" s="221">
        <f t="shared" si="68"/>
        <v>0.3</v>
      </c>
      <c r="G35" s="221">
        <f t="shared" si="50"/>
        <v>0.06</v>
      </c>
      <c r="H35" s="221">
        <f t="shared" si="0"/>
        <v>1.5</v>
      </c>
      <c r="I35" s="221">
        <f t="shared" si="69"/>
        <v>0.3</v>
      </c>
      <c r="J35" s="551">
        <f t="shared" si="1"/>
        <v>24</v>
      </c>
      <c r="K35" s="451">
        <f t="shared" si="2"/>
        <v>10.64</v>
      </c>
      <c r="L35" s="451">
        <f t="shared" si="3"/>
        <v>34.64</v>
      </c>
      <c r="M35" s="451"/>
      <c r="N35" s="221">
        <f t="shared" si="4"/>
        <v>0.30715935334872979</v>
      </c>
      <c r="O35" s="176">
        <f t="shared" si="51"/>
        <v>11.334180138568129</v>
      </c>
      <c r="P35" s="176">
        <f t="shared" si="5"/>
        <v>2.7202032332563508</v>
      </c>
      <c r="Q35" s="221">
        <f t="shared" si="6"/>
        <v>2.2668360277136257</v>
      </c>
      <c r="R35" s="221">
        <f t="shared" si="7"/>
        <v>2.2668360277136257</v>
      </c>
      <c r="S35" s="451">
        <f t="shared" si="8"/>
        <v>5</v>
      </c>
      <c r="T35" s="221">
        <f t="shared" si="9"/>
        <v>0.54260651629072687</v>
      </c>
      <c r="U35" s="221">
        <f t="shared" si="10"/>
        <v>0.15826023391812868</v>
      </c>
      <c r="V35" s="221">
        <f t="shared" si="11"/>
        <v>0.35697797124389924</v>
      </c>
      <c r="W35" s="201">
        <f t="shared" si="12"/>
        <v>350</v>
      </c>
      <c r="X35" s="451">
        <f t="shared" si="52"/>
        <v>350</v>
      </c>
      <c r="Z35" s="221">
        <f t="shared" si="13"/>
        <v>3.0089079511712309</v>
      </c>
      <c r="AA35" s="177">
        <f t="shared" si="14"/>
        <v>1.9795447047179149</v>
      </c>
      <c r="AB35" s="177">
        <f t="shared" si="15"/>
        <v>2.0846937306036244</v>
      </c>
      <c r="AC35" s="177"/>
      <c r="AD35" s="177">
        <f t="shared" si="16"/>
        <v>0.53947368421052622</v>
      </c>
      <c r="AE35" s="555">
        <f t="shared" si="17"/>
        <v>678.1677572873291</v>
      </c>
      <c r="AF35" s="538">
        <f t="shared" si="18"/>
        <v>0.15482894736842101</v>
      </c>
      <c r="AH35" s="177">
        <f t="shared" si="19"/>
        <v>1.2121830534626528</v>
      </c>
      <c r="AI35" s="177">
        <f t="shared" si="20"/>
        <v>1.2121830534626528</v>
      </c>
      <c r="AJ35" s="177">
        <f t="shared" si="21"/>
        <v>1.4905059655278909</v>
      </c>
      <c r="AL35" s="555">
        <f t="shared" si="22"/>
        <v>300</v>
      </c>
      <c r="AM35" s="469">
        <f t="shared" si="23"/>
        <v>350</v>
      </c>
      <c r="AO35">
        <f t="shared" si="53"/>
        <v>300</v>
      </c>
      <c r="AP35" s="469">
        <f t="shared" si="24"/>
        <v>350</v>
      </c>
      <c r="AQ35" s="469"/>
      <c r="AR35" s="5">
        <f t="shared" si="54"/>
        <v>2.8571428571428572</v>
      </c>
      <c r="AS35" s="5">
        <f t="shared" si="25"/>
        <v>0.35355339059327373</v>
      </c>
      <c r="AT35" s="5">
        <f t="shared" si="55"/>
        <v>2.5035894665495837</v>
      </c>
      <c r="AU35" s="177">
        <f t="shared" si="56"/>
        <v>0.12374368670764581</v>
      </c>
      <c r="AW35" s="5">
        <f t="shared" si="26"/>
        <v>12.458288888888889</v>
      </c>
      <c r="AX35" s="5">
        <f t="shared" si="27"/>
        <v>1.460623</v>
      </c>
      <c r="AY35" s="5">
        <f t="shared" si="28"/>
        <v>0.49833155555555569</v>
      </c>
      <c r="AZ35" s="5">
        <f t="shared" si="29"/>
        <v>0.22193145454545454</v>
      </c>
      <c r="BA35" s="5">
        <f t="shared" si="30"/>
        <v>0.17386037962149883</v>
      </c>
      <c r="BB35" s="469">
        <f t="shared" si="31"/>
        <v>21.113245554579866</v>
      </c>
      <c r="BC35" s="5"/>
      <c r="BD35" s="177">
        <f t="shared" si="57"/>
        <v>0.246189261896478</v>
      </c>
      <c r="BE35" s="177">
        <f t="shared" si="32"/>
        <v>1.310246947249585</v>
      </c>
      <c r="BF35" s="177">
        <f t="shared" si="33"/>
        <v>0.26204938944991701</v>
      </c>
      <c r="BG35" s="177"/>
      <c r="BH35" s="538">
        <f t="shared" si="34"/>
        <v>6.6670067940445893E-3</v>
      </c>
      <c r="BI35" s="538">
        <f t="shared" si="35"/>
        <v>7.3482536700906015E-2</v>
      </c>
      <c r="BJ35" s="538">
        <f t="shared" si="36"/>
        <v>1.7499999999999998E-2</v>
      </c>
      <c r="BK35" s="538">
        <f t="shared" si="37"/>
        <v>9.4494456000000004E-2</v>
      </c>
      <c r="BL35">
        <f t="shared" si="38"/>
        <v>6.96E-3</v>
      </c>
      <c r="BM35">
        <f t="shared" si="39"/>
        <v>6.6500000000000004E-5</v>
      </c>
      <c r="BN35">
        <f t="shared" si="40"/>
        <v>0.20031694782856557</v>
      </c>
      <c r="BO35" s="469">
        <f t="shared" si="58"/>
        <v>200.31694782856556</v>
      </c>
      <c r="BP35" s="177">
        <f t="shared" si="41"/>
        <v>0.24575947559615186</v>
      </c>
      <c r="BQ35" s="177">
        <f t="shared" si="42"/>
        <v>2.8166379023846076E-2</v>
      </c>
      <c r="BR35" s="538"/>
      <c r="BT35" s="469">
        <f t="shared" si="59"/>
        <v>273.92585461999789</v>
      </c>
      <c r="BU35" s="538">
        <f t="shared" si="43"/>
        <v>6.0609152673132636E-3</v>
      </c>
      <c r="BV35" s="538">
        <f t="shared" si="60"/>
        <v>5.1502411883305704E-2</v>
      </c>
      <c r="BW35" s="538">
        <f t="shared" si="44"/>
        <v>3.4334941255537142E-3</v>
      </c>
      <c r="BX35" s="538">
        <f t="shared" si="45"/>
        <v>0</v>
      </c>
      <c r="BY35" s="538">
        <f t="shared" si="46"/>
        <v>6.8651441405454233E-2</v>
      </c>
      <c r="BZ35" s="538">
        <f t="shared" si="61"/>
        <v>6.0996821276172682E-2</v>
      </c>
      <c r="CA35" s="641">
        <f t="shared" si="47"/>
        <v>2.571428571428571E-2</v>
      </c>
      <c r="CB35" s="469">
        <f t="shared" si="62"/>
        <v>94.365727119739944</v>
      </c>
      <c r="CC35" s="177">
        <f t="shared" si="63"/>
        <v>0.56860852956830343</v>
      </c>
      <c r="CD35" s="5">
        <f t="shared" si="64"/>
        <v>1.8</v>
      </c>
      <c r="CE35" s="177">
        <f t="shared" si="65"/>
        <v>0.75993984549572802</v>
      </c>
      <c r="CF35" s="5">
        <f t="shared" si="66"/>
        <v>75.993984549572801</v>
      </c>
      <c r="CG35">
        <f t="shared" si="67"/>
        <v>30</v>
      </c>
      <c r="CI35" s="571">
        <f t="shared" si="48"/>
        <v>-50</v>
      </c>
      <c r="CJ35">
        <f t="shared" si="49"/>
        <v>-50</v>
      </c>
    </row>
    <row r="36" spans="5:88" x14ac:dyDescent="0.2">
      <c r="E36" s="174">
        <v>31</v>
      </c>
      <c r="F36" s="221">
        <f t="shared" si="68"/>
        <v>0.31</v>
      </c>
      <c r="G36" s="221">
        <f t="shared" si="50"/>
        <v>6.2E-2</v>
      </c>
      <c r="H36" s="221">
        <f t="shared" si="0"/>
        <v>1.55</v>
      </c>
      <c r="I36" s="221">
        <f t="shared" si="69"/>
        <v>0.31</v>
      </c>
      <c r="J36" s="551">
        <f t="shared" si="1"/>
        <v>24</v>
      </c>
      <c r="K36" s="451">
        <f t="shared" si="2"/>
        <v>10.64</v>
      </c>
      <c r="L36" s="451">
        <f t="shared" si="3"/>
        <v>34.64</v>
      </c>
      <c r="M36" s="451"/>
      <c r="N36" s="221">
        <f t="shared" si="4"/>
        <v>0.30715935334872979</v>
      </c>
      <c r="O36" s="176">
        <f t="shared" si="51"/>
        <v>11.334180138568129</v>
      </c>
      <c r="P36" s="176">
        <f t="shared" si="5"/>
        <v>2.7202032332563508</v>
      </c>
      <c r="Q36" s="221">
        <f t="shared" si="6"/>
        <v>2.2668360277136257</v>
      </c>
      <c r="R36" s="221">
        <f t="shared" si="7"/>
        <v>2.2668360277136257</v>
      </c>
      <c r="S36" s="451">
        <f t="shared" si="8"/>
        <v>5</v>
      </c>
      <c r="T36" s="221">
        <f t="shared" si="9"/>
        <v>0.56069340016708435</v>
      </c>
      <c r="U36" s="221">
        <f t="shared" si="10"/>
        <v>0.16353557504873295</v>
      </c>
      <c r="V36" s="221">
        <f t="shared" si="11"/>
        <v>0.36887723695202912</v>
      </c>
      <c r="W36" s="201">
        <f t="shared" si="12"/>
        <v>350</v>
      </c>
      <c r="X36" s="451">
        <f t="shared" si="52"/>
        <v>350</v>
      </c>
      <c r="Z36" s="221">
        <f t="shared" si="13"/>
        <v>3.0089079511712309</v>
      </c>
      <c r="AA36" s="177">
        <f t="shared" si="14"/>
        <v>1.9795447047179149</v>
      </c>
      <c r="AB36" s="177">
        <f t="shared" si="15"/>
        <v>2.0846937306036244</v>
      </c>
      <c r="AC36" s="177"/>
      <c r="AD36" s="177">
        <f t="shared" si="16"/>
        <v>0.53947368421052622</v>
      </c>
      <c r="AE36" s="555">
        <f t="shared" si="17"/>
        <v>700.77334919690668</v>
      </c>
      <c r="AF36" s="538">
        <f t="shared" si="18"/>
        <v>0.15482894736842101</v>
      </c>
      <c r="AH36" s="177">
        <f t="shared" si="19"/>
        <v>1.2322204944484472</v>
      </c>
      <c r="AI36" s="177">
        <f t="shared" si="20"/>
        <v>1.2322204944484472</v>
      </c>
      <c r="AJ36" s="177">
        <f t="shared" si="21"/>
        <v>1.5053485144062573</v>
      </c>
      <c r="AL36" s="555">
        <f t="shared" si="22"/>
        <v>310</v>
      </c>
      <c r="AM36" s="469">
        <f t="shared" si="23"/>
        <v>350</v>
      </c>
      <c r="AO36">
        <f t="shared" si="53"/>
        <v>310</v>
      </c>
      <c r="AP36" s="469">
        <f t="shared" si="24"/>
        <v>350</v>
      </c>
      <c r="AQ36" s="469"/>
      <c r="AR36" s="5">
        <f t="shared" si="54"/>
        <v>2.8571428571428572</v>
      </c>
      <c r="AS36" s="5">
        <f t="shared" si="25"/>
        <v>0.3593976442141304</v>
      </c>
      <c r="AT36" s="5">
        <f t="shared" si="55"/>
        <v>2.4977452129287268</v>
      </c>
      <c r="AU36" s="177">
        <f t="shared" si="56"/>
        <v>0.12578917547494564</v>
      </c>
      <c r="AW36" s="5">
        <f t="shared" si="26"/>
        <v>12.458288888888889</v>
      </c>
      <c r="AX36" s="5">
        <f t="shared" si="27"/>
        <v>1.528620781111111</v>
      </c>
      <c r="AY36" s="5">
        <f t="shared" si="28"/>
        <v>0.49833155555555569</v>
      </c>
      <c r="AZ36" s="5">
        <f t="shared" si="29"/>
        <v>0.23284014202020201</v>
      </c>
      <c r="BA36" s="5">
        <f t="shared" si="30"/>
        <v>0.17923634629812624</v>
      </c>
      <c r="BB36" s="469">
        <f t="shared" si="31"/>
        <v>21.766694889108479</v>
      </c>
      <c r="BC36" s="5"/>
      <c r="BD36" s="177">
        <f t="shared" si="57"/>
        <v>0.25231869836875565</v>
      </c>
      <c r="BE36" s="177">
        <f t="shared" si="32"/>
        <v>1.3303499140197497</v>
      </c>
      <c r="BF36" s="177">
        <f t="shared" si="33"/>
        <v>0.26606998280394994</v>
      </c>
      <c r="BG36" s="177"/>
      <c r="BH36" s="538">
        <f t="shared" si="34"/>
        <v>7.0031198101153406E-3</v>
      </c>
      <c r="BI36" s="538">
        <f t="shared" si="35"/>
        <v>7.4697206373464872E-2</v>
      </c>
      <c r="BJ36" s="538">
        <f t="shared" si="36"/>
        <v>1.7499999999999998E-2</v>
      </c>
      <c r="BK36" s="538">
        <f t="shared" si="37"/>
        <v>9.4494456000000004E-2</v>
      </c>
      <c r="BL36">
        <f t="shared" si="38"/>
        <v>6.96E-3</v>
      </c>
      <c r="BM36">
        <f t="shared" si="39"/>
        <v>6.6500000000000004E-5</v>
      </c>
      <c r="BN36">
        <f t="shared" si="40"/>
        <v>0.2019276090956274</v>
      </c>
      <c r="BO36" s="469">
        <f t="shared" si="58"/>
        <v>201.92760909562739</v>
      </c>
      <c r="BP36" s="177">
        <f t="shared" si="41"/>
        <v>0.25363508028115195</v>
      </c>
      <c r="BQ36" s="177">
        <f t="shared" si="42"/>
        <v>2.9092603211246081E-2</v>
      </c>
      <c r="BR36" s="538"/>
      <c r="BT36" s="469">
        <f t="shared" si="59"/>
        <v>282.727683492398</v>
      </c>
      <c r="BU36" s="538">
        <f t="shared" si="43"/>
        <v>6.3664725546503098E-3</v>
      </c>
      <c r="BV36" s="538">
        <f t="shared" si="60"/>
        <v>5.3094926811970658E-2</v>
      </c>
      <c r="BW36" s="538">
        <f t="shared" si="44"/>
        <v>3.539661787464711E-3</v>
      </c>
      <c r="BX36" s="538">
        <f t="shared" si="45"/>
        <v>0</v>
      </c>
      <c r="BY36" s="538">
        <f t="shared" si="46"/>
        <v>7.091862437989771E-2</v>
      </c>
      <c r="BZ36" s="538">
        <f t="shared" si="61"/>
        <v>6.3001061154085686E-2</v>
      </c>
      <c r="CA36" s="641">
        <f t="shared" si="47"/>
        <v>2.6571428571428572E-2</v>
      </c>
      <c r="CB36" s="469">
        <f t="shared" si="62"/>
        <v>97.490052951326291</v>
      </c>
      <c r="CC36" s="177">
        <f t="shared" si="63"/>
        <v>0.58214534553935171</v>
      </c>
      <c r="CD36" s="5">
        <f t="shared" si="64"/>
        <v>1.86</v>
      </c>
      <c r="CE36" s="177">
        <f t="shared" si="65"/>
        <v>0.76162543044268161</v>
      </c>
      <c r="CF36" s="5">
        <f t="shared" si="66"/>
        <v>76.162543044268162</v>
      </c>
      <c r="CG36">
        <f t="shared" si="67"/>
        <v>31</v>
      </c>
      <c r="CI36" s="571">
        <f t="shared" si="48"/>
        <v>-50</v>
      </c>
      <c r="CJ36">
        <f t="shared" si="49"/>
        <v>-50</v>
      </c>
    </row>
    <row r="37" spans="5:88" x14ac:dyDescent="0.2">
      <c r="E37" s="174">
        <v>32</v>
      </c>
      <c r="F37" s="221">
        <f t="shared" si="68"/>
        <v>0.32</v>
      </c>
      <c r="G37" s="221">
        <f t="shared" si="50"/>
        <v>6.4000000000000001E-2</v>
      </c>
      <c r="H37" s="221">
        <f t="shared" ref="H37:H68" si="70">F37*Vout</f>
        <v>1.6</v>
      </c>
      <c r="I37" s="221">
        <f t="shared" si="69"/>
        <v>0.32</v>
      </c>
      <c r="J37" s="551">
        <f t="shared" si="1"/>
        <v>24</v>
      </c>
      <c r="K37" s="451">
        <f t="shared" si="2"/>
        <v>10.64</v>
      </c>
      <c r="L37" s="451">
        <f t="shared" si="3"/>
        <v>34.64</v>
      </c>
      <c r="M37" s="451"/>
      <c r="N37" s="221">
        <f t="shared" si="4"/>
        <v>0.30715935334872979</v>
      </c>
      <c r="O37" s="176">
        <f t="shared" si="51"/>
        <v>11.334180138568129</v>
      </c>
      <c r="P37" s="176">
        <f t="shared" ref="P37:P68" si="71">N37*J37*Isw_max*0.5*Efficiency*(Pout2/Pout_total)</f>
        <v>2.7202032332563508</v>
      </c>
      <c r="Q37" s="221">
        <f t="shared" si="6"/>
        <v>2.2668360277136257</v>
      </c>
      <c r="R37" s="221">
        <f t="shared" ref="R37:R68" si="72">O37/Vout2</f>
        <v>2.2668360277136257</v>
      </c>
      <c r="S37" s="451">
        <f t="shared" ref="S37:S68" si="73">MIN(Vout,O37/F37)</f>
        <v>5</v>
      </c>
      <c r="T37" s="221">
        <f t="shared" ref="T37:T68" si="74">MIN(2*(Vout*F37+Vout2*G37)/(Efficiency*J37*N37), Isw_max)</f>
        <v>0.57878028404344195</v>
      </c>
      <c r="U37" s="221">
        <f t="shared" si="10"/>
        <v>0.16881091617933724</v>
      </c>
      <c r="V37" s="221">
        <f t="shared" si="11"/>
        <v>0.38077650266015917</v>
      </c>
      <c r="W37" s="201">
        <f t="shared" si="12"/>
        <v>350</v>
      </c>
      <c r="X37" s="451">
        <f t="shared" si="52"/>
        <v>350</v>
      </c>
      <c r="Z37" s="221">
        <f t="shared" si="13"/>
        <v>3.0089079511712309</v>
      </c>
      <c r="AA37" s="177">
        <f t="shared" si="14"/>
        <v>1.9795447047179149</v>
      </c>
      <c r="AB37" s="177">
        <f t="shared" ref="AB37:AB68" si="75">0.5*AA37*Z37*Nps*W37/1000*(Pout/Pout_total)</f>
        <v>2.0846937306036244</v>
      </c>
      <c r="AC37" s="177"/>
      <c r="AD37" s="177">
        <f t="shared" si="16"/>
        <v>0.53947368421052622</v>
      </c>
      <c r="AE37" s="555">
        <f t="shared" ref="AE37:AE68" si="76">MAX(10, F37/(0.5*AD37/1000000*Isw_min*Nps)/1000*Pout_total/Pout)</f>
        <v>723.37894110648438</v>
      </c>
      <c r="AF37" s="538">
        <f t="shared" ref="AF37:AF68" si="77">0.5*AD37/1000000*Isw_min*Nps*W37*1000*(Pout/Pout_total)</f>
        <v>0.15482894736842101</v>
      </c>
      <c r="AH37" s="177">
        <f t="shared" ref="AH37:AH68" si="78">SQRT((H37+I37)/(0.5*L*Fsw_DCM))</f>
        <v>1.2519372742975226</v>
      </c>
      <c r="AI37" s="177">
        <f t="shared" ref="AI37:AI68" si="79">MAX(IF(F37&gt;AB37,T37,AH37),Isw_min)</f>
        <v>1.2519372742975226</v>
      </c>
      <c r="AJ37" s="177">
        <f t="shared" ref="AJ37:AJ68" si="80">IF(F37&gt;AF37, (AI37-Isw_min)/1.08*0.8+1.2, AE37*0.2/350+1)</f>
        <v>1.5199535365166834</v>
      </c>
      <c r="AL37" s="555">
        <f t="shared" ref="AL37:AL68" si="81">F37*1000</f>
        <v>320</v>
      </c>
      <c r="AM37" s="469">
        <f t="shared" ref="AM37:AM68" si="82">IF(F37&gt;AF37, X37, AE37)</f>
        <v>350</v>
      </c>
      <c r="AO37">
        <f t="shared" si="53"/>
        <v>320</v>
      </c>
      <c r="AP37" s="469">
        <f t="shared" si="24"/>
        <v>350</v>
      </c>
      <c r="AQ37" s="469"/>
      <c r="AR37" s="5">
        <f t="shared" si="54"/>
        <v>2.8571428571428572</v>
      </c>
      <c r="AS37" s="5">
        <f t="shared" si="25"/>
        <v>0.36514837167011077</v>
      </c>
      <c r="AT37" s="5">
        <f t="shared" si="55"/>
        <v>2.4919944854727465</v>
      </c>
      <c r="AU37" s="177">
        <f t="shared" si="56"/>
        <v>0.12780193008453877</v>
      </c>
      <c r="AW37" s="5">
        <f t="shared" ref="AW37:AW68" si="83">L*Iout^2/(2*Vripple1_spec*Vout*Npri_sec1^2)*1000000000*((1+N37)/(1-N37))^2</f>
        <v>12.458288888888889</v>
      </c>
      <c r="AX37" s="5">
        <f t="shared" ref="AX37:AX68" si="84">L*F37^2/(2*Cout*Vout*Nps^2)*1000000000*((1+N37)/(1-N37))^2+F37*RCoutEsr</f>
        <v>1.597864391111111</v>
      </c>
      <c r="AY37" s="5">
        <f t="shared" ref="AY37:AY68" si="85">L*Iout2^2/(2*Vripple2_spec*Vout2*Npri_sec2^2)*1000000000*((1+N37)/(1-N37))^2</f>
        <v>0.49833155555555569</v>
      </c>
      <c r="AZ37" s="5">
        <f t="shared" ref="AZ37:AZ68" si="86">L*G37^2/(2*Cout2*Vout2*Npri_sec2^2)*1000000000*((1+N37)/(1-N37))^2+G37*CoutEsr2</f>
        <v>0.24397534383838382</v>
      </c>
      <c r="BA37" s="5">
        <f t="shared" ref="BA37:BA68" si="87">(H37+I37)/Efficiency/J37*AT37/Vinripple1</f>
        <v>0.18459218410909231</v>
      </c>
      <c r="BB37" s="469">
        <f t="shared" ref="BB37:BB68" si="88">((CD37/J37/Efficiency)*AT37/Cin+(CD37/J37/Efficiency)*RCinEsr)*1000</f>
        <v>22.417728759757747</v>
      </c>
      <c r="BC37" s="5"/>
      <c r="BD37" s="177">
        <f t="shared" si="57"/>
        <v>0.25839889311398867</v>
      </c>
      <c r="BE37" s="177">
        <f t="shared" ref="BE37:BE68" si="89">AI37*Npri_sec1*SQRT((1-AU37)/3)*(Pout/Pout_total)</f>
        <v>1.3500799852294711</v>
      </c>
      <c r="BF37" s="177">
        <f t="shared" ref="BF37:BF68" si="90">AI37*Npri_sec2*SQRT((1-AU37)/3)*(Pout2/Pout_total)</f>
        <v>0.27001599704589424</v>
      </c>
      <c r="BG37" s="177"/>
      <c r="BH37" s="538">
        <f t="shared" si="34"/>
        <v>7.3446986758787993E-3</v>
      </c>
      <c r="BI37" s="538">
        <f t="shared" si="35"/>
        <v>7.5892437567915819E-2</v>
      </c>
      <c r="BJ37" s="538">
        <f t="shared" si="36"/>
        <v>1.7499999999999998E-2</v>
      </c>
      <c r="BK37" s="538">
        <f t="shared" si="37"/>
        <v>9.4494456000000004E-2</v>
      </c>
      <c r="BL37">
        <f t="shared" si="38"/>
        <v>6.96E-3</v>
      </c>
      <c r="BM37">
        <f t="shared" ref="BM37:BM68" si="91">(J37-Vdd)*Qg*AM37</f>
        <v>6.6500000000000004E-5</v>
      </c>
      <c r="BN37">
        <f t="shared" ref="BN37:BN68" si="92">(BI37+BJ37+BK37+BL37+BM37+BH37*(1+RdsonTC*(Ta-25)))/(1-BH37*RdsonTC*ThetaJA)</f>
        <v>0.20352542323629699</v>
      </c>
      <c r="BO37" s="469">
        <f t="shared" si="58"/>
        <v>203.525423236297</v>
      </c>
      <c r="BP37" s="177">
        <f t="shared" ref="BP37:BP68" si="93">(Vfwd2*F37+BE37^2*Rdiode)*(1+Diode_TC/1000*(Ta-25))</f>
        <v>0.26149549984191478</v>
      </c>
      <c r="BQ37" s="177">
        <f t="shared" ref="BQ37:BQ68" si="94">(Vfwd2*G37+BF37^2*Rdiode)*(1+Diode_TC/1000*(Ta-25))</f>
        <v>3.0018219993676591E-2</v>
      </c>
      <c r="BR37" s="538"/>
      <c r="BT37" s="469">
        <f t="shared" si="59"/>
        <v>291.51371983559136</v>
      </c>
      <c r="BU37" s="538">
        <f t="shared" si="43"/>
        <v>6.6769987962534546E-3</v>
      </c>
      <c r="BV37" s="538">
        <f t="shared" si="60"/>
        <v>5.4681478995516265E-2</v>
      </c>
      <c r="BW37" s="538">
        <f t="shared" ref="BW37:BW68" si="95">Rdcr_sec2*BF37^2</f>
        <v>3.6454319330344181E-3</v>
      </c>
      <c r="BX37" s="538">
        <f t="shared" si="45"/>
        <v>0</v>
      </c>
      <c r="BY37" s="538">
        <f t="shared" ref="BY37:BY68" si="96">(BX37+(BU37+BV37+BW37)*(1+Ltc*(Ta-25)))/(1-(BU37+BV37+BW37)*Ltc*ThetaCa)</f>
        <v>7.3184963593110205E-2</v>
      </c>
      <c r="BZ37" s="538">
        <f t="shared" si="61"/>
        <v>6.5003909724804132E-2</v>
      </c>
      <c r="CA37" s="641">
        <f t="shared" ref="CA37:CA68" si="97">0.5*Lleak*0.000000001*AI37^2*AM37*1000</f>
        <v>2.7428571428571427E-2</v>
      </c>
      <c r="CB37" s="469">
        <f t="shared" si="62"/>
        <v>100.61353502168163</v>
      </c>
      <c r="CC37" s="177">
        <f t="shared" si="63"/>
        <v>0.59565267809357003</v>
      </c>
      <c r="CD37" s="5">
        <f t="shared" si="64"/>
        <v>1.9200000000000002</v>
      </c>
      <c r="CE37" s="177">
        <f t="shared" si="65"/>
        <v>0.76322141634234997</v>
      </c>
      <c r="CF37" s="5">
        <f t="shared" si="66"/>
        <v>76.322141634234995</v>
      </c>
      <c r="CG37">
        <f t="shared" si="67"/>
        <v>32</v>
      </c>
      <c r="CI37" s="571">
        <f t="shared" ref="CI37:CI68" si="98">IF(ABS(F37-Ioutmax_Vinnom)&lt;Iout/200, AM37, -50)</f>
        <v>-50</v>
      </c>
      <c r="CJ37">
        <f t="shared" ref="CJ37:CJ68" si="99">IF(ABS(F37-Ioutmax_Vinnom)&lt;Iout/200, (O37+P37)*CE37, -50)</f>
        <v>-50</v>
      </c>
    </row>
    <row r="38" spans="5:88" x14ac:dyDescent="0.2">
      <c r="E38" s="174">
        <v>33</v>
      </c>
      <c r="F38" s="221">
        <f t="shared" si="68"/>
        <v>0.33</v>
      </c>
      <c r="G38" s="221">
        <f t="shared" ref="G38:G69" si="100">IF(PLOT_TYPE=1, E38/100*Iout2, min_I*EXP(Q38*rr/100))</f>
        <v>6.6000000000000003E-2</v>
      </c>
      <c r="H38" s="221">
        <f t="shared" si="70"/>
        <v>1.6500000000000001</v>
      </c>
      <c r="I38" s="221">
        <f t="shared" si="69"/>
        <v>0.33</v>
      </c>
      <c r="J38" s="551">
        <f t="shared" si="1"/>
        <v>24</v>
      </c>
      <c r="K38" s="451">
        <f t="shared" si="2"/>
        <v>10.64</v>
      </c>
      <c r="L38" s="451">
        <f t="shared" si="3"/>
        <v>34.64</v>
      </c>
      <c r="M38" s="451"/>
      <c r="N38" s="221">
        <f t="shared" si="4"/>
        <v>0.30715935334872979</v>
      </c>
      <c r="O38" s="176">
        <f t="shared" ref="O38:O69" si="101">N38*J38*Isw_max*0.5*Efficiency*Pout/(Pout+Pout2)</f>
        <v>11.334180138568129</v>
      </c>
      <c r="P38" s="176">
        <f t="shared" si="71"/>
        <v>2.7202032332563508</v>
      </c>
      <c r="Q38" s="221">
        <f t="shared" si="6"/>
        <v>2.2668360277136257</v>
      </c>
      <c r="R38" s="221">
        <f t="shared" si="72"/>
        <v>2.2668360277136257</v>
      </c>
      <c r="S38" s="451">
        <f t="shared" si="73"/>
        <v>5</v>
      </c>
      <c r="T38" s="221">
        <f t="shared" si="74"/>
        <v>0.59686716791979955</v>
      </c>
      <c r="U38" s="221">
        <f t="shared" si="10"/>
        <v>0.17408625730994154</v>
      </c>
      <c r="V38" s="221">
        <f t="shared" si="11"/>
        <v>0.39267576836828916</v>
      </c>
      <c r="W38" s="201">
        <f t="shared" si="12"/>
        <v>350</v>
      </c>
      <c r="X38" s="451">
        <f t="shared" si="52"/>
        <v>350</v>
      </c>
      <c r="Z38" s="221">
        <f t="shared" si="13"/>
        <v>3.0089079511712309</v>
      </c>
      <c r="AA38" s="177">
        <f t="shared" si="14"/>
        <v>1.9795447047179149</v>
      </c>
      <c r="AB38" s="177">
        <f t="shared" si="75"/>
        <v>2.0846937306036244</v>
      </c>
      <c r="AC38" s="177"/>
      <c r="AD38" s="177">
        <f t="shared" si="16"/>
        <v>0.53947368421052622</v>
      </c>
      <c r="AE38" s="555">
        <f t="shared" si="76"/>
        <v>745.98453301606196</v>
      </c>
      <c r="AF38" s="538">
        <f t="shared" si="77"/>
        <v>0.15482894736842101</v>
      </c>
      <c r="AH38" s="177">
        <f t="shared" si="78"/>
        <v>1.2713483120735423</v>
      </c>
      <c r="AI38" s="177">
        <f t="shared" si="79"/>
        <v>1.2713483120735423</v>
      </c>
      <c r="AJ38" s="177">
        <f t="shared" si="80"/>
        <v>1.5343320830174387</v>
      </c>
      <c r="AL38" s="555">
        <f t="shared" si="81"/>
        <v>330</v>
      </c>
      <c r="AM38" s="469">
        <f t="shared" si="82"/>
        <v>350</v>
      </c>
      <c r="AO38">
        <f t="shared" si="53"/>
        <v>330</v>
      </c>
      <c r="AP38" s="469">
        <f t="shared" si="24"/>
        <v>350</v>
      </c>
      <c r="AQ38" s="469"/>
      <c r="AR38" s="5">
        <f t="shared" si="54"/>
        <v>2.8571428571428572</v>
      </c>
      <c r="AS38" s="5">
        <f t="shared" si="25"/>
        <v>0.37080992435478322</v>
      </c>
      <c r="AT38" s="5">
        <f t="shared" si="55"/>
        <v>2.4863329327880739</v>
      </c>
      <c r="AU38" s="177">
        <f t="shared" si="56"/>
        <v>0.12978347352417413</v>
      </c>
      <c r="AW38" s="5">
        <f t="shared" si="83"/>
        <v>12.458288888888889</v>
      </c>
      <c r="AX38" s="5">
        <f t="shared" si="84"/>
        <v>1.66835383</v>
      </c>
      <c r="AY38" s="5">
        <f t="shared" si="85"/>
        <v>0.49833155555555569</v>
      </c>
      <c r="AZ38" s="5">
        <f t="shared" si="86"/>
        <v>0.25533706</v>
      </c>
      <c r="BA38" s="5">
        <f t="shared" si="87"/>
        <v>0.18992821014353339</v>
      </c>
      <c r="BB38" s="469">
        <f t="shared" si="88"/>
        <v>23.06638521722401</v>
      </c>
      <c r="BC38" s="5"/>
      <c r="BD38" s="177">
        <f t="shared" si="57"/>
        <v>0.26443176277452912</v>
      </c>
      <c r="BE38" s="177">
        <f t="shared" si="89"/>
        <v>1.3694544213518562</v>
      </c>
      <c r="BF38" s="177">
        <f t="shared" si="90"/>
        <v>0.27389088427037128</v>
      </c>
      <c r="BG38" s="177"/>
      <c r="BH38" s="538">
        <f t="shared" si="34"/>
        <v>7.6916572880449336E-3</v>
      </c>
      <c r="BI38" s="538">
        <f t="shared" si="35"/>
        <v>7.7069134677898138E-2</v>
      </c>
      <c r="BJ38" s="538">
        <f t="shared" si="36"/>
        <v>1.7499999999999998E-2</v>
      </c>
      <c r="BK38" s="538">
        <f t="shared" si="37"/>
        <v>9.4494456000000004E-2</v>
      </c>
      <c r="BL38">
        <f t="shared" si="38"/>
        <v>6.96E-3</v>
      </c>
      <c r="BM38">
        <f t="shared" si="91"/>
        <v>6.6500000000000004E-5</v>
      </c>
      <c r="BN38">
        <f t="shared" si="92"/>
        <v>0.20511119720876272</v>
      </c>
      <c r="BO38" s="469">
        <f t="shared" si="58"/>
        <v>205.11119720876272</v>
      </c>
      <c r="BP38" s="177">
        <f t="shared" si="93"/>
        <v>0.2693409734890353</v>
      </c>
      <c r="BQ38" s="177">
        <f t="shared" si="94"/>
        <v>3.0943238939561413E-2</v>
      </c>
      <c r="BR38" s="538"/>
      <c r="BT38" s="469">
        <f t="shared" si="59"/>
        <v>300.28421242859673</v>
      </c>
      <c r="BU38" s="538">
        <f t="shared" si="43"/>
        <v>6.9924157164044853E-3</v>
      </c>
      <c r="BV38" s="538">
        <f t="shared" si="60"/>
        <v>5.626216236480442E-2</v>
      </c>
      <c r="BW38" s="538">
        <f t="shared" si="95"/>
        <v>3.7508108243202959E-3</v>
      </c>
      <c r="BX38" s="538">
        <f t="shared" si="45"/>
        <v>0</v>
      </c>
      <c r="BY38" s="538">
        <f t="shared" si="96"/>
        <v>7.5450482689047887E-2</v>
      </c>
      <c r="BZ38" s="538">
        <f t="shared" si="61"/>
        <v>6.7005388905529206E-2</v>
      </c>
      <c r="CA38" s="641">
        <f t="shared" si="97"/>
        <v>2.8285714285714289E-2</v>
      </c>
      <c r="CB38" s="469">
        <f t="shared" si="62"/>
        <v>103.73619697476218</v>
      </c>
      <c r="CC38" s="177">
        <f t="shared" si="63"/>
        <v>0.60913160661212151</v>
      </c>
      <c r="CD38" s="5">
        <f t="shared" si="64"/>
        <v>1.9800000000000002</v>
      </c>
      <c r="CE38" s="177">
        <f t="shared" si="65"/>
        <v>0.76473517025688398</v>
      </c>
      <c r="CF38" s="5">
        <f t="shared" si="66"/>
        <v>76.473517025688395</v>
      </c>
      <c r="CG38">
        <f t="shared" ref="CG38:CG69" si="102">F38/Iout*100</f>
        <v>33</v>
      </c>
      <c r="CI38" s="571">
        <f t="shared" si="98"/>
        <v>-50</v>
      </c>
      <c r="CJ38">
        <f t="shared" si="99"/>
        <v>-50</v>
      </c>
    </row>
    <row r="39" spans="5:88" x14ac:dyDescent="0.2">
      <c r="E39" s="174">
        <v>34</v>
      </c>
      <c r="F39" s="221">
        <f t="shared" si="68"/>
        <v>0.34</v>
      </c>
      <c r="G39" s="221">
        <f t="shared" si="100"/>
        <v>6.8000000000000005E-2</v>
      </c>
      <c r="H39" s="221">
        <f t="shared" si="70"/>
        <v>1.7000000000000002</v>
      </c>
      <c r="I39" s="221">
        <f t="shared" si="69"/>
        <v>0.34</v>
      </c>
      <c r="J39" s="551">
        <f t="shared" si="1"/>
        <v>24</v>
      </c>
      <c r="K39" s="451">
        <f t="shared" si="2"/>
        <v>10.64</v>
      </c>
      <c r="L39" s="451">
        <f t="shared" si="3"/>
        <v>34.64</v>
      </c>
      <c r="M39" s="451"/>
      <c r="N39" s="221">
        <f t="shared" si="4"/>
        <v>0.30715935334872979</v>
      </c>
      <c r="O39" s="176">
        <f t="shared" si="101"/>
        <v>11.334180138568129</v>
      </c>
      <c r="P39" s="176">
        <f t="shared" si="71"/>
        <v>2.7202032332563508</v>
      </c>
      <c r="Q39" s="221">
        <f t="shared" si="6"/>
        <v>2.2668360277136257</v>
      </c>
      <c r="R39" s="221">
        <f t="shared" si="72"/>
        <v>2.2668360277136257</v>
      </c>
      <c r="S39" s="451">
        <f t="shared" si="73"/>
        <v>5</v>
      </c>
      <c r="T39" s="221">
        <f t="shared" si="74"/>
        <v>0.61495405179615703</v>
      </c>
      <c r="U39" s="221">
        <f t="shared" si="10"/>
        <v>0.17936159844054581</v>
      </c>
      <c r="V39" s="221">
        <f t="shared" si="11"/>
        <v>0.40457503407641904</v>
      </c>
      <c r="W39" s="201">
        <f t="shared" si="12"/>
        <v>350</v>
      </c>
      <c r="X39" s="451">
        <f t="shared" si="52"/>
        <v>350</v>
      </c>
      <c r="Z39" s="221">
        <f t="shared" si="13"/>
        <v>3.0089079511712309</v>
      </c>
      <c r="AA39" s="177">
        <f t="shared" si="14"/>
        <v>1.9795447047179149</v>
      </c>
      <c r="AB39" s="177">
        <f t="shared" si="75"/>
        <v>2.0846937306036244</v>
      </c>
      <c r="AC39" s="177"/>
      <c r="AD39" s="177">
        <f t="shared" si="16"/>
        <v>0.53947368421052622</v>
      </c>
      <c r="AE39" s="555">
        <f t="shared" si="76"/>
        <v>768.59012492563966</v>
      </c>
      <c r="AF39" s="538">
        <f t="shared" si="77"/>
        <v>0.15482894736842101</v>
      </c>
      <c r="AH39" s="177">
        <f t="shared" si="78"/>
        <v>1.2904674046441389</v>
      </c>
      <c r="AI39" s="177">
        <f t="shared" si="79"/>
        <v>1.2904674046441389</v>
      </c>
      <c r="AJ39" s="177">
        <f t="shared" si="80"/>
        <v>1.5484943738104733</v>
      </c>
      <c r="AL39" s="555">
        <f t="shared" si="81"/>
        <v>340</v>
      </c>
      <c r="AM39" s="469">
        <f t="shared" si="82"/>
        <v>350</v>
      </c>
      <c r="AO39">
        <f t="shared" si="53"/>
        <v>340</v>
      </c>
      <c r="AP39" s="469">
        <f t="shared" si="24"/>
        <v>350</v>
      </c>
      <c r="AQ39" s="469"/>
      <c r="AR39" s="5">
        <f t="shared" si="54"/>
        <v>2.8571428571428572</v>
      </c>
      <c r="AS39" s="5">
        <f t="shared" si="25"/>
        <v>0.3763863263545405</v>
      </c>
      <c r="AT39" s="5">
        <f t="shared" si="55"/>
        <v>2.4807565307883168</v>
      </c>
      <c r="AU39" s="177">
        <f t="shared" si="56"/>
        <v>0.13173521422408918</v>
      </c>
      <c r="AW39" s="5">
        <f t="shared" si="83"/>
        <v>12.458288888888889</v>
      </c>
      <c r="AX39" s="5">
        <f t="shared" si="84"/>
        <v>1.7400890977777779</v>
      </c>
      <c r="AY39" s="5">
        <f t="shared" si="85"/>
        <v>0.49833155555555569</v>
      </c>
      <c r="AZ39" s="5">
        <f t="shared" si="86"/>
        <v>0.26692529050505054</v>
      </c>
      <c r="BA39" s="5">
        <f t="shared" si="87"/>
        <v>0.19524472696019157</v>
      </c>
      <c r="BB39" s="469">
        <f t="shared" si="88"/>
        <v>23.712700568556325</v>
      </c>
      <c r="BC39" s="5"/>
      <c r="BD39" s="177">
        <f t="shared" si="57"/>
        <v>0.27041909374740508</v>
      </c>
      <c r="BE39" s="177">
        <f t="shared" si="89"/>
        <v>1.3884891854863814</v>
      </c>
      <c r="BF39" s="177">
        <f t="shared" si="90"/>
        <v>0.2776978370972763</v>
      </c>
      <c r="BG39" s="177"/>
      <c r="BH39" s="538">
        <f t="shared" si="34"/>
        <v>8.0439134889484631E-3</v>
      </c>
      <c r="BI39" s="538">
        <f t="shared" si="35"/>
        <v>7.8228134069527694E-2</v>
      </c>
      <c r="BJ39" s="538">
        <f t="shared" si="36"/>
        <v>1.7499999999999998E-2</v>
      </c>
      <c r="BK39" s="538">
        <f t="shared" si="37"/>
        <v>9.4494456000000004E-2</v>
      </c>
      <c r="BL39">
        <f t="shared" si="38"/>
        <v>6.96E-3</v>
      </c>
      <c r="BM39">
        <f t="shared" si="91"/>
        <v>6.6500000000000004E-5</v>
      </c>
      <c r="BN39">
        <f t="shared" si="92"/>
        <v>0.20668567451039743</v>
      </c>
      <c r="BO39" s="469">
        <f t="shared" si="58"/>
        <v>206.68567451039743</v>
      </c>
      <c r="BP39" s="177">
        <f t="shared" si="93"/>
        <v>0.27717172947144536</v>
      </c>
      <c r="BQ39" s="177">
        <f t="shared" si="94"/>
        <v>3.1867669178857819E-2</v>
      </c>
      <c r="BR39" s="538"/>
      <c r="BT39" s="469">
        <f t="shared" si="59"/>
        <v>309.03939865030316</v>
      </c>
      <c r="BU39" s="538">
        <f t="shared" si="43"/>
        <v>7.3126486263167855E-3</v>
      </c>
      <c r="BV39" s="538">
        <f t="shared" si="60"/>
        <v>5.7837066546379053E-2</v>
      </c>
      <c r="BW39" s="538">
        <f t="shared" si="95"/>
        <v>3.8558044364252705E-3</v>
      </c>
      <c r="BX39" s="538">
        <f t="shared" si="45"/>
        <v>0</v>
      </c>
      <c r="BY39" s="538">
        <f t="shared" si="96"/>
        <v>7.7715204206036989E-2</v>
      </c>
      <c r="BZ39" s="538">
        <f t="shared" si="61"/>
        <v>6.9005519609121116E-2</v>
      </c>
      <c r="CA39" s="641">
        <f t="shared" si="97"/>
        <v>2.9142857142857147E-2</v>
      </c>
      <c r="CB39" s="469">
        <f t="shared" si="62"/>
        <v>106.85806134889414</v>
      </c>
      <c r="CC39" s="177">
        <f t="shared" si="63"/>
        <v>0.62258313450959468</v>
      </c>
      <c r="CD39" s="5">
        <f t="shared" si="64"/>
        <v>2.04</v>
      </c>
      <c r="CE39" s="177">
        <f t="shared" si="65"/>
        <v>0.76617325992930374</v>
      </c>
      <c r="CF39" s="5">
        <f t="shared" si="66"/>
        <v>76.617325992930375</v>
      </c>
      <c r="CG39">
        <f t="shared" si="102"/>
        <v>34</v>
      </c>
      <c r="CI39" s="571">
        <f t="shared" si="98"/>
        <v>-50</v>
      </c>
      <c r="CJ39">
        <f t="shared" si="99"/>
        <v>-50</v>
      </c>
    </row>
    <row r="40" spans="5:88" x14ac:dyDescent="0.2">
      <c r="E40" s="174">
        <v>35</v>
      </c>
      <c r="F40" s="221">
        <f t="shared" ref="F40:F71" si="103">IF(PLOT_TYPE=1, E40/100*Iout_max, min_I*EXP(O40*rr/100))</f>
        <v>0.35</v>
      </c>
      <c r="G40" s="221">
        <f t="shared" si="100"/>
        <v>6.9999999999999993E-2</v>
      </c>
      <c r="H40" s="221">
        <f t="shared" si="70"/>
        <v>1.75</v>
      </c>
      <c r="I40" s="221">
        <f t="shared" ref="I40:I71" si="104">Vout2*G40</f>
        <v>0.35</v>
      </c>
      <c r="J40" s="551">
        <f t="shared" si="1"/>
        <v>24</v>
      </c>
      <c r="K40" s="451">
        <f t="shared" si="2"/>
        <v>10.64</v>
      </c>
      <c r="L40" s="451">
        <f t="shared" si="3"/>
        <v>34.64</v>
      </c>
      <c r="M40" s="451"/>
      <c r="N40" s="221">
        <f t="shared" si="4"/>
        <v>0.30715935334872979</v>
      </c>
      <c r="O40" s="176">
        <f t="shared" si="101"/>
        <v>11.334180138568129</v>
      </c>
      <c r="P40" s="176">
        <f t="shared" si="71"/>
        <v>2.7202032332563508</v>
      </c>
      <c r="Q40" s="221">
        <f t="shared" si="6"/>
        <v>2.2668360277136257</v>
      </c>
      <c r="R40" s="221">
        <f t="shared" si="72"/>
        <v>2.2668360277136257</v>
      </c>
      <c r="S40" s="451">
        <f t="shared" si="73"/>
        <v>5</v>
      </c>
      <c r="T40" s="221">
        <f t="shared" si="74"/>
        <v>0.63304093567251463</v>
      </c>
      <c r="U40" s="221">
        <f t="shared" si="10"/>
        <v>0.1846369395711501</v>
      </c>
      <c r="V40" s="221">
        <f t="shared" si="11"/>
        <v>0.41647429978454908</v>
      </c>
      <c r="W40" s="201">
        <f t="shared" si="12"/>
        <v>350</v>
      </c>
      <c r="X40" s="451">
        <f t="shared" si="52"/>
        <v>350</v>
      </c>
      <c r="Z40" s="221">
        <f t="shared" si="13"/>
        <v>3.0089079511712309</v>
      </c>
      <c r="AA40" s="177">
        <f t="shared" si="14"/>
        <v>1.9795447047179149</v>
      </c>
      <c r="AB40" s="177">
        <f t="shared" si="75"/>
        <v>2.0846937306036244</v>
      </c>
      <c r="AC40" s="177"/>
      <c r="AD40" s="177">
        <f t="shared" si="16"/>
        <v>0.53947368421052622</v>
      </c>
      <c r="AE40" s="555">
        <f t="shared" si="76"/>
        <v>791.19571683521724</v>
      </c>
      <c r="AF40" s="538">
        <f t="shared" si="77"/>
        <v>0.15482894736842101</v>
      </c>
      <c r="AH40" s="177">
        <f t="shared" si="78"/>
        <v>1.3093073414159542</v>
      </c>
      <c r="AI40" s="177">
        <f t="shared" si="79"/>
        <v>1.3093073414159542</v>
      </c>
      <c r="AJ40" s="177">
        <f t="shared" si="80"/>
        <v>1.5624498825303363</v>
      </c>
      <c r="AL40" s="555">
        <f t="shared" si="81"/>
        <v>350</v>
      </c>
      <c r="AM40" s="469">
        <f t="shared" si="82"/>
        <v>350</v>
      </c>
      <c r="AO40">
        <f t="shared" si="53"/>
        <v>350</v>
      </c>
      <c r="AP40" s="469">
        <f t="shared" si="24"/>
        <v>350</v>
      </c>
      <c r="AQ40" s="469"/>
      <c r="AR40" s="5">
        <f t="shared" si="54"/>
        <v>2.8571428571428572</v>
      </c>
      <c r="AS40" s="5">
        <f t="shared" si="25"/>
        <v>0.38188130791298663</v>
      </c>
      <c r="AT40" s="5">
        <f t="shared" si="55"/>
        <v>2.4752615492298706</v>
      </c>
      <c r="AU40" s="177">
        <f t="shared" si="56"/>
        <v>0.13365845776954532</v>
      </c>
      <c r="AW40" s="5">
        <f t="shared" si="83"/>
        <v>12.458288888888889</v>
      </c>
      <c r="AX40" s="5">
        <f t="shared" si="84"/>
        <v>1.8130701944444443</v>
      </c>
      <c r="AY40" s="5">
        <f t="shared" si="85"/>
        <v>0.49833155555555569</v>
      </c>
      <c r="AZ40" s="5">
        <f t="shared" si="86"/>
        <v>0.27874003535353531</v>
      </c>
      <c r="BA40" s="5">
        <f t="shared" si="87"/>
        <v>0.20054202366445709</v>
      </c>
      <c r="BB40" s="469">
        <f t="shared" si="88"/>
        <v>24.356709506401518</v>
      </c>
      <c r="BC40" s="5"/>
      <c r="BD40" s="177">
        <f t="shared" si="57"/>
        <v>0.27636255459558429</v>
      </c>
      <c r="BE40" s="177">
        <f t="shared" si="89"/>
        <v>1.4071990759604329</v>
      </c>
      <c r="BF40" s="177">
        <f t="shared" si="90"/>
        <v>0.28143981519208661</v>
      </c>
      <c r="BG40" s="177"/>
      <c r="BH40" s="538">
        <f t="shared" si="34"/>
        <v>8.4013887740857027E-3</v>
      </c>
      <c r="BI40" s="538">
        <f t="shared" si="35"/>
        <v>7.9370211036635149E-2</v>
      </c>
      <c r="BJ40" s="538">
        <f t="shared" si="36"/>
        <v>1.7499999999999998E-2</v>
      </c>
      <c r="BK40" s="538">
        <f t="shared" si="37"/>
        <v>9.4494456000000004E-2</v>
      </c>
      <c r="BL40">
        <f t="shared" si="38"/>
        <v>6.96E-3</v>
      </c>
      <c r="BM40">
        <f t="shared" si="91"/>
        <v>6.6500000000000004E-5</v>
      </c>
      <c r="BN40">
        <f t="shared" si="92"/>
        <v>0.20824954179462984</v>
      </c>
      <c r="BO40" s="469">
        <f t="shared" si="58"/>
        <v>208.24954179462983</v>
      </c>
      <c r="BP40" s="177">
        <f t="shared" si="93"/>
        <v>0.28498798588892971</v>
      </c>
      <c r="BQ40" s="177">
        <f t="shared" si="94"/>
        <v>3.2791519435557186E-2</v>
      </c>
      <c r="BR40" s="538"/>
      <c r="BT40" s="469">
        <f t="shared" si="59"/>
        <v>317.77950532448688</v>
      </c>
      <c r="BU40" s="538">
        <f t="shared" si="43"/>
        <v>7.6376261582597306E-3</v>
      </c>
      <c r="BV40" s="538">
        <f t="shared" si="60"/>
        <v>5.9406277181516892E-2</v>
      </c>
      <c r="BW40" s="538">
        <f t="shared" si="95"/>
        <v>3.960418478767793E-3</v>
      </c>
      <c r="BX40" s="538">
        <f t="shared" si="45"/>
        <v>0</v>
      </c>
      <c r="BY40" s="538">
        <f t="shared" si="96"/>
        <v>7.9979149659264157E-2</v>
      </c>
      <c r="BZ40" s="538">
        <f t="shared" si="61"/>
        <v>7.1004321818544422E-2</v>
      </c>
      <c r="CA40" s="641">
        <f t="shared" si="97"/>
        <v>0.03</v>
      </c>
      <c r="CB40" s="469">
        <f t="shared" si="62"/>
        <v>109.97914965926415</v>
      </c>
      <c r="CC40" s="177">
        <f t="shared" si="63"/>
        <v>0.63600819677838083</v>
      </c>
      <c r="CD40" s="5">
        <f t="shared" si="64"/>
        <v>2.1</v>
      </c>
      <c r="CE40" s="177">
        <f t="shared" si="65"/>
        <v>0.7675415601724902</v>
      </c>
      <c r="CF40" s="5">
        <f t="shared" si="66"/>
        <v>76.754156017249016</v>
      </c>
      <c r="CG40">
        <f t="shared" si="102"/>
        <v>35</v>
      </c>
      <c r="CI40" s="571">
        <f t="shared" si="98"/>
        <v>-50</v>
      </c>
      <c r="CJ40">
        <f t="shared" si="99"/>
        <v>-50</v>
      </c>
    </row>
    <row r="41" spans="5:88" x14ac:dyDescent="0.2">
      <c r="E41" s="174">
        <v>36</v>
      </c>
      <c r="F41" s="221">
        <f t="shared" si="103"/>
        <v>0.36</v>
      </c>
      <c r="G41" s="221">
        <f t="shared" si="100"/>
        <v>7.1999999999999995E-2</v>
      </c>
      <c r="H41" s="221">
        <f t="shared" si="70"/>
        <v>1.7999999999999998</v>
      </c>
      <c r="I41" s="221">
        <f t="shared" si="104"/>
        <v>0.36</v>
      </c>
      <c r="J41" s="551">
        <f t="shared" si="1"/>
        <v>24</v>
      </c>
      <c r="K41" s="451">
        <f t="shared" si="2"/>
        <v>10.64</v>
      </c>
      <c r="L41" s="451">
        <f t="shared" si="3"/>
        <v>34.64</v>
      </c>
      <c r="M41" s="451"/>
      <c r="N41" s="221">
        <f t="shared" si="4"/>
        <v>0.30715935334872979</v>
      </c>
      <c r="O41" s="176">
        <f t="shared" si="101"/>
        <v>11.334180138568129</v>
      </c>
      <c r="P41" s="176">
        <f t="shared" si="71"/>
        <v>2.7202032332563508</v>
      </c>
      <c r="Q41" s="221">
        <f t="shared" si="6"/>
        <v>2.2668360277136257</v>
      </c>
      <c r="R41" s="221">
        <f t="shared" si="72"/>
        <v>2.2668360277136257</v>
      </c>
      <c r="S41" s="451">
        <f t="shared" si="73"/>
        <v>5</v>
      </c>
      <c r="T41" s="221">
        <f t="shared" si="74"/>
        <v>0.65112781954887211</v>
      </c>
      <c r="U41" s="221">
        <f t="shared" si="10"/>
        <v>0.18991228070175437</v>
      </c>
      <c r="V41" s="221">
        <f t="shared" si="11"/>
        <v>0.42837356549267896</v>
      </c>
      <c r="W41" s="201">
        <f t="shared" si="12"/>
        <v>350</v>
      </c>
      <c r="X41" s="451">
        <f t="shared" si="52"/>
        <v>350</v>
      </c>
      <c r="Z41" s="221">
        <f t="shared" si="13"/>
        <v>3.0089079511712309</v>
      </c>
      <c r="AA41" s="177">
        <f t="shared" si="14"/>
        <v>1.9795447047179149</v>
      </c>
      <c r="AB41" s="177">
        <f t="shared" si="75"/>
        <v>2.0846937306036244</v>
      </c>
      <c r="AC41" s="177"/>
      <c r="AD41" s="177">
        <f t="shared" si="16"/>
        <v>0.53947368421052622</v>
      </c>
      <c r="AE41" s="555">
        <f t="shared" si="76"/>
        <v>813.80130874479494</v>
      </c>
      <c r="AF41" s="538">
        <f t="shared" si="77"/>
        <v>0.15482894736842101</v>
      </c>
      <c r="AH41" s="177">
        <f t="shared" si="78"/>
        <v>1.3278800044139714</v>
      </c>
      <c r="AI41" s="177">
        <f t="shared" si="79"/>
        <v>1.3278800044139714</v>
      </c>
      <c r="AJ41" s="177">
        <f t="shared" si="80"/>
        <v>1.5762074106770159</v>
      </c>
      <c r="AL41" s="555">
        <f t="shared" si="81"/>
        <v>360</v>
      </c>
      <c r="AM41" s="469">
        <f t="shared" si="82"/>
        <v>350</v>
      </c>
      <c r="AO41">
        <f t="shared" si="53"/>
        <v>360</v>
      </c>
      <c r="AP41" s="469">
        <f t="shared" si="24"/>
        <v>350</v>
      </c>
      <c r="AQ41" s="469"/>
      <c r="AR41" s="5">
        <f t="shared" si="54"/>
        <v>2.8571428571428572</v>
      </c>
      <c r="AS41" s="5">
        <f t="shared" si="25"/>
        <v>0.38729833462074165</v>
      </c>
      <c r="AT41" s="5">
        <f t="shared" si="55"/>
        <v>2.4698445225221155</v>
      </c>
      <c r="AU41" s="177">
        <f t="shared" si="56"/>
        <v>0.13555441711725957</v>
      </c>
      <c r="AW41" s="5">
        <f t="shared" si="83"/>
        <v>12.458288888888889</v>
      </c>
      <c r="AX41" s="5">
        <f t="shared" si="84"/>
        <v>1.8872971199999999</v>
      </c>
      <c r="AY41" s="5">
        <f t="shared" si="85"/>
        <v>0.49833155555555569</v>
      </c>
      <c r="AZ41" s="5">
        <f t="shared" si="86"/>
        <v>0.29078129454545454</v>
      </c>
      <c r="BA41" s="5">
        <f t="shared" si="87"/>
        <v>0.20582037687684288</v>
      </c>
      <c r="BB41" s="469">
        <f t="shared" si="88"/>
        <v>24.998445225221147</v>
      </c>
      <c r="BC41" s="5"/>
      <c r="BD41" s="177">
        <f t="shared" si="57"/>
        <v>0.28226370695652364</v>
      </c>
      <c r="BE41" s="177">
        <f t="shared" si="89"/>
        <v>1.4255978419960911</v>
      </c>
      <c r="BF41" s="177">
        <f t="shared" si="90"/>
        <v>0.2851195683992182</v>
      </c>
      <c r="BG41" s="177"/>
      <c r="BH41" s="538">
        <f t="shared" si="34"/>
        <v>8.7640080291322073E-3</v>
      </c>
      <c r="BI41" s="538">
        <f t="shared" si="35"/>
        <v>8.0496085867574937E-2</v>
      </c>
      <c r="BJ41" s="538">
        <f t="shared" si="36"/>
        <v>1.7499999999999998E-2</v>
      </c>
      <c r="BK41" s="538">
        <f t="shared" si="37"/>
        <v>9.4494456000000004E-2</v>
      </c>
      <c r="BL41">
        <f t="shared" si="38"/>
        <v>6.96E-3</v>
      </c>
      <c r="BM41">
        <f t="shared" si="91"/>
        <v>6.6500000000000004E-5</v>
      </c>
      <c r="BN41">
        <f t="shared" si="92"/>
        <v>0.20980343463349563</v>
      </c>
      <c r="BO41" s="469">
        <f t="shared" si="58"/>
        <v>209.80343463349564</v>
      </c>
      <c r="BP41" s="177">
        <f t="shared" si="93"/>
        <v>0.29278995142273895</v>
      </c>
      <c r="BQ41" s="177">
        <f t="shared" si="94"/>
        <v>3.3714798056909551E-2</v>
      </c>
      <c r="BR41" s="538"/>
      <c r="BT41" s="469">
        <f t="shared" si="59"/>
        <v>326.50474947964847</v>
      </c>
      <c r="BU41" s="538">
        <f t="shared" si="43"/>
        <v>7.9672800264838257E-3</v>
      </c>
      <c r="BV41" s="538">
        <f t="shared" si="60"/>
        <v>6.0969876213117363E-2</v>
      </c>
      <c r="BW41" s="538">
        <f t="shared" si="95"/>
        <v>4.0646584142078231E-3</v>
      </c>
      <c r="BX41" s="538">
        <f t="shared" si="45"/>
        <v>0</v>
      </c>
      <c r="BY41" s="538">
        <f t="shared" si="96"/>
        <v>8.224233961492726E-2</v>
      </c>
      <c r="BZ41" s="538">
        <f t="shared" si="61"/>
        <v>7.3001814653809005E-2</v>
      </c>
      <c r="CA41" s="641">
        <f t="shared" si="97"/>
        <v>3.085714285714285E-2</v>
      </c>
      <c r="CB41" s="469">
        <f t="shared" si="62"/>
        <v>113.09948247207011</v>
      </c>
      <c r="CC41" s="177">
        <f t="shared" si="63"/>
        <v>0.6494076665852142</v>
      </c>
      <c r="CD41" s="5">
        <f t="shared" si="64"/>
        <v>2.1599999999999997</v>
      </c>
      <c r="CE41" s="177">
        <f t="shared" si="65"/>
        <v>0.76884534262891158</v>
      </c>
      <c r="CF41" s="5">
        <f t="shared" si="66"/>
        <v>76.884534262891151</v>
      </c>
      <c r="CG41">
        <f t="shared" si="102"/>
        <v>36</v>
      </c>
      <c r="CI41" s="571">
        <f t="shared" si="98"/>
        <v>-50</v>
      </c>
      <c r="CJ41">
        <f t="shared" si="99"/>
        <v>-50</v>
      </c>
    </row>
    <row r="42" spans="5:88" x14ac:dyDescent="0.2">
      <c r="E42" s="174">
        <v>37</v>
      </c>
      <c r="F42" s="221">
        <f t="shared" si="103"/>
        <v>0.37</v>
      </c>
      <c r="G42" s="221">
        <f t="shared" si="100"/>
        <v>7.3999999999999996E-2</v>
      </c>
      <c r="H42" s="221">
        <f t="shared" si="70"/>
        <v>1.85</v>
      </c>
      <c r="I42" s="221">
        <f t="shared" si="104"/>
        <v>0.37</v>
      </c>
      <c r="J42" s="551">
        <f t="shared" si="1"/>
        <v>24</v>
      </c>
      <c r="K42" s="451">
        <f t="shared" si="2"/>
        <v>10.64</v>
      </c>
      <c r="L42" s="451">
        <f t="shared" si="3"/>
        <v>34.64</v>
      </c>
      <c r="M42" s="451"/>
      <c r="N42" s="221">
        <f t="shared" si="4"/>
        <v>0.30715935334872979</v>
      </c>
      <c r="O42" s="176">
        <f t="shared" si="101"/>
        <v>11.334180138568129</v>
      </c>
      <c r="P42" s="176">
        <f t="shared" si="71"/>
        <v>2.7202032332563508</v>
      </c>
      <c r="Q42" s="221">
        <f t="shared" si="6"/>
        <v>2.2668360277136257</v>
      </c>
      <c r="R42" s="221">
        <f t="shared" si="72"/>
        <v>2.2668360277136257</v>
      </c>
      <c r="S42" s="451">
        <f t="shared" si="73"/>
        <v>5</v>
      </c>
      <c r="T42" s="221">
        <f t="shared" si="74"/>
        <v>0.66921470342522982</v>
      </c>
      <c r="U42" s="221">
        <f t="shared" si="10"/>
        <v>0.19518762183235869</v>
      </c>
      <c r="V42" s="221">
        <f t="shared" si="11"/>
        <v>0.44027283120080907</v>
      </c>
      <c r="W42" s="201">
        <f t="shared" si="12"/>
        <v>350</v>
      </c>
      <c r="X42" s="451">
        <f t="shared" si="52"/>
        <v>350</v>
      </c>
      <c r="Z42" s="221">
        <f t="shared" si="13"/>
        <v>3.0089079511712309</v>
      </c>
      <c r="AA42" s="177">
        <f t="shared" si="14"/>
        <v>1.9795447047179149</v>
      </c>
      <c r="AB42" s="177">
        <f t="shared" si="75"/>
        <v>2.0846937306036244</v>
      </c>
      <c r="AC42" s="177"/>
      <c r="AD42" s="177">
        <f t="shared" si="16"/>
        <v>0.53947368421052622</v>
      </c>
      <c r="AE42" s="555">
        <f t="shared" si="76"/>
        <v>836.40690065437252</v>
      </c>
      <c r="AF42" s="538">
        <f t="shared" si="77"/>
        <v>0.15482894736842101</v>
      </c>
      <c r="AH42" s="177">
        <f t="shared" si="78"/>
        <v>1.3461964559302568</v>
      </c>
      <c r="AI42" s="177">
        <f t="shared" si="79"/>
        <v>1.3461964559302568</v>
      </c>
      <c r="AJ42" s="177">
        <f t="shared" si="80"/>
        <v>1.5897751525409309</v>
      </c>
      <c r="AL42" s="555">
        <f t="shared" si="81"/>
        <v>370</v>
      </c>
      <c r="AM42" s="469">
        <f t="shared" si="82"/>
        <v>350</v>
      </c>
      <c r="AO42">
        <f t="shared" si="53"/>
        <v>370</v>
      </c>
      <c r="AP42" s="469">
        <f t="shared" si="24"/>
        <v>350</v>
      </c>
      <c r="AQ42" s="469"/>
      <c r="AR42" s="5">
        <f t="shared" si="54"/>
        <v>2.8571428571428572</v>
      </c>
      <c r="AS42" s="5">
        <f t="shared" si="25"/>
        <v>0.39264063297965823</v>
      </c>
      <c r="AT42" s="5">
        <f t="shared" si="55"/>
        <v>2.4645022241631991</v>
      </c>
      <c r="AU42" s="177">
        <f t="shared" si="56"/>
        <v>0.13742422154288036</v>
      </c>
      <c r="AW42" s="5">
        <f t="shared" si="83"/>
        <v>12.458288888888889</v>
      </c>
      <c r="AX42" s="5">
        <f t="shared" si="84"/>
        <v>1.9627698744444444</v>
      </c>
      <c r="AY42" s="5">
        <f t="shared" si="85"/>
        <v>0.49833155555555569</v>
      </c>
      <c r="AZ42" s="5">
        <f t="shared" si="86"/>
        <v>0.30304906808080806</v>
      </c>
      <c r="BA42" s="5">
        <f t="shared" si="87"/>
        <v>0.21108005160657031</v>
      </c>
      <c r="BB42" s="469">
        <f t="shared" si="88"/>
        <v>25.637939526121773</v>
      </c>
      <c r="BC42" s="5"/>
      <c r="BD42" s="177">
        <f t="shared" si="57"/>
        <v>0.28812401516655839</v>
      </c>
      <c r="BE42" s="177">
        <f t="shared" si="89"/>
        <v>1.4436982850129902</v>
      </c>
      <c r="BF42" s="177">
        <f t="shared" si="90"/>
        <v>0.28873965700259807</v>
      </c>
      <c r="BG42" s="177"/>
      <c r="BH42" s="538">
        <f t="shared" si="34"/>
        <v>9.1316992927269088E-3</v>
      </c>
      <c r="BI42" s="538">
        <f t="shared" si="35"/>
        <v>8.1606429158492172E-2</v>
      </c>
      <c r="BJ42" s="538">
        <f t="shared" si="36"/>
        <v>1.7499999999999998E-2</v>
      </c>
      <c r="BK42" s="538">
        <f t="shared" si="37"/>
        <v>9.4494456000000004E-2</v>
      </c>
      <c r="BL42">
        <f t="shared" si="38"/>
        <v>6.96E-3</v>
      </c>
      <c r="BM42">
        <f t="shared" si="91"/>
        <v>6.6500000000000004E-5</v>
      </c>
      <c r="BN42">
        <f t="shared" si="92"/>
        <v>0.21134794255645742</v>
      </c>
      <c r="BO42" s="469">
        <f t="shared" si="58"/>
        <v>211.34794255645741</v>
      </c>
      <c r="BP42" s="177">
        <f t="shared" si="93"/>
        <v>0.30057782599461796</v>
      </c>
      <c r="BQ42" s="177">
        <f t="shared" si="94"/>
        <v>3.4637513039784719E-2</v>
      </c>
      <c r="BR42" s="538"/>
      <c r="BT42" s="469">
        <f t="shared" si="59"/>
        <v>335.21533903440269</v>
      </c>
      <c r="BU42" s="538">
        <f t="shared" si="43"/>
        <v>8.3015448115699164E-3</v>
      </c>
      <c r="BV42" s="538">
        <f t="shared" si="60"/>
        <v>6.252794214448347E-2</v>
      </c>
      <c r="BW42" s="538">
        <f t="shared" si="95"/>
        <v>4.1685294762988994E-3</v>
      </c>
      <c r="BX42" s="538">
        <f t="shared" si="45"/>
        <v>0</v>
      </c>
      <c r="BY42" s="538">
        <f t="shared" si="96"/>
        <v>8.4504793757099156E-2</v>
      </c>
      <c r="BZ42" s="538">
        <f t="shared" si="61"/>
        <v>7.499801643235228E-2</v>
      </c>
      <c r="CA42" s="641">
        <f t="shared" si="97"/>
        <v>3.1714285714285723E-2</v>
      </c>
      <c r="CB42" s="469">
        <f t="shared" si="62"/>
        <v>116.21907947138487</v>
      </c>
      <c r="CC42" s="177">
        <f t="shared" si="63"/>
        <v>0.66278236106224497</v>
      </c>
      <c r="CD42" s="5">
        <f t="shared" si="64"/>
        <v>2.2200000000000002</v>
      </c>
      <c r="CE42" s="177">
        <f t="shared" si="65"/>
        <v>0.77008935186559713</v>
      </c>
      <c r="CF42" s="5">
        <f t="shared" si="66"/>
        <v>77.008935186559711</v>
      </c>
      <c r="CG42">
        <f t="shared" si="102"/>
        <v>37</v>
      </c>
      <c r="CI42" s="571">
        <f t="shared" si="98"/>
        <v>-50</v>
      </c>
      <c r="CJ42">
        <f t="shared" si="99"/>
        <v>-50</v>
      </c>
    </row>
    <row r="43" spans="5:88" x14ac:dyDescent="0.2">
      <c r="E43" s="174">
        <v>38</v>
      </c>
      <c r="F43" s="221">
        <f t="shared" si="103"/>
        <v>0.38</v>
      </c>
      <c r="G43" s="221">
        <f t="shared" si="100"/>
        <v>7.6000000000000012E-2</v>
      </c>
      <c r="H43" s="221">
        <f t="shared" si="70"/>
        <v>1.9</v>
      </c>
      <c r="I43" s="221">
        <f t="shared" si="104"/>
        <v>0.38000000000000006</v>
      </c>
      <c r="J43" s="551">
        <f t="shared" si="1"/>
        <v>24</v>
      </c>
      <c r="K43" s="451">
        <f t="shared" si="2"/>
        <v>10.64</v>
      </c>
      <c r="L43" s="451">
        <f t="shared" si="3"/>
        <v>34.64</v>
      </c>
      <c r="M43" s="451"/>
      <c r="N43" s="221">
        <f t="shared" si="4"/>
        <v>0.30715935334872979</v>
      </c>
      <c r="O43" s="176">
        <f t="shared" si="101"/>
        <v>11.334180138568129</v>
      </c>
      <c r="P43" s="176">
        <f t="shared" si="71"/>
        <v>2.7202032332563508</v>
      </c>
      <c r="Q43" s="221">
        <f t="shared" si="6"/>
        <v>2.2668360277136257</v>
      </c>
      <c r="R43" s="221">
        <f t="shared" si="72"/>
        <v>2.2668360277136257</v>
      </c>
      <c r="S43" s="451">
        <f t="shared" si="73"/>
        <v>5</v>
      </c>
      <c r="T43" s="221">
        <f t="shared" si="74"/>
        <v>0.68730158730158719</v>
      </c>
      <c r="U43" s="221">
        <f t="shared" si="10"/>
        <v>0.20046296296296293</v>
      </c>
      <c r="V43" s="221">
        <f t="shared" si="11"/>
        <v>0.45217209690893889</v>
      </c>
      <c r="W43" s="201">
        <f t="shared" si="12"/>
        <v>350</v>
      </c>
      <c r="X43" s="451">
        <f t="shared" si="52"/>
        <v>350</v>
      </c>
      <c r="Z43" s="221">
        <f t="shared" si="13"/>
        <v>3.0089079511712309</v>
      </c>
      <c r="AA43" s="177">
        <f t="shared" si="14"/>
        <v>1.9795447047179149</v>
      </c>
      <c r="AB43" s="177">
        <f t="shared" si="75"/>
        <v>2.0846937306036244</v>
      </c>
      <c r="AC43" s="177"/>
      <c r="AD43" s="177">
        <f t="shared" si="16"/>
        <v>0.53947368421052622</v>
      </c>
      <c r="AE43" s="555">
        <f t="shared" si="76"/>
        <v>859.01249256394999</v>
      </c>
      <c r="AF43" s="538">
        <f t="shared" si="77"/>
        <v>0.15482894736842101</v>
      </c>
      <c r="AH43" s="177">
        <f t="shared" si="78"/>
        <v>1.3642670155786651</v>
      </c>
      <c r="AI43" s="177">
        <f t="shared" si="79"/>
        <v>1.3642670155786651</v>
      </c>
      <c r="AJ43" s="177">
        <f t="shared" si="80"/>
        <v>1.6031607522804927</v>
      </c>
      <c r="AL43" s="555">
        <f t="shared" si="81"/>
        <v>380</v>
      </c>
      <c r="AM43" s="469">
        <f t="shared" si="82"/>
        <v>350</v>
      </c>
      <c r="AO43">
        <f t="shared" si="53"/>
        <v>380</v>
      </c>
      <c r="AP43" s="469">
        <f t="shared" si="24"/>
        <v>350</v>
      </c>
      <c r="AQ43" s="469"/>
      <c r="AR43" s="5">
        <f t="shared" si="54"/>
        <v>2.8571428571428572</v>
      </c>
      <c r="AS43" s="5">
        <f t="shared" si="25"/>
        <v>0.39791121287711068</v>
      </c>
      <c r="AT43" s="5">
        <f t="shared" si="55"/>
        <v>2.4592316442657465</v>
      </c>
      <c r="AU43" s="177">
        <f t="shared" si="56"/>
        <v>0.13926892450698874</v>
      </c>
      <c r="AW43" s="5">
        <f t="shared" si="83"/>
        <v>12.458288888888889</v>
      </c>
      <c r="AX43" s="5">
        <f t="shared" si="84"/>
        <v>2.0394884577777779</v>
      </c>
      <c r="AY43" s="5">
        <f t="shared" si="85"/>
        <v>0.49833155555555569</v>
      </c>
      <c r="AZ43" s="5">
        <f t="shared" si="86"/>
        <v>0.31554335595959604</v>
      </c>
      <c r="BA43" s="5">
        <f t="shared" si="87"/>
        <v>0.21632130204189434</v>
      </c>
      <c r="BB43" s="469">
        <f t="shared" si="88"/>
        <v>26.275222911693984</v>
      </c>
      <c r="BC43" s="5"/>
      <c r="BD43" s="177">
        <f t="shared" si="57"/>
        <v>0.29394485478285792</v>
      </c>
      <c r="BE43" s="177">
        <f t="shared" si="89"/>
        <v>1.461512347689188</v>
      </c>
      <c r="BF43" s="177">
        <f t="shared" si="90"/>
        <v>0.29230246953783762</v>
      </c>
      <c r="BG43" s="177"/>
      <c r="BH43" s="538">
        <f t="shared" si="34"/>
        <v>9.5043935418646988E-3</v>
      </c>
      <c r="BI43" s="538">
        <f t="shared" si="35"/>
        <v>8.2701866484378675E-2</v>
      </c>
      <c r="BJ43" s="538">
        <f t="shared" si="36"/>
        <v>1.7499999999999998E-2</v>
      </c>
      <c r="BK43" s="538">
        <f t="shared" si="37"/>
        <v>9.4494456000000004E-2</v>
      </c>
      <c r="BL43">
        <f t="shared" si="38"/>
        <v>6.96E-3</v>
      </c>
      <c r="BM43">
        <f t="shared" si="91"/>
        <v>6.6500000000000004E-5</v>
      </c>
      <c r="BN43">
        <f t="shared" si="92"/>
        <v>0.21288361347317131</v>
      </c>
      <c r="BO43" s="469">
        <f t="shared" si="58"/>
        <v>212.88361347317129</v>
      </c>
      <c r="BP43" s="177">
        <f t="shared" si="93"/>
        <v>0.30835180136302431</v>
      </c>
      <c r="BQ43" s="177">
        <f t="shared" si="94"/>
        <v>3.5559672054520979E-2</v>
      </c>
      <c r="BR43" s="538"/>
      <c r="BT43" s="469">
        <f t="shared" si="59"/>
        <v>343.91147341754532</v>
      </c>
      <c r="BU43" s="538">
        <f t="shared" si="43"/>
        <v>8.6403577653315442E-3</v>
      </c>
      <c r="BV43" s="538">
        <f t="shared" si="60"/>
        <v>6.4080550273438855E-2</v>
      </c>
      <c r="BW43" s="538">
        <f t="shared" si="95"/>
        <v>4.2720366848959246E-3</v>
      </c>
      <c r="BX43" s="538">
        <f t="shared" si="45"/>
        <v>0</v>
      </c>
      <c r="BY43" s="538">
        <f t="shared" si="96"/>
        <v>8.6766530948199014E-2</v>
      </c>
      <c r="BZ43" s="538">
        <f t="shared" si="61"/>
        <v>7.6992944723666329E-2</v>
      </c>
      <c r="CA43" s="641">
        <f t="shared" si="97"/>
        <v>3.2571428571428564E-2</v>
      </c>
      <c r="CB43" s="469">
        <f t="shared" si="62"/>
        <v>119.33795951962759</v>
      </c>
      <c r="CC43" s="177">
        <f t="shared" si="63"/>
        <v>0.67613304641034411</v>
      </c>
      <c r="CD43" s="5">
        <f t="shared" si="64"/>
        <v>2.2799999999999998</v>
      </c>
      <c r="CE43" s="177">
        <f t="shared" si="65"/>
        <v>0.77127787017861804</v>
      </c>
      <c r="CF43" s="5">
        <f t="shared" si="66"/>
        <v>77.127787017861806</v>
      </c>
      <c r="CG43">
        <f t="shared" si="102"/>
        <v>38</v>
      </c>
      <c r="CI43" s="571">
        <f t="shared" si="98"/>
        <v>-50</v>
      </c>
      <c r="CJ43">
        <f t="shared" si="99"/>
        <v>-50</v>
      </c>
    </row>
    <row r="44" spans="5:88" x14ac:dyDescent="0.2">
      <c r="E44" s="174">
        <v>39</v>
      </c>
      <c r="F44" s="221">
        <f t="shared" si="103"/>
        <v>0.39</v>
      </c>
      <c r="G44" s="221">
        <f t="shared" si="100"/>
        <v>7.8000000000000014E-2</v>
      </c>
      <c r="H44" s="221">
        <f t="shared" si="70"/>
        <v>1.9500000000000002</v>
      </c>
      <c r="I44" s="221">
        <f t="shared" si="104"/>
        <v>0.39000000000000007</v>
      </c>
      <c r="J44" s="551">
        <f t="shared" si="1"/>
        <v>24</v>
      </c>
      <c r="K44" s="451">
        <f t="shared" si="2"/>
        <v>10.64</v>
      </c>
      <c r="L44" s="451">
        <f t="shared" si="3"/>
        <v>34.64</v>
      </c>
      <c r="M44" s="451"/>
      <c r="N44" s="221">
        <f t="shared" si="4"/>
        <v>0.30715935334872979</v>
      </c>
      <c r="O44" s="176">
        <f t="shared" si="101"/>
        <v>11.334180138568129</v>
      </c>
      <c r="P44" s="176">
        <f t="shared" si="71"/>
        <v>2.7202032332563508</v>
      </c>
      <c r="Q44" s="221">
        <f t="shared" si="6"/>
        <v>2.2668360277136257</v>
      </c>
      <c r="R44" s="221">
        <f t="shared" si="72"/>
        <v>2.2668360277136257</v>
      </c>
      <c r="S44" s="451">
        <f t="shared" si="73"/>
        <v>5</v>
      </c>
      <c r="T44" s="221">
        <f t="shared" si="74"/>
        <v>0.7053884711779449</v>
      </c>
      <c r="U44" s="221">
        <f t="shared" si="10"/>
        <v>0.20573830409356722</v>
      </c>
      <c r="V44" s="221">
        <f t="shared" si="11"/>
        <v>0.46407136261706894</v>
      </c>
      <c r="W44" s="201">
        <f t="shared" si="12"/>
        <v>350</v>
      </c>
      <c r="X44" s="451">
        <f t="shared" si="52"/>
        <v>350</v>
      </c>
      <c r="Z44" s="221">
        <f t="shared" si="13"/>
        <v>3.0089079511712309</v>
      </c>
      <c r="AA44" s="177">
        <f t="shared" si="14"/>
        <v>1.9795447047179149</v>
      </c>
      <c r="AB44" s="177">
        <f t="shared" si="75"/>
        <v>2.0846937306036244</v>
      </c>
      <c r="AC44" s="177"/>
      <c r="AD44" s="177">
        <f t="shared" si="16"/>
        <v>0.53947368421052622</v>
      </c>
      <c r="AE44" s="555">
        <f t="shared" si="76"/>
        <v>881.6180844735278</v>
      </c>
      <c r="AF44" s="538">
        <f t="shared" si="77"/>
        <v>0.15482894736842101</v>
      </c>
      <c r="AH44" s="177">
        <f t="shared" si="78"/>
        <v>1.3821013282797514</v>
      </c>
      <c r="AI44" s="177">
        <f t="shared" si="79"/>
        <v>1.3821013282797514</v>
      </c>
      <c r="AJ44" s="177">
        <f t="shared" si="80"/>
        <v>1.6163713542812974</v>
      </c>
      <c r="AL44" s="555">
        <f t="shared" si="81"/>
        <v>390</v>
      </c>
      <c r="AM44" s="469">
        <f t="shared" si="82"/>
        <v>350</v>
      </c>
      <c r="AO44">
        <f t="shared" si="53"/>
        <v>390</v>
      </c>
      <c r="AP44" s="469">
        <f t="shared" si="24"/>
        <v>350</v>
      </c>
      <c r="AQ44" s="469"/>
      <c r="AR44" s="5">
        <f t="shared" si="54"/>
        <v>2.8571428571428572</v>
      </c>
      <c r="AS44" s="5">
        <f t="shared" si="25"/>
        <v>0.40311288741492746</v>
      </c>
      <c r="AT44" s="5">
        <f t="shared" si="55"/>
        <v>2.4540299697279297</v>
      </c>
      <c r="AU44" s="177">
        <f t="shared" si="56"/>
        <v>0.14108951059522459</v>
      </c>
      <c r="AW44" s="5">
        <f t="shared" si="83"/>
        <v>12.458288888888889</v>
      </c>
      <c r="AX44" s="5">
        <f t="shared" si="84"/>
        <v>2.1174528700000002</v>
      </c>
      <c r="AY44" s="5">
        <f t="shared" si="85"/>
        <v>0.49833155555555569</v>
      </c>
      <c r="AZ44" s="5">
        <f t="shared" si="86"/>
        <v>0.3282641581818182</v>
      </c>
      <c r="BA44" s="5">
        <f t="shared" si="87"/>
        <v>0.22154437226710474</v>
      </c>
      <c r="BB44" s="469">
        <f t="shared" si="88"/>
        <v>26.910324672052578</v>
      </c>
      <c r="BC44" s="5"/>
      <c r="BD44" s="177">
        <f t="shared" si="57"/>
        <v>0.29972752015486304</v>
      </c>
      <c r="BE44" s="177">
        <f t="shared" si="89"/>
        <v>1.479051192541174</v>
      </c>
      <c r="BF44" s="177">
        <f t="shared" si="90"/>
        <v>0.29581023850823479</v>
      </c>
      <c r="BG44" s="177"/>
      <c r="BH44" s="538">
        <f t="shared" si="34"/>
        <v>9.8820244972002199E-3</v>
      </c>
      <c r="BI44" s="538">
        <f t="shared" si="35"/>
        <v>8.378298252031853E-2</v>
      </c>
      <c r="BJ44" s="538">
        <f t="shared" si="36"/>
        <v>1.7499999999999998E-2</v>
      </c>
      <c r="BK44" s="538">
        <f t="shared" si="37"/>
        <v>9.4494456000000004E-2</v>
      </c>
      <c r="BL44">
        <f t="shared" si="38"/>
        <v>6.96E-3</v>
      </c>
      <c r="BM44">
        <f t="shared" si="91"/>
        <v>6.6500000000000004E-5</v>
      </c>
      <c r="BN44">
        <f t="shared" si="92"/>
        <v>0.21441095756947962</v>
      </c>
      <c r="BO44" s="469">
        <f t="shared" si="58"/>
        <v>214.41095756947962</v>
      </c>
      <c r="BP44" s="177">
        <f t="shared" si="93"/>
        <v>0.31611206166403072</v>
      </c>
      <c r="BQ44" s="177">
        <f t="shared" si="94"/>
        <v>3.6481282466561231E-2</v>
      </c>
      <c r="BR44" s="538"/>
      <c r="BT44" s="469">
        <f t="shared" si="59"/>
        <v>352.59334413059196</v>
      </c>
      <c r="BU44" s="538">
        <f t="shared" si="43"/>
        <v>8.9836586338183835E-3</v>
      </c>
      <c r="BV44" s="538">
        <f t="shared" si="60"/>
        <v>6.5627772904724074E-2</v>
      </c>
      <c r="BW44" s="538">
        <f t="shared" si="95"/>
        <v>4.3751848603149372E-3</v>
      </c>
      <c r="BX44" s="538">
        <f t="shared" si="45"/>
        <v>0</v>
      </c>
      <c r="BY44" s="538">
        <f t="shared" si="96"/>
        <v>8.9027569283835872E-2</v>
      </c>
      <c r="BZ44" s="538">
        <f t="shared" si="61"/>
        <v>7.8986616398857387E-2</v>
      </c>
      <c r="CA44" s="641">
        <f t="shared" si="97"/>
        <v>3.3428571428571432E-2</v>
      </c>
      <c r="CB44" s="469">
        <f t="shared" si="62"/>
        <v>122.4561407124073</v>
      </c>
      <c r="CC44" s="177">
        <f t="shared" si="63"/>
        <v>0.68946044241247895</v>
      </c>
      <c r="CD44" s="5">
        <f t="shared" si="64"/>
        <v>2.3400000000000003</v>
      </c>
      <c r="CE44" s="177">
        <f t="shared" si="65"/>
        <v>0.77241477302029582</v>
      </c>
      <c r="CF44" s="5">
        <f t="shared" si="66"/>
        <v>77.24147730202958</v>
      </c>
      <c r="CG44">
        <f t="shared" si="102"/>
        <v>39</v>
      </c>
      <c r="CI44" s="571">
        <f t="shared" si="98"/>
        <v>-50</v>
      </c>
      <c r="CJ44">
        <f t="shared" si="99"/>
        <v>-50</v>
      </c>
    </row>
    <row r="45" spans="5:88" x14ac:dyDescent="0.2">
      <c r="E45" s="174">
        <v>40</v>
      </c>
      <c r="F45" s="221">
        <f t="shared" si="103"/>
        <v>0.4</v>
      </c>
      <c r="G45" s="221">
        <f t="shared" si="100"/>
        <v>8.0000000000000016E-2</v>
      </c>
      <c r="H45" s="221">
        <f t="shared" si="70"/>
        <v>2</v>
      </c>
      <c r="I45" s="221">
        <f t="shared" si="104"/>
        <v>0.40000000000000008</v>
      </c>
      <c r="J45" s="551">
        <f t="shared" si="1"/>
        <v>24</v>
      </c>
      <c r="K45" s="451">
        <f t="shared" si="2"/>
        <v>10.64</v>
      </c>
      <c r="L45" s="451">
        <f t="shared" si="3"/>
        <v>34.64</v>
      </c>
      <c r="M45" s="451"/>
      <c r="N45" s="221">
        <f t="shared" si="4"/>
        <v>0.30715935334872979</v>
      </c>
      <c r="O45" s="176">
        <f t="shared" si="101"/>
        <v>11.334180138568129</v>
      </c>
      <c r="P45" s="176">
        <f t="shared" si="71"/>
        <v>2.7202032332563508</v>
      </c>
      <c r="Q45" s="221">
        <f t="shared" si="6"/>
        <v>2.2668360277136257</v>
      </c>
      <c r="R45" s="221">
        <f t="shared" si="72"/>
        <v>2.2668360277136257</v>
      </c>
      <c r="S45" s="451">
        <f t="shared" si="73"/>
        <v>5</v>
      </c>
      <c r="T45" s="221">
        <f t="shared" si="74"/>
        <v>0.72347535505430238</v>
      </c>
      <c r="U45" s="221">
        <f t="shared" si="10"/>
        <v>0.21101364522417151</v>
      </c>
      <c r="V45" s="221">
        <f t="shared" si="11"/>
        <v>0.47597062832519893</v>
      </c>
      <c r="W45" s="201">
        <f t="shared" si="12"/>
        <v>350</v>
      </c>
      <c r="X45" s="451">
        <f t="shared" si="52"/>
        <v>350</v>
      </c>
      <c r="Z45" s="221">
        <f t="shared" si="13"/>
        <v>3.0089079511712309</v>
      </c>
      <c r="AA45" s="177">
        <f t="shared" si="14"/>
        <v>1.9795447047179149</v>
      </c>
      <c r="AB45" s="177">
        <f t="shared" si="75"/>
        <v>2.0846937306036244</v>
      </c>
      <c r="AC45" s="177"/>
      <c r="AD45" s="177">
        <f t="shared" si="16"/>
        <v>0.53947368421052622</v>
      </c>
      <c r="AE45" s="555">
        <f t="shared" si="76"/>
        <v>904.2236763831055</v>
      </c>
      <c r="AF45" s="538">
        <f t="shared" si="77"/>
        <v>0.15482894736842101</v>
      </c>
      <c r="AH45" s="177">
        <f t="shared" si="78"/>
        <v>1.3997084244475302</v>
      </c>
      <c r="AI45" s="177">
        <f t="shared" si="79"/>
        <v>1.3997084244475302</v>
      </c>
      <c r="AJ45" s="177">
        <f t="shared" si="80"/>
        <v>1.6294136477389112</v>
      </c>
      <c r="AL45" s="555">
        <f t="shared" si="81"/>
        <v>400</v>
      </c>
      <c r="AM45" s="469">
        <f t="shared" si="82"/>
        <v>350</v>
      </c>
      <c r="AO45">
        <f t="shared" si="53"/>
        <v>400</v>
      </c>
      <c r="AP45" s="469">
        <f t="shared" si="24"/>
        <v>350</v>
      </c>
      <c r="AQ45" s="469"/>
      <c r="AR45" s="5">
        <f t="shared" si="54"/>
        <v>2.8571428571428572</v>
      </c>
      <c r="AS45" s="5">
        <f t="shared" si="25"/>
        <v>0.40824829046386302</v>
      </c>
      <c r="AT45" s="5">
        <f t="shared" si="55"/>
        <v>2.4488945666789941</v>
      </c>
      <c r="AU45" s="177">
        <f t="shared" si="56"/>
        <v>0.14288690166235204</v>
      </c>
      <c r="AW45" s="5">
        <f t="shared" si="83"/>
        <v>12.458288888888889</v>
      </c>
      <c r="AX45" s="5">
        <f t="shared" si="84"/>
        <v>2.1966631111111115</v>
      </c>
      <c r="AY45" s="5">
        <f t="shared" si="85"/>
        <v>0.49833155555555569</v>
      </c>
      <c r="AZ45" s="5">
        <f t="shared" si="86"/>
        <v>0.34121147474747482</v>
      </c>
      <c r="BA45" s="5">
        <f t="shared" si="87"/>
        <v>0.22674949691472163</v>
      </c>
      <c r="BB45" s="469">
        <f t="shared" si="88"/>
        <v>27.543272963099934</v>
      </c>
      <c r="BC45" s="5"/>
      <c r="BD45" s="177">
        <f t="shared" si="57"/>
        <v>0.3054732311728291</v>
      </c>
      <c r="BE45" s="177">
        <f t="shared" si="89"/>
        <v>1.4963252714923008</v>
      </c>
      <c r="BF45" s="177">
        <f t="shared" si="90"/>
        <v>0.29926505429846018</v>
      </c>
      <c r="BG45" s="177"/>
      <c r="BH45" s="538">
        <f t="shared" si="34"/>
        <v>1.0264528445948556E-2</v>
      </c>
      <c r="BI45" s="538">
        <f t="shared" si="35"/>
        <v>8.4850324690009277E-2</v>
      </c>
      <c r="BJ45" s="538">
        <f t="shared" si="36"/>
        <v>1.7499999999999998E-2</v>
      </c>
      <c r="BK45" s="538">
        <f t="shared" si="37"/>
        <v>9.4494456000000004E-2</v>
      </c>
      <c r="BL45">
        <f t="shared" si="38"/>
        <v>6.96E-3</v>
      </c>
      <c r="BM45">
        <f t="shared" si="91"/>
        <v>6.6500000000000004E-5</v>
      </c>
      <c r="BN45">
        <f t="shared" si="92"/>
        <v>0.21593045075103875</v>
      </c>
      <c r="BO45" s="469">
        <f t="shared" si="58"/>
        <v>215.93045075103876</v>
      </c>
      <c r="BP45" s="177">
        <f t="shared" si="93"/>
        <v>0.32385878390333722</v>
      </c>
      <c r="BQ45" s="177">
        <f t="shared" si="94"/>
        <v>3.7402351356133498E-2</v>
      </c>
      <c r="BR45" s="538"/>
      <c r="BT45" s="469">
        <f t="shared" si="59"/>
        <v>361.26113525947073</v>
      </c>
      <c r="BU45" s="538">
        <f t="shared" si="43"/>
        <v>9.3313894963168702E-3</v>
      </c>
      <c r="BV45" s="538">
        <f t="shared" si="60"/>
        <v>6.7169679543195221E-2</v>
      </c>
      <c r="BW45" s="538">
        <f t="shared" si="95"/>
        <v>4.4779786362130159E-3</v>
      </c>
      <c r="BX45" s="538">
        <f t="shared" si="45"/>
        <v>0</v>
      </c>
      <c r="BY45" s="538">
        <f t="shared" si="96"/>
        <v>9.1287926142678208E-2</v>
      </c>
      <c r="BZ45" s="538">
        <f t="shared" si="61"/>
        <v>8.0979047675725113E-2</v>
      </c>
      <c r="CA45" s="641">
        <f t="shared" si="97"/>
        <v>3.4285714285714274E-2</v>
      </c>
      <c r="CB45" s="469">
        <f t="shared" si="62"/>
        <v>125.57364042839248</v>
      </c>
      <c r="CC45" s="177">
        <f t="shared" si="63"/>
        <v>0.70276522643890194</v>
      </c>
      <c r="CD45" s="5">
        <f t="shared" si="64"/>
        <v>2.4</v>
      </c>
      <c r="CE45" s="177">
        <f t="shared" si="65"/>
        <v>0.77350357659980673</v>
      </c>
      <c r="CF45" s="5">
        <f t="shared" si="66"/>
        <v>77.350357659980673</v>
      </c>
      <c r="CG45">
        <f t="shared" si="102"/>
        <v>40</v>
      </c>
      <c r="CI45" s="571">
        <f t="shared" si="98"/>
        <v>-50</v>
      </c>
      <c r="CJ45">
        <f t="shared" si="99"/>
        <v>-50</v>
      </c>
    </row>
    <row r="46" spans="5:88" x14ac:dyDescent="0.2">
      <c r="E46" s="174">
        <v>41</v>
      </c>
      <c r="F46" s="221">
        <f t="shared" si="103"/>
        <v>0.41</v>
      </c>
      <c r="G46" s="221">
        <f t="shared" si="100"/>
        <v>8.2000000000000003E-2</v>
      </c>
      <c r="H46" s="221">
        <f t="shared" si="70"/>
        <v>2.0499999999999998</v>
      </c>
      <c r="I46" s="221">
        <f t="shared" si="104"/>
        <v>0.41000000000000003</v>
      </c>
      <c r="J46" s="551">
        <f t="shared" si="1"/>
        <v>24</v>
      </c>
      <c r="K46" s="451">
        <f t="shared" si="2"/>
        <v>10.64</v>
      </c>
      <c r="L46" s="451">
        <f t="shared" si="3"/>
        <v>34.64</v>
      </c>
      <c r="M46" s="451"/>
      <c r="N46" s="221">
        <f t="shared" si="4"/>
        <v>0.30715935334872979</v>
      </c>
      <c r="O46" s="176">
        <f t="shared" si="101"/>
        <v>11.334180138568129</v>
      </c>
      <c r="P46" s="176">
        <f t="shared" si="71"/>
        <v>2.7202032332563508</v>
      </c>
      <c r="Q46" s="221">
        <f t="shared" si="6"/>
        <v>2.2668360277136257</v>
      </c>
      <c r="R46" s="221">
        <f t="shared" si="72"/>
        <v>2.2668360277136257</v>
      </c>
      <c r="S46" s="451">
        <f t="shared" si="73"/>
        <v>5</v>
      </c>
      <c r="T46" s="221">
        <f t="shared" si="74"/>
        <v>0.74156223893065998</v>
      </c>
      <c r="U46" s="221">
        <f t="shared" si="10"/>
        <v>0.21628898635477581</v>
      </c>
      <c r="V46" s="221">
        <f t="shared" si="11"/>
        <v>0.48786989403332892</v>
      </c>
      <c r="W46" s="201">
        <f t="shared" si="12"/>
        <v>350</v>
      </c>
      <c r="X46" s="451">
        <f t="shared" si="52"/>
        <v>350</v>
      </c>
      <c r="Z46" s="221">
        <f t="shared" si="13"/>
        <v>3.0089079511712309</v>
      </c>
      <c r="AA46" s="177">
        <f t="shared" si="14"/>
        <v>1.9795447047179149</v>
      </c>
      <c r="AB46" s="177">
        <f t="shared" si="75"/>
        <v>2.0846937306036244</v>
      </c>
      <c r="AC46" s="177"/>
      <c r="AD46" s="177">
        <f t="shared" si="16"/>
        <v>0.53947368421052622</v>
      </c>
      <c r="AE46" s="555">
        <f t="shared" si="76"/>
        <v>926.82926829268308</v>
      </c>
      <c r="AF46" s="538">
        <f t="shared" si="77"/>
        <v>0.15482894736842101</v>
      </c>
      <c r="AH46" s="177">
        <f t="shared" si="78"/>
        <v>1.4170967734442563</v>
      </c>
      <c r="AI46" s="177">
        <f t="shared" si="79"/>
        <v>1.4170967734442563</v>
      </c>
      <c r="AJ46" s="177">
        <f t="shared" si="80"/>
        <v>1.6422939062550048</v>
      </c>
      <c r="AL46" s="555">
        <f t="shared" si="81"/>
        <v>410</v>
      </c>
      <c r="AM46" s="469">
        <f t="shared" si="82"/>
        <v>350</v>
      </c>
      <c r="AO46">
        <f t="shared" si="53"/>
        <v>410</v>
      </c>
      <c r="AP46" s="469">
        <f t="shared" si="24"/>
        <v>350</v>
      </c>
      <c r="AQ46" s="469"/>
      <c r="AR46" s="5">
        <f t="shared" si="54"/>
        <v>2.8571428571428572</v>
      </c>
      <c r="AS46" s="5">
        <f t="shared" si="25"/>
        <v>0.41331989225457477</v>
      </c>
      <c r="AT46" s="5">
        <f t="shared" si="55"/>
        <v>2.4438229648882825</v>
      </c>
      <c r="AU46" s="177">
        <f t="shared" si="56"/>
        <v>0.14466196228910116</v>
      </c>
      <c r="AW46" s="5">
        <f t="shared" si="83"/>
        <v>12.458288888888889</v>
      </c>
      <c r="AX46" s="5">
        <f t="shared" si="84"/>
        <v>2.2771191811111109</v>
      </c>
      <c r="AY46" s="5">
        <f t="shared" si="85"/>
        <v>0.49833155555555569</v>
      </c>
      <c r="AZ46" s="5">
        <f t="shared" si="86"/>
        <v>0.35438530565656567</v>
      </c>
      <c r="BA46" s="5">
        <f t="shared" si="87"/>
        <v>0.23193690176023046</v>
      </c>
      <c r="BB46" s="469">
        <f t="shared" si="88"/>
        <v>28.174094877894326</v>
      </c>
      <c r="BC46" s="5"/>
      <c r="BD46" s="177">
        <f t="shared" si="57"/>
        <v>0.311183139301212</v>
      </c>
      <c r="BE46" s="177">
        <f t="shared" si="89"/>
        <v>1.5133443876615567</v>
      </c>
      <c r="BF46" s="177">
        <f t="shared" si="90"/>
        <v>0.30266887753231136</v>
      </c>
      <c r="BG46" s="177"/>
      <c r="BH46" s="538">
        <f t="shared" si="34"/>
        <v>1.0651844080389326E-2</v>
      </c>
      <c r="BI46" s="538">
        <f t="shared" si="35"/>
        <v>8.590440640619082E-2</v>
      </c>
      <c r="BJ46" s="538">
        <f t="shared" si="36"/>
        <v>1.7499999999999998E-2</v>
      </c>
      <c r="BK46" s="538">
        <f t="shared" si="37"/>
        <v>9.4494456000000004E-2</v>
      </c>
      <c r="BL46">
        <f t="shared" si="38"/>
        <v>6.96E-3</v>
      </c>
      <c r="BM46">
        <f t="shared" si="91"/>
        <v>6.6500000000000004E-5</v>
      </c>
      <c r="BN46">
        <f t="shared" si="92"/>
        <v>0.21744253769690713</v>
      </c>
      <c r="BO46" s="469">
        <f t="shared" si="58"/>
        <v>217.44253769690712</v>
      </c>
      <c r="BP46" s="177">
        <f t="shared" si="93"/>
        <v>0.33159213840493834</v>
      </c>
      <c r="BQ46" s="177">
        <f t="shared" si="94"/>
        <v>3.8322885536197532E-2</v>
      </c>
      <c r="BR46" s="538"/>
      <c r="BT46" s="469">
        <f t="shared" si="59"/>
        <v>369.91502394113587</v>
      </c>
      <c r="BU46" s="538">
        <f t="shared" si="43"/>
        <v>9.6834946185357512E-3</v>
      </c>
      <c r="BV46" s="538">
        <f t="shared" si="60"/>
        <v>6.8706337070001941E-2</v>
      </c>
      <c r="BW46" s="538">
        <f t="shared" si="95"/>
        <v>4.5804224713334651E-3</v>
      </c>
      <c r="BX46" s="538">
        <f t="shared" si="45"/>
        <v>0</v>
      </c>
      <c r="BY46" s="538">
        <f t="shared" si="96"/>
        <v>9.3547618231915902E-2</v>
      </c>
      <c r="BZ46" s="538">
        <f t="shared" si="61"/>
        <v>8.2970254159871151E-2</v>
      </c>
      <c r="CA46" s="641">
        <f t="shared" si="97"/>
        <v>3.5142857142857142E-2</v>
      </c>
      <c r="CB46" s="469">
        <f t="shared" si="62"/>
        <v>128.69047537477306</v>
      </c>
      <c r="CC46" s="177">
        <f t="shared" si="63"/>
        <v>0.71604803701281605</v>
      </c>
      <c r="CD46" s="5">
        <f t="shared" si="64"/>
        <v>2.46</v>
      </c>
      <c r="CE46" s="177">
        <f t="shared" si="65"/>
        <v>0.77454747892091569</v>
      </c>
      <c r="CF46" s="5">
        <f t="shared" si="66"/>
        <v>77.454747892091575</v>
      </c>
      <c r="CG46">
        <f t="shared" si="102"/>
        <v>41</v>
      </c>
      <c r="CI46" s="571">
        <f t="shared" si="98"/>
        <v>-50</v>
      </c>
      <c r="CJ46">
        <f t="shared" si="99"/>
        <v>-50</v>
      </c>
    </row>
    <row r="47" spans="5:88" x14ac:dyDescent="0.2">
      <c r="E47" s="174">
        <v>42</v>
      </c>
      <c r="F47" s="221">
        <f t="shared" si="103"/>
        <v>0.42</v>
      </c>
      <c r="G47" s="221">
        <f t="shared" si="100"/>
        <v>8.4000000000000005E-2</v>
      </c>
      <c r="H47" s="221">
        <f t="shared" si="70"/>
        <v>2.1</v>
      </c>
      <c r="I47" s="221">
        <f t="shared" si="104"/>
        <v>0.42000000000000004</v>
      </c>
      <c r="J47" s="551">
        <f t="shared" si="1"/>
        <v>24</v>
      </c>
      <c r="K47" s="451">
        <f t="shared" si="2"/>
        <v>10.64</v>
      </c>
      <c r="L47" s="451">
        <f t="shared" si="3"/>
        <v>34.64</v>
      </c>
      <c r="M47" s="451"/>
      <c r="N47" s="221">
        <f t="shared" si="4"/>
        <v>0.30715935334872979</v>
      </c>
      <c r="O47" s="176">
        <f t="shared" si="101"/>
        <v>11.334180138568129</v>
      </c>
      <c r="P47" s="176">
        <f t="shared" si="71"/>
        <v>2.7202032332563508</v>
      </c>
      <c r="Q47" s="221">
        <f t="shared" si="6"/>
        <v>2.2668360277136257</v>
      </c>
      <c r="R47" s="221">
        <f t="shared" si="72"/>
        <v>2.2668360277136257</v>
      </c>
      <c r="S47" s="451">
        <f t="shared" si="73"/>
        <v>5</v>
      </c>
      <c r="T47" s="221">
        <f t="shared" si="74"/>
        <v>0.75964912280701757</v>
      </c>
      <c r="U47" s="221">
        <f t="shared" si="10"/>
        <v>0.22156432748538013</v>
      </c>
      <c r="V47" s="221">
        <f t="shared" si="11"/>
        <v>0.49976915974145886</v>
      </c>
      <c r="W47" s="201">
        <f t="shared" si="12"/>
        <v>350</v>
      </c>
      <c r="X47" s="451">
        <f t="shared" si="52"/>
        <v>350</v>
      </c>
      <c r="Z47" s="221">
        <f t="shared" si="13"/>
        <v>3.0089079511712309</v>
      </c>
      <c r="AA47" s="177">
        <f t="shared" si="14"/>
        <v>1.9795447047179149</v>
      </c>
      <c r="AB47" s="177">
        <f t="shared" si="75"/>
        <v>2.0846937306036244</v>
      </c>
      <c r="AC47" s="177"/>
      <c r="AD47" s="177">
        <f t="shared" si="16"/>
        <v>0.53947368421052622</v>
      </c>
      <c r="AE47" s="555">
        <f t="shared" si="76"/>
        <v>949.43486020226067</v>
      </c>
      <c r="AF47" s="538">
        <f t="shared" si="77"/>
        <v>0.15482894736842101</v>
      </c>
      <c r="AH47" s="177">
        <f t="shared" si="78"/>
        <v>1.4342743312012722</v>
      </c>
      <c r="AI47" s="177">
        <f t="shared" si="79"/>
        <v>1.4342743312012722</v>
      </c>
      <c r="AJ47" s="177">
        <f t="shared" si="80"/>
        <v>1.6550180231120535</v>
      </c>
      <c r="AL47" s="555">
        <f t="shared" si="81"/>
        <v>420</v>
      </c>
      <c r="AM47" s="469">
        <f t="shared" si="82"/>
        <v>350</v>
      </c>
      <c r="AO47">
        <f t="shared" si="53"/>
        <v>420</v>
      </c>
      <c r="AP47" s="469">
        <f t="shared" si="24"/>
        <v>350</v>
      </c>
      <c r="AQ47" s="469"/>
      <c r="AR47" s="5">
        <f t="shared" si="54"/>
        <v>2.8571428571428572</v>
      </c>
      <c r="AS47" s="5">
        <f t="shared" si="25"/>
        <v>0.41833001326703773</v>
      </c>
      <c r="AT47" s="5">
        <f t="shared" si="55"/>
        <v>2.4388128438758194</v>
      </c>
      <c r="AU47" s="177">
        <f t="shared" si="56"/>
        <v>0.1464155046434632</v>
      </c>
      <c r="AW47" s="5">
        <f t="shared" si="83"/>
        <v>12.458288888888889</v>
      </c>
      <c r="AX47" s="5">
        <f t="shared" si="84"/>
        <v>2.3588210799999998</v>
      </c>
      <c r="AY47" s="5">
        <f t="shared" si="85"/>
        <v>0.49833155555555569</v>
      </c>
      <c r="AZ47" s="5">
        <f t="shared" si="86"/>
        <v>0.36778565090909088</v>
      </c>
      <c r="BA47" s="5">
        <f t="shared" si="87"/>
        <v>0.23710680426570457</v>
      </c>
      <c r="BB47" s="469">
        <f t="shared" si="88"/>
        <v>28.802816511884554</v>
      </c>
      <c r="BC47" s="5"/>
      <c r="BD47" s="177">
        <f t="shared" si="57"/>
        <v>0.31685833298824417</v>
      </c>
      <c r="BE47" s="177">
        <f t="shared" si="89"/>
        <v>1.5301177504103356</v>
      </c>
      <c r="BF47" s="177">
        <f t="shared" si="90"/>
        <v>0.30602355008206716</v>
      </c>
      <c r="BG47" s="177"/>
      <c r="BH47" s="538">
        <f t="shared" si="34"/>
        <v>1.1043912350249794E-2</v>
      </c>
      <c r="BI47" s="538">
        <f t="shared" si="35"/>
        <v>8.6945709957421111E-2</v>
      </c>
      <c r="BJ47" s="538">
        <f t="shared" si="36"/>
        <v>1.7499999999999998E-2</v>
      </c>
      <c r="BK47" s="538">
        <f t="shared" si="37"/>
        <v>9.4494456000000004E-2</v>
      </c>
      <c r="BL47">
        <f t="shared" si="38"/>
        <v>6.96E-3</v>
      </c>
      <c r="BM47">
        <f t="shared" si="91"/>
        <v>6.6500000000000004E-5</v>
      </c>
      <c r="BN47">
        <f t="shared" si="92"/>
        <v>0.21894763457553801</v>
      </c>
      <c r="BO47" s="469">
        <f t="shared" si="58"/>
        <v>218.94763457553802</v>
      </c>
      <c r="BP47" s="177">
        <f t="shared" si="93"/>
        <v>0.33931228922122808</v>
      </c>
      <c r="BQ47" s="177">
        <f t="shared" si="94"/>
        <v>3.9242891568849123E-2</v>
      </c>
      <c r="BR47" s="538"/>
      <c r="BT47" s="469">
        <f t="shared" si="59"/>
        <v>378.5551807900772</v>
      </c>
      <c r="BU47" s="538">
        <f t="shared" si="43"/>
        <v>1.0039920318408904E-2</v>
      </c>
      <c r="BV47" s="538">
        <f t="shared" si="60"/>
        <v>7.0237809903623577E-2</v>
      </c>
      <c r="BW47" s="538">
        <f t="shared" si="95"/>
        <v>4.682520660241574E-3</v>
      </c>
      <c r="BX47" s="538">
        <f t="shared" si="45"/>
        <v>0</v>
      </c>
      <c r="BY47" s="538">
        <f t="shared" si="96"/>
        <v>9.580666162880104E-2</v>
      </c>
      <c r="BZ47" s="538">
        <f t="shared" si="61"/>
        <v>8.496025088227406E-2</v>
      </c>
      <c r="CA47" s="641">
        <f t="shared" si="97"/>
        <v>3.6000000000000004E-2</v>
      </c>
      <c r="CB47" s="469">
        <f t="shared" si="62"/>
        <v>131.80666162880107</v>
      </c>
      <c r="CC47" s="177">
        <f t="shared" si="63"/>
        <v>0.72930947699441617</v>
      </c>
      <c r="CD47" s="5">
        <f t="shared" si="64"/>
        <v>2.52</v>
      </c>
      <c r="CE47" s="177">
        <f t="shared" si="65"/>
        <v>0.77554939529212796</v>
      </c>
      <c r="CF47" s="5">
        <f t="shared" si="66"/>
        <v>77.554939529212803</v>
      </c>
      <c r="CG47">
        <f t="shared" si="102"/>
        <v>42</v>
      </c>
      <c r="CI47" s="571">
        <f t="shared" si="98"/>
        <v>-50</v>
      </c>
      <c r="CJ47">
        <f t="shared" si="99"/>
        <v>-50</v>
      </c>
    </row>
    <row r="48" spans="5:88" x14ac:dyDescent="0.2">
      <c r="E48" s="174">
        <v>43</v>
      </c>
      <c r="F48" s="221">
        <f t="shared" si="103"/>
        <v>0.43</v>
      </c>
      <c r="G48" s="221">
        <f t="shared" si="100"/>
        <v>8.6000000000000007E-2</v>
      </c>
      <c r="H48" s="221">
        <f t="shared" si="70"/>
        <v>2.15</v>
      </c>
      <c r="I48" s="221">
        <f t="shared" si="104"/>
        <v>0.43000000000000005</v>
      </c>
      <c r="J48" s="551">
        <f t="shared" si="1"/>
        <v>24</v>
      </c>
      <c r="K48" s="451">
        <f t="shared" si="2"/>
        <v>10.64</v>
      </c>
      <c r="L48" s="451">
        <f t="shared" si="3"/>
        <v>34.64</v>
      </c>
      <c r="M48" s="451"/>
      <c r="N48" s="221">
        <f t="shared" si="4"/>
        <v>0.30715935334872979</v>
      </c>
      <c r="O48" s="176">
        <f t="shared" si="101"/>
        <v>11.334180138568129</v>
      </c>
      <c r="P48" s="176">
        <f t="shared" si="71"/>
        <v>2.7202032332563508</v>
      </c>
      <c r="Q48" s="221">
        <f t="shared" si="6"/>
        <v>2.2668360277136257</v>
      </c>
      <c r="R48" s="221">
        <f t="shared" si="72"/>
        <v>2.2668360277136257</v>
      </c>
      <c r="S48" s="451">
        <f t="shared" si="73"/>
        <v>5</v>
      </c>
      <c r="T48" s="221">
        <f t="shared" si="74"/>
        <v>0.77773600668337506</v>
      </c>
      <c r="U48" s="221">
        <f t="shared" si="10"/>
        <v>0.22683966861598437</v>
      </c>
      <c r="V48" s="221">
        <f t="shared" si="11"/>
        <v>0.51166842544958879</v>
      </c>
      <c r="W48" s="201">
        <f t="shared" si="12"/>
        <v>350</v>
      </c>
      <c r="X48" s="451">
        <f t="shared" si="52"/>
        <v>350</v>
      </c>
      <c r="Z48" s="221">
        <f t="shared" si="13"/>
        <v>3.0089079511712309</v>
      </c>
      <c r="AA48" s="177">
        <f t="shared" si="14"/>
        <v>1.9795447047179149</v>
      </c>
      <c r="AB48" s="177">
        <f t="shared" si="75"/>
        <v>2.0846937306036244</v>
      </c>
      <c r="AC48" s="177"/>
      <c r="AD48" s="177">
        <f t="shared" si="16"/>
        <v>0.53947368421052622</v>
      </c>
      <c r="AE48" s="555">
        <f t="shared" si="76"/>
        <v>972.04045211183836</v>
      </c>
      <c r="AF48" s="538">
        <f t="shared" si="77"/>
        <v>0.15482894736842101</v>
      </c>
      <c r="AH48" s="177">
        <f t="shared" si="78"/>
        <v>1.451248582765748</v>
      </c>
      <c r="AI48" s="177">
        <f t="shared" si="79"/>
        <v>1.451248582765748</v>
      </c>
      <c r="AJ48" s="177">
        <f t="shared" si="80"/>
        <v>1.667591542789443</v>
      </c>
      <c r="AL48" s="555">
        <f t="shared" si="81"/>
        <v>430</v>
      </c>
      <c r="AM48" s="469">
        <f t="shared" si="82"/>
        <v>350</v>
      </c>
      <c r="AO48">
        <f t="shared" si="53"/>
        <v>430</v>
      </c>
      <c r="AP48" s="469">
        <f t="shared" si="24"/>
        <v>350</v>
      </c>
      <c r="AQ48" s="469"/>
      <c r="AR48" s="5">
        <f t="shared" si="54"/>
        <v>2.8571428571428572</v>
      </c>
      <c r="AS48" s="5">
        <f t="shared" si="25"/>
        <v>0.42328083664000982</v>
      </c>
      <c r="AT48" s="5">
        <f t="shared" si="55"/>
        <v>2.4338620205028474</v>
      </c>
      <c r="AU48" s="177">
        <f t="shared" si="56"/>
        <v>0.14814829282400344</v>
      </c>
      <c r="AW48" s="5">
        <f t="shared" si="83"/>
        <v>12.458288888888889</v>
      </c>
      <c r="AX48" s="5">
        <f t="shared" si="84"/>
        <v>2.4417688077777777</v>
      </c>
      <c r="AY48" s="5">
        <f t="shared" si="85"/>
        <v>0.49833155555555569</v>
      </c>
      <c r="AZ48" s="5">
        <f t="shared" si="86"/>
        <v>0.38141251050505054</v>
      </c>
      <c r="BA48" s="5">
        <f t="shared" si="87"/>
        <v>0.24225941407782972</v>
      </c>
      <c r="BB48" s="469">
        <f t="shared" si="88"/>
        <v>29.429463022672898</v>
      </c>
      <c r="BC48" s="5"/>
      <c r="BD48" s="177">
        <f t="shared" si="57"/>
        <v>0.32249984252948916</v>
      </c>
      <c r="BE48" s="177">
        <f t="shared" si="89"/>
        <v>1.5466540245251819</v>
      </c>
      <c r="BF48" s="177">
        <f t="shared" si="90"/>
        <v>0.30933080490503639</v>
      </c>
      <c r="BG48" s="177"/>
      <c r="BH48" s="538">
        <f t="shared" si="34"/>
        <v>1.1440676327469984E-2</v>
      </c>
      <c r="BI48" s="538">
        <f t="shared" si="35"/>
        <v>8.7974689087259653E-2</v>
      </c>
      <c r="BJ48" s="538">
        <f t="shared" si="36"/>
        <v>1.7499999999999998E-2</v>
      </c>
      <c r="BK48" s="538">
        <f t="shared" si="37"/>
        <v>9.4494456000000004E-2</v>
      </c>
      <c r="BL48">
        <f t="shared" si="38"/>
        <v>6.96E-3</v>
      </c>
      <c r="BM48">
        <f t="shared" si="91"/>
        <v>6.6500000000000004E-5</v>
      </c>
      <c r="BN48">
        <f t="shared" si="92"/>
        <v>0.22044613146750527</v>
      </c>
      <c r="BO48" s="469">
        <f t="shared" si="58"/>
        <v>220.44613146750527</v>
      </c>
      <c r="BP48" s="177">
        <f t="shared" si="93"/>
        <v>0.34701939450870761</v>
      </c>
      <c r="BQ48" s="177">
        <f t="shared" si="94"/>
        <v>4.0162375780348314E-2</v>
      </c>
      <c r="BR48" s="538"/>
      <c r="BT48" s="469">
        <f t="shared" si="59"/>
        <v>387.18177028905592</v>
      </c>
      <c r="BU48" s="538">
        <f t="shared" si="43"/>
        <v>1.0400614843154531E-2</v>
      </c>
      <c r="BV48" s="538">
        <f t="shared" si="60"/>
        <v>7.1764160147398254E-2</v>
      </c>
      <c r="BW48" s="538">
        <f t="shared" si="95"/>
        <v>4.784277343159885E-3</v>
      </c>
      <c r="BX48" s="538">
        <f t="shared" si="45"/>
        <v>0</v>
      </c>
      <c r="BY48" s="538">
        <f t="shared" si="96"/>
        <v>9.8065071818692021E-2</v>
      </c>
      <c r="BZ48" s="538">
        <f t="shared" si="61"/>
        <v>8.6949052333712668E-2</v>
      </c>
      <c r="CA48" s="641">
        <f t="shared" si="97"/>
        <v>3.6857142857142866E-2</v>
      </c>
      <c r="CB48" s="469">
        <f t="shared" si="62"/>
        <v>134.92221467583488</v>
      </c>
      <c r="CC48" s="177">
        <f t="shared" si="63"/>
        <v>0.74255011643239621</v>
      </c>
      <c r="CD48" s="5">
        <f t="shared" si="64"/>
        <v>2.58</v>
      </c>
      <c r="CE48" s="177">
        <f t="shared" si="65"/>
        <v>0.77651198916159225</v>
      </c>
      <c r="CF48" s="5">
        <f t="shared" si="66"/>
        <v>77.651198916159231</v>
      </c>
      <c r="CG48">
        <f t="shared" si="102"/>
        <v>43</v>
      </c>
      <c r="CI48" s="571">
        <f t="shared" si="98"/>
        <v>-50</v>
      </c>
      <c r="CJ48">
        <f t="shared" si="99"/>
        <v>-50</v>
      </c>
    </row>
    <row r="49" spans="5:88" x14ac:dyDescent="0.2">
      <c r="E49" s="174">
        <v>44</v>
      </c>
      <c r="F49" s="221">
        <f t="shared" si="103"/>
        <v>0.44</v>
      </c>
      <c r="G49" s="221">
        <f t="shared" si="100"/>
        <v>8.8000000000000009E-2</v>
      </c>
      <c r="H49" s="221">
        <f t="shared" si="70"/>
        <v>2.2000000000000002</v>
      </c>
      <c r="I49" s="221">
        <f t="shared" si="104"/>
        <v>0.44000000000000006</v>
      </c>
      <c r="J49" s="551">
        <f t="shared" si="1"/>
        <v>24</v>
      </c>
      <c r="K49" s="451">
        <f t="shared" si="2"/>
        <v>10.64</v>
      </c>
      <c r="L49" s="451">
        <f t="shared" si="3"/>
        <v>34.64</v>
      </c>
      <c r="M49" s="451"/>
      <c r="N49" s="221">
        <f t="shared" si="4"/>
        <v>0.30715935334872979</v>
      </c>
      <c r="O49" s="176">
        <f t="shared" si="101"/>
        <v>11.334180138568129</v>
      </c>
      <c r="P49" s="176">
        <f t="shared" si="71"/>
        <v>2.7202032332563508</v>
      </c>
      <c r="Q49" s="221">
        <f t="shared" si="6"/>
        <v>2.2668360277136257</v>
      </c>
      <c r="R49" s="221">
        <f t="shared" si="72"/>
        <v>2.2668360277136257</v>
      </c>
      <c r="S49" s="451">
        <f t="shared" si="73"/>
        <v>5</v>
      </c>
      <c r="T49" s="221">
        <f t="shared" si="74"/>
        <v>0.79582289055973265</v>
      </c>
      <c r="U49" s="221">
        <f t="shared" si="10"/>
        <v>0.23211500974658869</v>
      </c>
      <c r="V49" s="221">
        <f t="shared" si="11"/>
        <v>0.52356769115771884</v>
      </c>
      <c r="W49" s="201">
        <f t="shared" si="12"/>
        <v>350</v>
      </c>
      <c r="X49" s="451">
        <f t="shared" si="52"/>
        <v>350</v>
      </c>
      <c r="Z49" s="221">
        <f t="shared" si="13"/>
        <v>3.0089079511712309</v>
      </c>
      <c r="AA49" s="177">
        <f t="shared" si="14"/>
        <v>1.9795447047179149</v>
      </c>
      <c r="AB49" s="177">
        <f t="shared" si="75"/>
        <v>2.0846937306036244</v>
      </c>
      <c r="AC49" s="177"/>
      <c r="AD49" s="177">
        <f t="shared" si="16"/>
        <v>0.53947368421052622</v>
      </c>
      <c r="AE49" s="555">
        <f t="shared" si="76"/>
        <v>994.64604402141595</v>
      </c>
      <c r="AF49" s="538">
        <f t="shared" si="77"/>
        <v>0.15482894736842101</v>
      </c>
      <c r="AH49" s="177">
        <f t="shared" si="78"/>
        <v>1.4680265804188719</v>
      </c>
      <c r="AI49" s="177">
        <f t="shared" si="79"/>
        <v>1.4680265804188719</v>
      </c>
      <c r="AJ49" s="177">
        <f t="shared" si="80"/>
        <v>1.6800196891991643</v>
      </c>
      <c r="AL49" s="555">
        <f t="shared" si="81"/>
        <v>440</v>
      </c>
      <c r="AM49" s="469">
        <f t="shared" si="82"/>
        <v>350</v>
      </c>
      <c r="AO49">
        <f t="shared" si="53"/>
        <v>440</v>
      </c>
      <c r="AP49" s="469">
        <f t="shared" si="24"/>
        <v>350</v>
      </c>
      <c r="AQ49" s="469"/>
      <c r="AR49" s="5">
        <f t="shared" si="54"/>
        <v>2.8571428571428572</v>
      </c>
      <c r="AS49" s="5">
        <f t="shared" si="25"/>
        <v>0.42817441928883765</v>
      </c>
      <c r="AT49" s="5">
        <f t="shared" si="55"/>
        <v>2.4289684378540195</v>
      </c>
      <c r="AU49" s="177">
        <f t="shared" si="56"/>
        <v>0.14986104675109319</v>
      </c>
      <c r="AW49" s="5">
        <f t="shared" si="83"/>
        <v>12.458288888888889</v>
      </c>
      <c r="AX49" s="5">
        <f t="shared" si="84"/>
        <v>2.5259623644444442</v>
      </c>
      <c r="AY49" s="5">
        <f t="shared" si="85"/>
        <v>0.49833155555555569</v>
      </c>
      <c r="AZ49" s="5">
        <f t="shared" si="86"/>
        <v>0.39526588444444449</v>
      </c>
      <c r="BA49" s="5">
        <f t="shared" si="87"/>
        <v>0.24739493348513161</v>
      </c>
      <c r="BB49" s="469">
        <f t="shared" si="88"/>
        <v>30.05405868488246</v>
      </c>
      <c r="BC49" s="5"/>
      <c r="BD49" s="177">
        <f t="shared" si="57"/>
        <v>0.32810864445188065</v>
      </c>
      <c r="BE49" s="177">
        <f t="shared" si="89"/>
        <v>1.5629613742824546</v>
      </c>
      <c r="BF49" s="177">
        <f t="shared" si="90"/>
        <v>0.31259227485649094</v>
      </c>
      <c r="BG49" s="177"/>
      <c r="BH49" s="538">
        <f t="shared" si="34"/>
        <v>1.1842081082045569E-2</v>
      </c>
      <c r="BI49" s="538">
        <f t="shared" si="35"/>
        <v>8.8991771304992015E-2</v>
      </c>
      <c r="BJ49" s="538">
        <f t="shared" si="36"/>
        <v>1.7499999999999998E-2</v>
      </c>
      <c r="BK49" s="538">
        <f t="shared" si="37"/>
        <v>9.4494456000000004E-2</v>
      </c>
      <c r="BL49">
        <f t="shared" si="38"/>
        <v>6.96E-3</v>
      </c>
      <c r="BM49">
        <f t="shared" si="91"/>
        <v>6.6500000000000004E-5</v>
      </c>
      <c r="BN49">
        <f t="shared" si="92"/>
        <v>0.22193839453258779</v>
      </c>
      <c r="BO49" s="469">
        <f t="shared" si="58"/>
        <v>221.93839453258778</v>
      </c>
      <c r="BP49" s="177">
        <f t="shared" si="93"/>
        <v>0.35471360687291592</v>
      </c>
      <c r="BQ49" s="177">
        <f t="shared" si="94"/>
        <v>4.1081344274916644E-2</v>
      </c>
      <c r="BR49" s="538"/>
      <c r="BT49" s="469">
        <f t="shared" si="59"/>
        <v>395.79495114783259</v>
      </c>
      <c r="BU49" s="538">
        <f t="shared" si="43"/>
        <v>1.0765528256405064E-2</v>
      </c>
      <c r="BV49" s="538">
        <f t="shared" si="60"/>
        <v>7.3285447724966979E-2</v>
      </c>
      <c r="BW49" s="538">
        <f t="shared" si="95"/>
        <v>4.8856965149977997E-3</v>
      </c>
      <c r="BX49" s="538">
        <f t="shared" si="45"/>
        <v>0</v>
      </c>
      <c r="BY49" s="538">
        <f t="shared" si="96"/>
        <v>0.10032286372997026</v>
      </c>
      <c r="BZ49" s="538">
        <f t="shared" si="61"/>
        <v>8.8936672496369842E-2</v>
      </c>
      <c r="CA49" s="641">
        <f t="shared" si="97"/>
        <v>3.7714285714285721E-2</v>
      </c>
      <c r="CB49" s="469">
        <f t="shared" si="62"/>
        <v>138.03714944425599</v>
      </c>
      <c r="CC49" s="177">
        <f t="shared" si="63"/>
        <v>0.7557704951246762</v>
      </c>
      <c r="CD49" s="5">
        <f t="shared" si="64"/>
        <v>2.64</v>
      </c>
      <c r="CE49" s="177">
        <f t="shared" si="65"/>
        <v>0.77743769898179538</v>
      </c>
      <c r="CF49" s="5">
        <f t="shared" si="66"/>
        <v>77.743769898179536</v>
      </c>
      <c r="CG49">
        <f t="shared" si="102"/>
        <v>44</v>
      </c>
      <c r="CI49" s="571">
        <f t="shared" si="98"/>
        <v>-50</v>
      </c>
      <c r="CJ49">
        <f t="shared" si="99"/>
        <v>-50</v>
      </c>
    </row>
    <row r="50" spans="5:88" x14ac:dyDescent="0.2">
      <c r="E50" s="174">
        <v>45</v>
      </c>
      <c r="F50" s="221">
        <f t="shared" si="103"/>
        <v>0.45</v>
      </c>
      <c r="G50" s="221">
        <f t="shared" si="100"/>
        <v>9.0000000000000011E-2</v>
      </c>
      <c r="H50" s="221">
        <f t="shared" si="70"/>
        <v>2.25</v>
      </c>
      <c r="I50" s="221">
        <f t="shared" si="104"/>
        <v>0.45000000000000007</v>
      </c>
      <c r="J50" s="551">
        <f t="shared" si="1"/>
        <v>24</v>
      </c>
      <c r="K50" s="451">
        <f t="shared" si="2"/>
        <v>10.64</v>
      </c>
      <c r="L50" s="451">
        <f t="shared" si="3"/>
        <v>34.64</v>
      </c>
      <c r="M50" s="451"/>
      <c r="N50" s="221">
        <f t="shared" si="4"/>
        <v>0.30715935334872979</v>
      </c>
      <c r="O50" s="176">
        <f t="shared" si="101"/>
        <v>11.334180138568129</v>
      </c>
      <c r="P50" s="176">
        <f t="shared" si="71"/>
        <v>2.7202032332563508</v>
      </c>
      <c r="Q50" s="221">
        <f t="shared" si="6"/>
        <v>2.2668360277136257</v>
      </c>
      <c r="R50" s="221">
        <f t="shared" si="72"/>
        <v>2.2668360277136257</v>
      </c>
      <c r="S50" s="451">
        <f t="shared" si="73"/>
        <v>5</v>
      </c>
      <c r="T50" s="221">
        <f t="shared" si="74"/>
        <v>0.81390977443609025</v>
      </c>
      <c r="U50" s="221">
        <f t="shared" si="10"/>
        <v>0.23739035087719298</v>
      </c>
      <c r="V50" s="221">
        <f t="shared" si="11"/>
        <v>0.53546695686584878</v>
      </c>
      <c r="W50" s="201">
        <f t="shared" si="12"/>
        <v>350</v>
      </c>
      <c r="X50" s="451">
        <f t="shared" si="52"/>
        <v>350</v>
      </c>
      <c r="Z50" s="221">
        <f t="shared" si="13"/>
        <v>3.0089079511712309</v>
      </c>
      <c r="AA50" s="177">
        <f t="shared" si="14"/>
        <v>1.9795447047179149</v>
      </c>
      <c r="AB50" s="177">
        <f t="shared" si="75"/>
        <v>2.0846937306036244</v>
      </c>
      <c r="AC50" s="177"/>
      <c r="AD50" s="177">
        <f t="shared" si="16"/>
        <v>0.53947368421052622</v>
      </c>
      <c r="AE50" s="555">
        <f t="shared" si="76"/>
        <v>1017.2516359309936</v>
      </c>
      <c r="AF50" s="538">
        <f t="shared" si="77"/>
        <v>0.15482894736842101</v>
      </c>
      <c r="AH50" s="177">
        <f t="shared" si="78"/>
        <v>1.4846149779161804</v>
      </c>
      <c r="AI50" s="177">
        <f t="shared" si="79"/>
        <v>1.4846149779161804</v>
      </c>
      <c r="AJ50" s="177">
        <f t="shared" si="80"/>
        <v>1.6923073910490225</v>
      </c>
      <c r="AL50" s="555">
        <f t="shared" si="81"/>
        <v>450</v>
      </c>
      <c r="AM50" s="469">
        <f t="shared" si="82"/>
        <v>350</v>
      </c>
      <c r="AO50">
        <f t="shared" si="53"/>
        <v>450</v>
      </c>
      <c r="AP50" s="469">
        <f t="shared" si="24"/>
        <v>350</v>
      </c>
      <c r="AQ50" s="469"/>
      <c r="AR50" s="5">
        <f t="shared" si="54"/>
        <v>2.8571428571428572</v>
      </c>
      <c r="AS50" s="5">
        <f t="shared" si="25"/>
        <v>0.4330127018922193</v>
      </c>
      <c r="AT50" s="5">
        <f t="shared" si="55"/>
        <v>2.424130155250638</v>
      </c>
      <c r="AU50" s="177">
        <f t="shared" si="56"/>
        <v>0.15155444566227674</v>
      </c>
      <c r="AW50" s="5">
        <f t="shared" si="83"/>
        <v>12.458288888888889</v>
      </c>
      <c r="AX50" s="5">
        <f t="shared" si="84"/>
        <v>2.6114017499999997</v>
      </c>
      <c r="AY50" s="5">
        <f t="shared" si="85"/>
        <v>0.49833155555555569</v>
      </c>
      <c r="AZ50" s="5">
        <f t="shared" si="86"/>
        <v>0.40934577272727279</v>
      </c>
      <c r="BA50" s="5">
        <f t="shared" si="87"/>
        <v>0.25251355783860807</v>
      </c>
      <c r="BB50" s="469">
        <f t="shared" si="88"/>
        <v>30.676626940632975</v>
      </c>
      <c r="BC50" s="5"/>
      <c r="BD50" s="177">
        <f t="shared" si="57"/>
        <v>0.33368566547532946</v>
      </c>
      <c r="BE50" s="177">
        <f t="shared" si="89"/>
        <v>1.5790475030312505</v>
      </c>
      <c r="BF50" s="177">
        <f t="shared" si="90"/>
        <v>0.31580950060625013</v>
      </c>
      <c r="BG50" s="177"/>
      <c r="BH50" s="538">
        <f t="shared" si="34"/>
        <v>1.2248073567808482E-2</v>
      </c>
      <c r="BI50" s="538">
        <f t="shared" si="35"/>
        <v>8.9997359961278847E-2</v>
      </c>
      <c r="BJ50" s="538">
        <f t="shared" si="36"/>
        <v>1.7499999999999998E-2</v>
      </c>
      <c r="BK50" s="538">
        <f t="shared" si="37"/>
        <v>9.4494456000000004E-2</v>
      </c>
      <c r="BL50">
        <f t="shared" si="38"/>
        <v>6.96E-3</v>
      </c>
      <c r="BM50">
        <f t="shared" si="91"/>
        <v>6.6500000000000004E-5</v>
      </c>
      <c r="BN50">
        <f t="shared" si="92"/>
        <v>0.22342476795327509</v>
      </c>
      <c r="BO50" s="469">
        <f t="shared" si="58"/>
        <v>223.42476795327511</v>
      </c>
      <c r="BP50" s="177">
        <f t="shared" si="93"/>
        <v>0.36239507368575297</v>
      </c>
      <c r="BQ50" s="177">
        <f t="shared" si="94"/>
        <v>4.1999802947430123E-2</v>
      </c>
      <c r="BR50" s="538"/>
      <c r="BT50" s="469">
        <f t="shared" si="59"/>
        <v>404.39487663318306</v>
      </c>
      <c r="BU50" s="538">
        <f t="shared" si="43"/>
        <v>1.1134612334371349E-2</v>
      </c>
      <c r="BV50" s="538">
        <f t="shared" si="60"/>
        <v>7.4801730504876818E-2</v>
      </c>
      <c r="BW50" s="538">
        <f t="shared" si="95"/>
        <v>4.9867820336584557E-3</v>
      </c>
      <c r="BX50" s="538">
        <f t="shared" si="45"/>
        <v>0</v>
      </c>
      <c r="BY50" s="538">
        <f t="shared" si="96"/>
        <v>0.10258005176615168</v>
      </c>
      <c r="BZ50" s="538">
        <f t="shared" si="61"/>
        <v>9.092312487290663E-2</v>
      </c>
      <c r="CA50" s="641">
        <f t="shared" si="97"/>
        <v>3.8571428571428562E-2</v>
      </c>
      <c r="CB50" s="469">
        <f t="shared" si="62"/>
        <v>141.15148033758024</v>
      </c>
      <c r="CC50" s="177">
        <f t="shared" si="63"/>
        <v>0.76897112492403852</v>
      </c>
      <c r="CD50" s="5">
        <f t="shared" si="64"/>
        <v>2.7</v>
      </c>
      <c r="CE50" s="177">
        <f t="shared" si="65"/>
        <v>0.77832876168985776</v>
      </c>
      <c r="CF50" s="5">
        <f t="shared" si="66"/>
        <v>77.832876168985777</v>
      </c>
      <c r="CG50">
        <f t="shared" si="102"/>
        <v>45</v>
      </c>
      <c r="CI50" s="571">
        <f t="shared" si="98"/>
        <v>-50</v>
      </c>
      <c r="CJ50">
        <f t="shared" si="99"/>
        <v>-50</v>
      </c>
    </row>
    <row r="51" spans="5:88" x14ac:dyDescent="0.2">
      <c r="E51" s="174">
        <v>46</v>
      </c>
      <c r="F51" s="221">
        <f t="shared" si="103"/>
        <v>0.46</v>
      </c>
      <c r="G51" s="221">
        <f t="shared" si="100"/>
        <v>9.2000000000000012E-2</v>
      </c>
      <c r="H51" s="221">
        <f t="shared" si="70"/>
        <v>2.3000000000000003</v>
      </c>
      <c r="I51" s="221">
        <f t="shared" si="104"/>
        <v>0.46000000000000008</v>
      </c>
      <c r="J51" s="551">
        <f t="shared" si="1"/>
        <v>24</v>
      </c>
      <c r="K51" s="451">
        <f t="shared" si="2"/>
        <v>10.64</v>
      </c>
      <c r="L51" s="451">
        <f t="shared" si="3"/>
        <v>34.64</v>
      </c>
      <c r="M51" s="451"/>
      <c r="N51" s="221">
        <f t="shared" si="4"/>
        <v>0.30715935334872979</v>
      </c>
      <c r="O51" s="176">
        <f t="shared" si="101"/>
        <v>11.334180138568129</v>
      </c>
      <c r="P51" s="176">
        <f t="shared" si="71"/>
        <v>2.7202032332563508</v>
      </c>
      <c r="Q51" s="221">
        <f t="shared" si="6"/>
        <v>2.2668360277136257</v>
      </c>
      <c r="R51" s="221">
        <f t="shared" si="72"/>
        <v>2.2668360277136257</v>
      </c>
      <c r="S51" s="451">
        <f t="shared" si="73"/>
        <v>5</v>
      </c>
      <c r="T51" s="221">
        <f t="shared" si="74"/>
        <v>0.83199665831244785</v>
      </c>
      <c r="U51" s="221">
        <f t="shared" si="10"/>
        <v>0.24266569200779728</v>
      </c>
      <c r="V51" s="221">
        <f t="shared" si="11"/>
        <v>0.54736622257397871</v>
      </c>
      <c r="W51" s="201">
        <f t="shared" si="12"/>
        <v>350</v>
      </c>
      <c r="X51" s="451">
        <f t="shared" si="52"/>
        <v>350</v>
      </c>
      <c r="Z51" s="221">
        <f t="shared" si="13"/>
        <v>3.0089079511712309</v>
      </c>
      <c r="AA51" s="177">
        <f t="shared" si="14"/>
        <v>1.9795447047179149</v>
      </c>
      <c r="AB51" s="177">
        <f t="shared" si="75"/>
        <v>2.0846937306036244</v>
      </c>
      <c r="AC51" s="177"/>
      <c r="AD51" s="177">
        <f t="shared" si="16"/>
        <v>0.53947368421052622</v>
      </c>
      <c r="AE51" s="555">
        <f t="shared" si="76"/>
        <v>1039.8572278405713</v>
      </c>
      <c r="AF51" s="538">
        <f t="shared" si="77"/>
        <v>0.15482894736842101</v>
      </c>
      <c r="AH51" s="177">
        <f t="shared" si="78"/>
        <v>1.5010200613215654</v>
      </c>
      <c r="AI51" s="177">
        <f t="shared" si="79"/>
        <v>1.5010200613215654</v>
      </c>
      <c r="AJ51" s="177">
        <f t="shared" si="80"/>
        <v>1.7044593046826408</v>
      </c>
      <c r="AL51" s="555">
        <f t="shared" si="81"/>
        <v>460</v>
      </c>
      <c r="AM51" s="469">
        <f t="shared" si="82"/>
        <v>350</v>
      </c>
      <c r="AO51">
        <f t="shared" si="53"/>
        <v>460</v>
      </c>
      <c r="AP51" s="469">
        <f t="shared" si="24"/>
        <v>350</v>
      </c>
      <c r="AQ51" s="469"/>
      <c r="AR51" s="5">
        <f t="shared" si="54"/>
        <v>2.8571428571428572</v>
      </c>
      <c r="AS51" s="5">
        <f t="shared" si="25"/>
        <v>0.43779751788545657</v>
      </c>
      <c r="AT51" s="5">
        <f t="shared" si="55"/>
        <v>2.4193453392574007</v>
      </c>
      <c r="AU51" s="177">
        <f t="shared" si="56"/>
        <v>0.15322913125990981</v>
      </c>
      <c r="AW51" s="5">
        <f t="shared" si="83"/>
        <v>12.458288888888889</v>
      </c>
      <c r="AX51" s="5">
        <f t="shared" si="84"/>
        <v>2.6980869644444443</v>
      </c>
      <c r="AY51" s="5">
        <f t="shared" si="85"/>
        <v>0.49833155555555569</v>
      </c>
      <c r="AZ51" s="5">
        <f t="shared" si="86"/>
        <v>0.42365217535353544</v>
      </c>
      <c r="BA51" s="5">
        <f t="shared" si="87"/>
        <v>0.25761547593944545</v>
      </c>
      <c r="BB51" s="469">
        <f t="shared" si="88"/>
        <v>31.297190446066782</v>
      </c>
      <c r="BC51" s="5"/>
      <c r="BD51" s="177">
        <f t="shared" si="57"/>
        <v>0.33923178610106691</v>
      </c>
      <c r="BE51" s="177">
        <f t="shared" si="89"/>
        <v>1.5949196888394666</v>
      </c>
      <c r="BF51" s="177">
        <f t="shared" si="90"/>
        <v>0.31898393776789336</v>
      </c>
      <c r="BG51" s="177"/>
      <c r="BH51" s="538">
        <f t="shared" si="34"/>
        <v>1.2658602517145201E-2</v>
      </c>
      <c r="BI51" s="538">
        <f t="shared" si="35"/>
        <v>9.0991836117313277E-2</v>
      </c>
      <c r="BJ51" s="538">
        <f t="shared" si="36"/>
        <v>1.7499999999999998E-2</v>
      </c>
      <c r="BK51" s="538">
        <f t="shared" si="37"/>
        <v>9.4494456000000004E-2</v>
      </c>
      <c r="BL51">
        <f t="shared" si="38"/>
        <v>6.96E-3</v>
      </c>
      <c r="BM51">
        <f t="shared" si="91"/>
        <v>6.6500000000000004E-5</v>
      </c>
      <c r="BN51">
        <f t="shared" si="92"/>
        <v>0.22490557568212305</v>
      </c>
      <c r="BO51" s="469">
        <f t="shared" si="58"/>
        <v>224.90557568212304</v>
      </c>
      <c r="BP51" s="177">
        <f t="shared" si="93"/>
        <v>0.3700639373779705</v>
      </c>
      <c r="BQ51" s="177">
        <f t="shared" si="94"/>
        <v>4.2917757495118829E-2</v>
      </c>
      <c r="BR51" s="538"/>
      <c r="BT51" s="469">
        <f t="shared" si="59"/>
        <v>412.98169487308934</v>
      </c>
      <c r="BU51" s="538">
        <f t="shared" si="43"/>
        <v>1.1507820470132003E-2</v>
      </c>
      <c r="BV51" s="538">
        <f t="shared" si="60"/>
        <v>7.6313064415433424E-2</v>
      </c>
      <c r="BW51" s="538">
        <f t="shared" si="95"/>
        <v>5.0875376276955635E-3</v>
      </c>
      <c r="BX51" s="538">
        <f t="shared" si="45"/>
        <v>0</v>
      </c>
      <c r="BY51" s="538">
        <f t="shared" si="96"/>
        <v>0.10483664983547544</v>
      </c>
      <c r="BZ51" s="538">
        <f t="shared" si="61"/>
        <v>9.2908422513260994E-2</v>
      </c>
      <c r="CA51" s="641">
        <f t="shared" si="97"/>
        <v>3.9428571428571431E-2</v>
      </c>
      <c r="CB51" s="469">
        <f t="shared" si="62"/>
        <v>144.26522126404686</v>
      </c>
      <c r="CC51" s="177">
        <f t="shared" si="63"/>
        <v>0.78215249181925939</v>
      </c>
      <c r="CD51" s="5">
        <f t="shared" si="64"/>
        <v>2.7600000000000002</v>
      </c>
      <c r="CE51" s="177">
        <f t="shared" si="65"/>
        <v>0.77918723329227879</v>
      </c>
      <c r="CF51" s="5">
        <f t="shared" si="66"/>
        <v>77.918723329227873</v>
      </c>
      <c r="CG51">
        <f t="shared" si="102"/>
        <v>46</v>
      </c>
      <c r="CI51" s="571">
        <f t="shared" si="98"/>
        <v>-50</v>
      </c>
      <c r="CJ51">
        <f t="shared" si="99"/>
        <v>-50</v>
      </c>
    </row>
    <row r="52" spans="5:88" x14ac:dyDescent="0.2">
      <c r="E52" s="174">
        <v>47</v>
      </c>
      <c r="F52" s="221">
        <f t="shared" si="103"/>
        <v>0.47</v>
      </c>
      <c r="G52" s="221">
        <f t="shared" si="100"/>
        <v>9.4E-2</v>
      </c>
      <c r="H52" s="221">
        <f t="shared" si="70"/>
        <v>2.3499999999999996</v>
      </c>
      <c r="I52" s="221">
        <f t="shared" si="104"/>
        <v>0.47</v>
      </c>
      <c r="J52" s="551">
        <f t="shared" si="1"/>
        <v>24</v>
      </c>
      <c r="K52" s="451">
        <f t="shared" si="2"/>
        <v>10.64</v>
      </c>
      <c r="L52" s="451">
        <f t="shared" si="3"/>
        <v>34.64</v>
      </c>
      <c r="M52" s="451"/>
      <c r="N52" s="221">
        <f t="shared" si="4"/>
        <v>0.30715935334872979</v>
      </c>
      <c r="O52" s="176">
        <f t="shared" si="101"/>
        <v>11.334180138568129</v>
      </c>
      <c r="P52" s="176">
        <f t="shared" si="71"/>
        <v>2.7202032332563508</v>
      </c>
      <c r="Q52" s="221">
        <f t="shared" si="6"/>
        <v>2.2668360277136257</v>
      </c>
      <c r="R52" s="221">
        <f t="shared" si="72"/>
        <v>2.2668360277136257</v>
      </c>
      <c r="S52" s="451">
        <f t="shared" si="73"/>
        <v>5</v>
      </c>
      <c r="T52" s="221">
        <f t="shared" si="74"/>
        <v>0.85008354218880511</v>
      </c>
      <c r="U52" s="221">
        <f t="shared" si="10"/>
        <v>0.24794103313840149</v>
      </c>
      <c r="V52" s="221">
        <f t="shared" si="11"/>
        <v>0.55926548828210865</v>
      </c>
      <c r="W52" s="201">
        <f t="shared" si="12"/>
        <v>350</v>
      </c>
      <c r="X52" s="451">
        <f t="shared" si="52"/>
        <v>350</v>
      </c>
      <c r="Z52" s="221">
        <f t="shared" si="13"/>
        <v>3.0089079511712309</v>
      </c>
      <c r="AA52" s="177">
        <f t="shared" si="14"/>
        <v>1.9795447047179149</v>
      </c>
      <c r="AB52" s="177">
        <f t="shared" si="75"/>
        <v>2.0846937306036244</v>
      </c>
      <c r="AC52" s="177"/>
      <c r="AD52" s="177">
        <f t="shared" si="16"/>
        <v>0.53947368421052622</v>
      </c>
      <c r="AE52" s="555">
        <f t="shared" si="76"/>
        <v>1062.4628197501488</v>
      </c>
      <c r="AF52" s="538">
        <f t="shared" si="77"/>
        <v>0.15482894736842101</v>
      </c>
      <c r="AH52" s="177">
        <f t="shared" si="78"/>
        <v>1.5172477768402002</v>
      </c>
      <c r="AI52" s="177">
        <f t="shared" si="79"/>
        <v>1.5172477768402002</v>
      </c>
      <c r="AJ52" s="177">
        <f t="shared" si="80"/>
        <v>1.7164798346964445</v>
      </c>
      <c r="AL52" s="555">
        <f t="shared" si="81"/>
        <v>470</v>
      </c>
      <c r="AM52" s="469">
        <f t="shared" si="82"/>
        <v>350</v>
      </c>
      <c r="AO52">
        <f t="shared" si="53"/>
        <v>470</v>
      </c>
      <c r="AP52" s="469">
        <f t="shared" si="24"/>
        <v>350</v>
      </c>
      <c r="AQ52" s="469"/>
      <c r="AR52" s="5">
        <f t="shared" si="54"/>
        <v>2.8571428571428572</v>
      </c>
      <c r="AS52" s="5">
        <f t="shared" si="25"/>
        <v>0.44253060157839175</v>
      </c>
      <c r="AT52" s="5">
        <f t="shared" si="55"/>
        <v>2.4146122555644656</v>
      </c>
      <c r="AU52" s="177">
        <f t="shared" si="56"/>
        <v>0.15488571055243711</v>
      </c>
      <c r="AW52" s="5">
        <f t="shared" si="83"/>
        <v>12.458288888888889</v>
      </c>
      <c r="AX52" s="5">
        <f t="shared" si="84"/>
        <v>2.7860180077777779</v>
      </c>
      <c r="AY52" s="5">
        <f t="shared" si="85"/>
        <v>0.49833155555555569</v>
      </c>
      <c r="AZ52" s="5">
        <f t="shared" si="86"/>
        <v>0.43818509232323238</v>
      </c>
      <c r="BA52" s="5">
        <f t="shared" si="87"/>
        <v>0.26270087039705975</v>
      </c>
      <c r="BB52" s="469">
        <f t="shared" si="88"/>
        <v>31.915771114313845</v>
      </c>
      <c r="BC52" s="5"/>
      <c r="BD52" s="177">
        <f t="shared" si="57"/>
        <v>0.34474784386922902</v>
      </c>
      <c r="BE52" s="177">
        <f t="shared" si="89"/>
        <v>1.6105848166712955</v>
      </c>
      <c r="BF52" s="177">
        <f t="shared" si="90"/>
        <v>0.3221169633342591</v>
      </c>
      <c r="BG52" s="177"/>
      <c r="BH52" s="538">
        <f t="shared" si="34"/>
        <v>1.3073618343773054E-2</v>
      </c>
      <c r="BI52" s="538">
        <f t="shared" si="35"/>
        <v>9.197556023205293E-2</v>
      </c>
      <c r="BJ52" s="538">
        <f t="shared" si="36"/>
        <v>1.7499999999999998E-2</v>
      </c>
      <c r="BK52" s="538">
        <f t="shared" si="37"/>
        <v>9.4494456000000004E-2</v>
      </c>
      <c r="BL52">
        <f t="shared" si="38"/>
        <v>6.96E-3</v>
      </c>
      <c r="BM52">
        <f t="shared" si="91"/>
        <v>6.6500000000000004E-5</v>
      </c>
      <c r="BN52">
        <f t="shared" si="92"/>
        <v>0.22638112301650631</v>
      </c>
      <c r="BO52" s="469">
        <f t="shared" si="58"/>
        <v>226.38112301650631</v>
      </c>
      <c r="BP52" s="177">
        <f t="shared" si="93"/>
        <v>0.37772033570927727</v>
      </c>
      <c r="BQ52" s="177">
        <f t="shared" si="94"/>
        <v>4.3835213428371093E-2</v>
      </c>
      <c r="BR52" s="538"/>
      <c r="BT52" s="469">
        <f t="shared" si="59"/>
        <v>421.55554913764837</v>
      </c>
      <c r="BU52" s="538">
        <f t="shared" si="43"/>
        <v>1.1885107585248231E-2</v>
      </c>
      <c r="BV52" s="538">
        <f t="shared" si="60"/>
        <v>7.7819503550763308E-2</v>
      </c>
      <c r="BW52" s="538">
        <f t="shared" si="95"/>
        <v>5.1879669033842212E-3</v>
      </c>
      <c r="BX52" s="538">
        <f t="shared" si="45"/>
        <v>0</v>
      </c>
      <c r="BY52" s="538">
        <f t="shared" si="96"/>
        <v>0.10709267137821966</v>
      </c>
      <c r="BZ52" s="538">
        <f t="shared" si="61"/>
        <v>9.4892578039395756E-2</v>
      </c>
      <c r="CA52" s="641">
        <f t="shared" si="97"/>
        <v>4.0285714285714272E-2</v>
      </c>
      <c r="CB52" s="469">
        <f t="shared" si="62"/>
        <v>147.37838566393393</v>
      </c>
      <c r="CC52" s="177">
        <f t="shared" si="63"/>
        <v>0.79531505781808853</v>
      </c>
      <c r="CD52" s="5">
        <f t="shared" si="64"/>
        <v>2.8199999999999994</v>
      </c>
      <c r="CE52" s="177">
        <f t="shared" si="65"/>
        <v>0.78001500696371495</v>
      </c>
      <c r="CF52" s="5">
        <f t="shared" si="66"/>
        <v>78.001500696371494</v>
      </c>
      <c r="CG52">
        <f t="shared" si="102"/>
        <v>47</v>
      </c>
      <c r="CI52" s="571">
        <f t="shared" si="98"/>
        <v>-50</v>
      </c>
      <c r="CJ52">
        <f t="shared" si="99"/>
        <v>-50</v>
      </c>
    </row>
    <row r="53" spans="5:88" x14ac:dyDescent="0.2">
      <c r="E53" s="174">
        <v>48</v>
      </c>
      <c r="F53" s="221">
        <f t="shared" si="103"/>
        <v>0.48</v>
      </c>
      <c r="G53" s="221">
        <f t="shared" si="100"/>
        <v>9.6000000000000002E-2</v>
      </c>
      <c r="H53" s="221">
        <f t="shared" si="70"/>
        <v>2.4</v>
      </c>
      <c r="I53" s="221">
        <f t="shared" si="104"/>
        <v>0.48</v>
      </c>
      <c r="J53" s="551">
        <f t="shared" si="1"/>
        <v>24</v>
      </c>
      <c r="K53" s="451">
        <f t="shared" si="2"/>
        <v>10.64</v>
      </c>
      <c r="L53" s="451">
        <f t="shared" si="3"/>
        <v>34.64</v>
      </c>
      <c r="M53" s="451"/>
      <c r="N53" s="221">
        <f t="shared" si="4"/>
        <v>0.30715935334872979</v>
      </c>
      <c r="O53" s="176">
        <f t="shared" si="101"/>
        <v>11.334180138568129</v>
      </c>
      <c r="P53" s="176">
        <f t="shared" si="71"/>
        <v>2.7202032332563508</v>
      </c>
      <c r="Q53" s="221">
        <f t="shared" si="6"/>
        <v>2.2668360277136257</v>
      </c>
      <c r="R53" s="221">
        <f t="shared" si="72"/>
        <v>2.2668360277136257</v>
      </c>
      <c r="S53" s="451">
        <f t="shared" si="73"/>
        <v>5</v>
      </c>
      <c r="T53" s="221">
        <f t="shared" si="74"/>
        <v>0.86817042606516281</v>
      </c>
      <c r="U53" s="221">
        <f t="shared" si="10"/>
        <v>0.25321637426900584</v>
      </c>
      <c r="V53" s="221">
        <f t="shared" si="11"/>
        <v>0.57116475399023869</v>
      </c>
      <c r="W53" s="201">
        <f t="shared" si="12"/>
        <v>350</v>
      </c>
      <c r="X53" s="451">
        <f t="shared" si="52"/>
        <v>350</v>
      </c>
      <c r="Z53" s="221">
        <f t="shared" si="13"/>
        <v>3.0089079511712309</v>
      </c>
      <c r="AA53" s="177">
        <f t="shared" si="14"/>
        <v>1.9795447047179149</v>
      </c>
      <c r="AB53" s="177">
        <f t="shared" si="75"/>
        <v>2.0846937306036244</v>
      </c>
      <c r="AC53" s="177"/>
      <c r="AD53" s="177">
        <f t="shared" si="16"/>
        <v>0.53947368421052622</v>
      </c>
      <c r="AE53" s="555">
        <f t="shared" si="76"/>
        <v>1085.0684116597265</v>
      </c>
      <c r="AF53" s="538">
        <f t="shared" si="77"/>
        <v>0.15482894736842101</v>
      </c>
      <c r="AH53" s="177">
        <f t="shared" si="78"/>
        <v>1.5333037559998557</v>
      </c>
      <c r="AI53" s="177">
        <f t="shared" si="79"/>
        <v>1.5333037559998557</v>
      </c>
      <c r="AJ53" s="177">
        <f t="shared" si="80"/>
        <v>1.7283731525924857</v>
      </c>
      <c r="AL53" s="555">
        <f t="shared" si="81"/>
        <v>480</v>
      </c>
      <c r="AM53" s="469">
        <f t="shared" si="82"/>
        <v>350</v>
      </c>
      <c r="AO53">
        <f t="shared" si="53"/>
        <v>480</v>
      </c>
      <c r="AP53" s="469">
        <f t="shared" si="24"/>
        <v>350</v>
      </c>
      <c r="AQ53" s="469"/>
      <c r="AR53" s="5">
        <f t="shared" si="54"/>
        <v>2.8571428571428572</v>
      </c>
      <c r="AS53" s="5">
        <f t="shared" si="25"/>
        <v>0.44721359549995787</v>
      </c>
      <c r="AT53" s="5">
        <f t="shared" si="55"/>
        <v>2.4099292616428993</v>
      </c>
      <c r="AU53" s="177">
        <f t="shared" si="56"/>
        <v>0.15652475842498526</v>
      </c>
      <c r="AW53" s="5">
        <f t="shared" si="83"/>
        <v>12.458288888888889</v>
      </c>
      <c r="AX53" s="5">
        <f t="shared" si="84"/>
        <v>2.8751948799999996</v>
      </c>
      <c r="AY53" s="5">
        <f t="shared" si="85"/>
        <v>0.49833155555555569</v>
      </c>
      <c r="AZ53" s="5">
        <f t="shared" si="86"/>
        <v>0.45294452363636362</v>
      </c>
      <c r="BA53" s="5">
        <f t="shared" si="87"/>
        <v>0.26776991796032207</v>
      </c>
      <c r="BB53" s="469">
        <f t="shared" si="88"/>
        <v>32.532390155238652</v>
      </c>
      <c r="BC53" s="5"/>
      <c r="BD53" s="177">
        <f t="shared" si="57"/>
        <v>0.35023463632254936</v>
      </c>
      <c r="BE53" s="177">
        <f t="shared" si="89"/>
        <v>1.6260494074999892</v>
      </c>
      <c r="BF53" s="177">
        <f t="shared" si="90"/>
        <v>0.32520988149999785</v>
      </c>
      <c r="BG53" s="177"/>
      <c r="BH53" s="538">
        <f t="shared" si="34"/>
        <v>1.3493073052798725E-2</v>
      </c>
      <c r="BI53" s="538">
        <f t="shared" si="35"/>
        <v>9.294887368871127E-2</v>
      </c>
      <c r="BJ53" s="538">
        <f t="shared" si="36"/>
        <v>1.7499999999999998E-2</v>
      </c>
      <c r="BK53" s="538">
        <f t="shared" si="37"/>
        <v>9.4494456000000004E-2</v>
      </c>
      <c r="BL53">
        <f t="shared" si="38"/>
        <v>6.96E-3</v>
      </c>
      <c r="BM53">
        <f t="shared" si="91"/>
        <v>6.6500000000000004E-5</v>
      </c>
      <c r="BN53">
        <f t="shared" si="92"/>
        <v>0.22785169802105593</v>
      </c>
      <c r="BO53" s="469">
        <f t="shared" si="58"/>
        <v>227.85169802105594</v>
      </c>
      <c r="BP53" s="177">
        <f t="shared" si="93"/>
        <v>0.38536440201821348</v>
      </c>
      <c r="BQ53" s="177">
        <f t="shared" si="94"/>
        <v>4.475217608072854E-2</v>
      </c>
      <c r="BR53" s="538"/>
      <c r="BT53" s="469">
        <f t="shared" si="59"/>
        <v>430.116578098942</v>
      </c>
      <c r="BU53" s="538">
        <f t="shared" si="43"/>
        <v>1.2266430047998843E-2</v>
      </c>
      <c r="BV53" s="538">
        <f t="shared" si="60"/>
        <v>7.9321100268931979E-2</v>
      </c>
      <c r="BW53" s="538">
        <f t="shared" si="95"/>
        <v>5.288073351262133E-3</v>
      </c>
      <c r="BX53" s="538">
        <f t="shared" si="45"/>
        <v>0</v>
      </c>
      <c r="BY53" s="538">
        <f t="shared" si="96"/>
        <v>0.10934812939196285</v>
      </c>
      <c r="BZ53" s="538">
        <f t="shared" si="61"/>
        <v>9.687560366819295E-2</v>
      </c>
      <c r="CA53" s="641">
        <f t="shared" si="97"/>
        <v>4.1142857142857141E-2</v>
      </c>
      <c r="CB53" s="469">
        <f t="shared" si="62"/>
        <v>150.49098653482</v>
      </c>
      <c r="CC53" s="177">
        <f t="shared" si="63"/>
        <v>0.80845926265481793</v>
      </c>
      <c r="CD53" s="5">
        <f t="shared" si="64"/>
        <v>2.88</v>
      </c>
      <c r="CE53" s="177">
        <f t="shared" si="65"/>
        <v>0.78081382900433105</v>
      </c>
      <c r="CF53" s="5">
        <f t="shared" si="66"/>
        <v>78.081382900433098</v>
      </c>
      <c r="CG53">
        <f t="shared" si="102"/>
        <v>48</v>
      </c>
      <c r="CI53" s="571">
        <f t="shared" si="98"/>
        <v>-50</v>
      </c>
      <c r="CJ53">
        <f t="shared" si="99"/>
        <v>-50</v>
      </c>
    </row>
    <row r="54" spans="5:88" x14ac:dyDescent="0.2">
      <c r="E54" s="174">
        <v>49</v>
      </c>
      <c r="F54" s="221">
        <f t="shared" si="103"/>
        <v>0.49</v>
      </c>
      <c r="G54" s="221">
        <f t="shared" si="100"/>
        <v>9.8000000000000004E-2</v>
      </c>
      <c r="H54" s="221">
        <f t="shared" si="70"/>
        <v>2.4500000000000002</v>
      </c>
      <c r="I54" s="221">
        <f t="shared" si="104"/>
        <v>0.49</v>
      </c>
      <c r="J54" s="551">
        <f t="shared" si="1"/>
        <v>24</v>
      </c>
      <c r="K54" s="451">
        <f t="shared" si="2"/>
        <v>10.64</v>
      </c>
      <c r="L54" s="451">
        <f t="shared" si="3"/>
        <v>34.64</v>
      </c>
      <c r="M54" s="451"/>
      <c r="N54" s="221">
        <f t="shared" si="4"/>
        <v>0.30715935334872979</v>
      </c>
      <c r="O54" s="176">
        <f t="shared" si="101"/>
        <v>11.334180138568129</v>
      </c>
      <c r="P54" s="176">
        <f t="shared" si="71"/>
        <v>2.7202032332563508</v>
      </c>
      <c r="Q54" s="221">
        <f t="shared" si="6"/>
        <v>2.2668360277136257</v>
      </c>
      <c r="R54" s="221">
        <f t="shared" si="72"/>
        <v>2.2668360277136257</v>
      </c>
      <c r="S54" s="451">
        <f t="shared" si="73"/>
        <v>5</v>
      </c>
      <c r="T54" s="221">
        <f t="shared" si="74"/>
        <v>0.88625730994152052</v>
      </c>
      <c r="U54" s="221">
        <f t="shared" si="10"/>
        <v>0.25849171539961013</v>
      </c>
      <c r="V54" s="221">
        <f t="shared" si="11"/>
        <v>0.58306401969836874</v>
      </c>
      <c r="W54" s="201">
        <f t="shared" si="12"/>
        <v>350</v>
      </c>
      <c r="X54" s="451">
        <f t="shared" si="52"/>
        <v>350</v>
      </c>
      <c r="Z54" s="221">
        <f t="shared" si="13"/>
        <v>3.0089079511712309</v>
      </c>
      <c r="AA54" s="177">
        <f t="shared" si="14"/>
        <v>1.9795447047179149</v>
      </c>
      <c r="AB54" s="177">
        <f t="shared" si="75"/>
        <v>2.0846937306036244</v>
      </c>
      <c r="AC54" s="177"/>
      <c r="AD54" s="177">
        <f t="shared" si="16"/>
        <v>0.53947368421052622</v>
      </c>
      <c r="AE54" s="555">
        <f t="shared" si="76"/>
        <v>1107.6740035693042</v>
      </c>
      <c r="AF54" s="538">
        <f t="shared" si="77"/>
        <v>0.15482894736842101</v>
      </c>
      <c r="AH54" s="177">
        <f t="shared" si="78"/>
        <v>1.5491933384829668</v>
      </c>
      <c r="AI54" s="177">
        <f t="shared" si="79"/>
        <v>1.5491933384829668</v>
      </c>
      <c r="AJ54" s="177">
        <f t="shared" si="80"/>
        <v>1.7401432136910864</v>
      </c>
      <c r="AL54" s="555">
        <f t="shared" si="81"/>
        <v>490</v>
      </c>
      <c r="AM54" s="469">
        <f t="shared" si="82"/>
        <v>350</v>
      </c>
      <c r="AO54">
        <f t="shared" si="53"/>
        <v>490</v>
      </c>
      <c r="AP54" s="469">
        <f t="shared" si="24"/>
        <v>350</v>
      </c>
      <c r="AQ54" s="469"/>
      <c r="AR54" s="5">
        <f t="shared" si="54"/>
        <v>2.8571428571428572</v>
      </c>
      <c r="AS54" s="5">
        <f t="shared" si="25"/>
        <v>0.45184805705753195</v>
      </c>
      <c r="AT54" s="5">
        <f t="shared" si="55"/>
        <v>2.4052948000853251</v>
      </c>
      <c r="AU54" s="177">
        <f t="shared" si="56"/>
        <v>0.15814681997013619</v>
      </c>
      <c r="AW54" s="5">
        <f t="shared" si="83"/>
        <v>12.458288888888889</v>
      </c>
      <c r="AX54" s="5">
        <f t="shared" si="84"/>
        <v>2.9656175811111112</v>
      </c>
      <c r="AY54" s="5">
        <f t="shared" si="85"/>
        <v>0.49833155555555569</v>
      </c>
      <c r="AZ54" s="5">
        <f t="shared" si="86"/>
        <v>0.46793046929292936</v>
      </c>
      <c r="BA54" s="5">
        <f t="shared" si="87"/>
        <v>0.27282278982449287</v>
      </c>
      <c r="BB54" s="469">
        <f t="shared" si="88"/>
        <v>33.147068112272478</v>
      </c>
      <c r="BC54" s="5"/>
      <c r="BD54" s="177">
        <f t="shared" si="57"/>
        <v>0.35569292370823036</v>
      </c>
      <c r="BE54" s="177">
        <f t="shared" si="89"/>
        <v>1.6413196447053098</v>
      </c>
      <c r="BF54" s="177">
        <f t="shared" si="90"/>
        <v>0.32826392894106199</v>
      </c>
      <c r="BG54" s="177"/>
      <c r="BH54" s="538">
        <f t="shared" si="34"/>
        <v>1.3916920157371986E-2</v>
      </c>
      <c r="BI54" s="538">
        <f t="shared" si="35"/>
        <v>9.3912100178837457E-2</v>
      </c>
      <c r="BJ54" s="538">
        <f t="shared" si="36"/>
        <v>1.7499999999999998E-2</v>
      </c>
      <c r="BK54" s="538">
        <f t="shared" si="37"/>
        <v>9.4494456000000004E-2</v>
      </c>
      <c r="BL54">
        <f t="shared" si="38"/>
        <v>6.96E-3</v>
      </c>
      <c r="BM54">
        <f t="shared" si="91"/>
        <v>6.6500000000000004E-5</v>
      </c>
      <c r="BN54">
        <f t="shared" si="92"/>
        <v>0.22931757281531623</v>
      </c>
      <c r="BO54" s="469">
        <f t="shared" si="58"/>
        <v>229.31757281531623</v>
      </c>
      <c r="BP54" s="177">
        <f t="shared" si="93"/>
        <v>0.39299626545370114</v>
      </c>
      <c r="BQ54" s="177">
        <f t="shared" si="94"/>
        <v>4.5668650618148052E-2</v>
      </c>
      <c r="BR54" s="538"/>
      <c r="BT54" s="469">
        <f t="shared" si="59"/>
        <v>438.66491607184923</v>
      </c>
      <c r="BU54" s="538">
        <f t="shared" si="43"/>
        <v>1.2651745597610897E-2</v>
      </c>
      <c r="BV54" s="538">
        <f t="shared" si="60"/>
        <v>8.081790528286692E-2</v>
      </c>
      <c r="BW54" s="538">
        <f t="shared" si="95"/>
        <v>5.38786035219113E-3</v>
      </c>
      <c r="BX54" s="538">
        <f t="shared" si="45"/>
        <v>0</v>
      </c>
      <c r="BY54" s="538">
        <f t="shared" si="96"/>
        <v>0.11160303645498514</v>
      </c>
      <c r="BZ54" s="538">
        <f t="shared" si="61"/>
        <v>9.8857511232668949E-2</v>
      </c>
      <c r="CA54" s="641">
        <f t="shared" si="97"/>
        <v>4.2000000000000003E-2</v>
      </c>
      <c r="CB54" s="469">
        <f t="shared" si="62"/>
        <v>153.60303645498513</v>
      </c>
      <c r="CC54" s="177">
        <f t="shared" si="63"/>
        <v>0.82158552534215068</v>
      </c>
      <c r="CD54" s="5">
        <f t="shared" si="64"/>
        <v>2.9400000000000004</v>
      </c>
      <c r="CE54" s="177">
        <f t="shared" si="65"/>
        <v>0.78158531294661449</v>
      </c>
      <c r="CF54" s="5">
        <f t="shared" si="66"/>
        <v>78.158531294661444</v>
      </c>
      <c r="CG54">
        <f t="shared" si="102"/>
        <v>49</v>
      </c>
      <c r="CI54" s="571">
        <f t="shared" si="98"/>
        <v>-50</v>
      </c>
      <c r="CJ54">
        <f t="shared" si="99"/>
        <v>-50</v>
      </c>
    </row>
    <row r="55" spans="5:88" x14ac:dyDescent="0.2">
      <c r="E55" s="174">
        <v>50</v>
      </c>
      <c r="F55" s="221">
        <f t="shared" si="103"/>
        <v>0.5</v>
      </c>
      <c r="G55" s="221">
        <f t="shared" si="100"/>
        <v>0.1</v>
      </c>
      <c r="H55" s="221">
        <f t="shared" si="70"/>
        <v>2.5</v>
      </c>
      <c r="I55" s="221">
        <f t="shared" si="104"/>
        <v>0.5</v>
      </c>
      <c r="J55" s="551">
        <f t="shared" si="1"/>
        <v>24</v>
      </c>
      <c r="K55" s="451">
        <f t="shared" si="2"/>
        <v>10.64</v>
      </c>
      <c r="L55" s="451">
        <f t="shared" si="3"/>
        <v>34.64</v>
      </c>
      <c r="M55" s="451"/>
      <c r="N55" s="221">
        <f t="shared" si="4"/>
        <v>0.30715935334872979</v>
      </c>
      <c r="O55" s="176">
        <f t="shared" si="101"/>
        <v>11.334180138568129</v>
      </c>
      <c r="P55" s="176">
        <f t="shared" si="71"/>
        <v>2.7202032332563508</v>
      </c>
      <c r="Q55" s="221">
        <f t="shared" si="6"/>
        <v>2.2668360277136257</v>
      </c>
      <c r="R55" s="221">
        <f t="shared" si="72"/>
        <v>2.2668360277136257</v>
      </c>
      <c r="S55" s="451">
        <f t="shared" si="73"/>
        <v>5</v>
      </c>
      <c r="T55" s="221">
        <f t="shared" si="74"/>
        <v>0.90434419381787801</v>
      </c>
      <c r="U55" s="221">
        <f t="shared" si="10"/>
        <v>0.26376705653021443</v>
      </c>
      <c r="V55" s="221">
        <f t="shared" si="11"/>
        <v>0.59496328540649868</v>
      </c>
      <c r="W55" s="201">
        <f t="shared" si="12"/>
        <v>350</v>
      </c>
      <c r="X55" s="451">
        <f t="shared" si="52"/>
        <v>350</v>
      </c>
      <c r="Z55" s="221">
        <f t="shared" si="13"/>
        <v>3.0089079511712309</v>
      </c>
      <c r="AA55" s="177">
        <f t="shared" si="14"/>
        <v>1.9795447047179149</v>
      </c>
      <c r="AB55" s="177">
        <f t="shared" si="75"/>
        <v>2.0846937306036244</v>
      </c>
      <c r="AC55" s="177"/>
      <c r="AD55" s="177">
        <f t="shared" si="16"/>
        <v>0.53947368421052622</v>
      </c>
      <c r="AE55" s="555">
        <f t="shared" si="76"/>
        <v>1130.2795954788819</v>
      </c>
      <c r="AF55" s="538">
        <f t="shared" si="77"/>
        <v>0.15482894736842101</v>
      </c>
      <c r="AH55" s="177">
        <f t="shared" si="78"/>
        <v>1.5649215928719031</v>
      </c>
      <c r="AI55" s="177">
        <f t="shared" si="79"/>
        <v>1.5649215928719031</v>
      </c>
      <c r="AJ55" s="177">
        <f t="shared" si="80"/>
        <v>1.751793772497706</v>
      </c>
      <c r="AL55" s="555">
        <f t="shared" si="81"/>
        <v>500</v>
      </c>
      <c r="AM55" s="469">
        <f t="shared" si="82"/>
        <v>350</v>
      </c>
      <c r="AO55">
        <f t="shared" si="53"/>
        <v>500</v>
      </c>
      <c r="AP55" s="469">
        <f t="shared" si="24"/>
        <v>350</v>
      </c>
      <c r="AQ55" s="469"/>
      <c r="AR55" s="5">
        <f t="shared" si="54"/>
        <v>2.8571428571428572</v>
      </c>
      <c r="AS55" s="5">
        <f t="shared" si="25"/>
        <v>0.45643546458763834</v>
      </c>
      <c r="AT55" s="5">
        <f t="shared" si="55"/>
        <v>2.4007073925552187</v>
      </c>
      <c r="AU55" s="177">
        <f t="shared" si="56"/>
        <v>0.15975241260567341</v>
      </c>
      <c r="AW55" s="5">
        <f t="shared" si="83"/>
        <v>12.458288888888889</v>
      </c>
      <c r="AX55" s="5">
        <f t="shared" si="84"/>
        <v>3.0572861111111109</v>
      </c>
      <c r="AY55" s="5">
        <f t="shared" si="85"/>
        <v>0.49833155555555569</v>
      </c>
      <c r="AZ55" s="5">
        <f t="shared" si="86"/>
        <v>0.4831429292929294</v>
      </c>
      <c r="BA55" s="5">
        <f t="shared" si="87"/>
        <v>0.27785965191611323</v>
      </c>
      <c r="BB55" s="469">
        <f t="shared" si="88"/>
        <v>33.759824896600264</v>
      </c>
      <c r="BC55" s="5"/>
      <c r="BD55" s="177">
        <f t="shared" si="57"/>
        <v>0.36112343144598802</v>
      </c>
      <c r="BE55" s="177">
        <f t="shared" si="89"/>
        <v>1.6564013980589605</v>
      </c>
      <c r="BF55" s="177">
        <f t="shared" si="90"/>
        <v>0.33128027961179213</v>
      </c>
      <c r="BG55" s="177"/>
      <c r="BH55" s="538">
        <f t="shared" si="34"/>
        <v>1.4345114601325771E-2</v>
      </c>
      <c r="BI55" s="538">
        <f t="shared" si="35"/>
        <v>9.4865546959894784E-2</v>
      </c>
      <c r="BJ55" s="538">
        <f t="shared" si="36"/>
        <v>1.7499999999999998E-2</v>
      </c>
      <c r="BK55" s="538">
        <f t="shared" si="37"/>
        <v>9.4494456000000004E-2</v>
      </c>
      <c r="BL55">
        <f t="shared" si="38"/>
        <v>6.96E-3</v>
      </c>
      <c r="BM55">
        <f t="shared" si="91"/>
        <v>6.6500000000000004E-5</v>
      </c>
      <c r="BN55">
        <f t="shared" si="92"/>
        <v>0.23077900474182547</v>
      </c>
      <c r="BO55" s="469">
        <f t="shared" si="58"/>
        <v>230.77900474182547</v>
      </c>
      <c r="BP55" s="177">
        <f t="shared" si="93"/>
        <v>0.4006160511899643</v>
      </c>
      <c r="BQ55" s="177">
        <f t="shared" si="94"/>
        <v>4.658464204759858E-2</v>
      </c>
      <c r="BR55" s="538"/>
      <c r="BT55" s="469">
        <f t="shared" si="59"/>
        <v>447.20069323756292</v>
      </c>
      <c r="BU55" s="538">
        <f t="shared" si="43"/>
        <v>1.304101327393252E-2</v>
      </c>
      <c r="BV55" s="538">
        <f t="shared" si="60"/>
        <v>8.2309967744750356E-2</v>
      </c>
      <c r="BW55" s="538">
        <f t="shared" si="95"/>
        <v>5.4873311829833592E-3</v>
      </c>
      <c r="BX55" s="538">
        <f t="shared" si="45"/>
        <v>0</v>
      </c>
      <c r="BY55" s="538">
        <f t="shared" si="96"/>
        <v>0.11385740474798207</v>
      </c>
      <c r="BZ55" s="538">
        <f t="shared" si="61"/>
        <v>0.10083831220166624</v>
      </c>
      <c r="CA55" s="641">
        <f t="shared" si="97"/>
        <v>4.2857142857142864E-2</v>
      </c>
      <c r="CB55" s="469">
        <f t="shared" si="62"/>
        <v>156.71454760512492</v>
      </c>
      <c r="CC55" s="177">
        <f t="shared" si="63"/>
        <v>0.83469424558451333</v>
      </c>
      <c r="CD55" s="5">
        <f t="shared" si="64"/>
        <v>3</v>
      </c>
      <c r="CE55" s="177">
        <f t="shared" si="65"/>
        <v>0.78233095205813918</v>
      </c>
      <c r="CF55" s="5">
        <f t="shared" si="66"/>
        <v>78.233095205813925</v>
      </c>
      <c r="CG55">
        <f t="shared" si="102"/>
        <v>50</v>
      </c>
      <c r="CI55" s="571">
        <f t="shared" si="98"/>
        <v>-50</v>
      </c>
      <c r="CJ55">
        <f t="shared" si="99"/>
        <v>-50</v>
      </c>
    </row>
    <row r="56" spans="5:88" x14ac:dyDescent="0.2">
      <c r="E56" s="174">
        <v>51</v>
      </c>
      <c r="F56" s="221">
        <f t="shared" si="103"/>
        <v>0.51</v>
      </c>
      <c r="G56" s="221">
        <f t="shared" si="100"/>
        <v>0.10200000000000001</v>
      </c>
      <c r="H56" s="221">
        <f t="shared" si="70"/>
        <v>2.5499999999999998</v>
      </c>
      <c r="I56" s="221">
        <f t="shared" si="104"/>
        <v>0.51</v>
      </c>
      <c r="J56" s="551">
        <f t="shared" si="1"/>
        <v>24</v>
      </c>
      <c r="K56" s="451">
        <f t="shared" si="2"/>
        <v>10.64</v>
      </c>
      <c r="L56" s="451">
        <f t="shared" si="3"/>
        <v>34.64</v>
      </c>
      <c r="M56" s="451"/>
      <c r="N56" s="221">
        <f t="shared" si="4"/>
        <v>0.30715935334872979</v>
      </c>
      <c r="O56" s="176">
        <f t="shared" si="101"/>
        <v>11.334180138568129</v>
      </c>
      <c r="P56" s="176">
        <f t="shared" si="71"/>
        <v>2.7202032332563508</v>
      </c>
      <c r="Q56" s="221">
        <f t="shared" si="6"/>
        <v>2.2668360277136257</v>
      </c>
      <c r="R56" s="221">
        <f t="shared" si="72"/>
        <v>2.2668360277136257</v>
      </c>
      <c r="S56" s="451">
        <f t="shared" si="73"/>
        <v>5</v>
      </c>
      <c r="T56" s="221">
        <f t="shared" si="74"/>
        <v>0.92243107769423549</v>
      </c>
      <c r="U56" s="221">
        <f t="shared" si="10"/>
        <v>0.26904239766081867</v>
      </c>
      <c r="V56" s="221">
        <f t="shared" si="11"/>
        <v>0.60686255111462861</v>
      </c>
      <c r="W56" s="201">
        <f t="shared" si="12"/>
        <v>350</v>
      </c>
      <c r="X56" s="451">
        <f t="shared" si="52"/>
        <v>350</v>
      </c>
      <c r="Z56" s="221">
        <f t="shared" si="13"/>
        <v>3.0089079511712309</v>
      </c>
      <c r="AA56" s="177">
        <f t="shared" si="14"/>
        <v>1.9795447047179149</v>
      </c>
      <c r="AB56" s="177">
        <f t="shared" si="75"/>
        <v>2.0846937306036244</v>
      </c>
      <c r="AC56" s="177"/>
      <c r="AD56" s="177">
        <f t="shared" si="16"/>
        <v>0.53947368421052622</v>
      </c>
      <c r="AE56" s="555">
        <f t="shared" si="76"/>
        <v>1152.8851873884594</v>
      </c>
      <c r="AF56" s="538">
        <f t="shared" si="77"/>
        <v>0.15482894736842101</v>
      </c>
      <c r="AH56" s="177">
        <f t="shared" si="78"/>
        <v>1.5804933355359234</v>
      </c>
      <c r="AI56" s="177">
        <f t="shared" si="79"/>
        <v>1.5804933355359234</v>
      </c>
      <c r="AJ56" s="177">
        <f t="shared" si="80"/>
        <v>1.7633283966932765</v>
      </c>
      <c r="AL56" s="555">
        <f t="shared" si="81"/>
        <v>510</v>
      </c>
      <c r="AM56" s="469">
        <f t="shared" si="82"/>
        <v>350</v>
      </c>
      <c r="AO56">
        <f t="shared" si="53"/>
        <v>510</v>
      </c>
      <c r="AP56" s="469">
        <f t="shared" si="24"/>
        <v>350</v>
      </c>
      <c r="AQ56" s="469"/>
      <c r="AR56" s="5">
        <f t="shared" si="54"/>
        <v>2.8571428571428572</v>
      </c>
      <c r="AS56" s="5">
        <f t="shared" si="25"/>
        <v>0.46097722286464432</v>
      </c>
      <c r="AT56" s="5">
        <f t="shared" si="55"/>
        <v>2.3961656342782129</v>
      </c>
      <c r="AU56" s="177">
        <f t="shared" si="56"/>
        <v>0.16134202800262551</v>
      </c>
      <c r="AW56" s="5">
        <f t="shared" si="83"/>
        <v>12.458288888888889</v>
      </c>
      <c r="AX56" s="5">
        <f t="shared" si="84"/>
        <v>3.1502004699999997</v>
      </c>
      <c r="AY56" s="5">
        <f t="shared" si="85"/>
        <v>0.49833155555555569</v>
      </c>
      <c r="AZ56" s="5">
        <f t="shared" si="86"/>
        <v>0.49858190363636368</v>
      </c>
      <c r="BA56" s="5">
        <f t="shared" si="87"/>
        <v>0.28288066515784449</v>
      </c>
      <c r="BB56" s="469">
        <f t="shared" si="88"/>
        <v>34.370679818941348</v>
      </c>
      <c r="BC56" s="5"/>
      <c r="BD56" s="177">
        <f t="shared" si="57"/>
        <v>0.36652685238677052</v>
      </c>
      <c r="BE56" s="177">
        <f t="shared" si="89"/>
        <v>1.6713002455620429</v>
      </c>
      <c r="BF56" s="177">
        <f t="shared" si="90"/>
        <v>0.33426004911240859</v>
      </c>
      <c r="BG56" s="177"/>
      <c r="BH56" s="538">
        <f t="shared" si="34"/>
        <v>1.4777612687260881E-2</v>
      </c>
      <c r="BI56" s="538">
        <f t="shared" si="35"/>
        <v>9.5809506000187672E-2</v>
      </c>
      <c r="BJ56" s="538">
        <f t="shared" si="36"/>
        <v>1.7499999999999998E-2</v>
      </c>
      <c r="BK56" s="538">
        <f t="shared" si="37"/>
        <v>9.4494456000000004E-2</v>
      </c>
      <c r="BL56">
        <f t="shared" si="38"/>
        <v>6.96E-3</v>
      </c>
      <c r="BM56">
        <f t="shared" si="91"/>
        <v>6.6500000000000004E-5</v>
      </c>
      <c r="BN56">
        <f t="shared" si="92"/>
        <v>0.23223623742784569</v>
      </c>
      <c r="BO56" s="469">
        <f t="shared" si="58"/>
        <v>232.23623742784568</v>
      </c>
      <c r="BP56" s="177">
        <f t="shared" si="93"/>
        <v>0.40822388062632298</v>
      </c>
      <c r="BQ56" s="177">
        <f t="shared" si="94"/>
        <v>4.7500155225052916E-2</v>
      </c>
      <c r="BR56" s="538"/>
      <c r="BT56" s="469">
        <f t="shared" si="59"/>
        <v>455.7240358513759</v>
      </c>
      <c r="BU56" s="538">
        <f t="shared" si="43"/>
        <v>1.3434193352055347E-2</v>
      </c>
      <c r="BV56" s="538">
        <f t="shared" si="60"/>
        <v>8.3797335324472338E-2</v>
      </c>
      <c r="BW56" s="538">
        <f t="shared" si="95"/>
        <v>5.58648902163149E-3</v>
      </c>
      <c r="BX56" s="538">
        <f t="shared" si="45"/>
        <v>0</v>
      </c>
      <c r="BY56" s="538">
        <f t="shared" si="96"/>
        <v>0.11611124607424363</v>
      </c>
      <c r="BZ56" s="538">
        <f t="shared" si="61"/>
        <v>0.10281801769815917</v>
      </c>
      <c r="CA56" s="641">
        <f t="shared" si="97"/>
        <v>4.3714285714285712E-2</v>
      </c>
      <c r="CB56" s="469">
        <f t="shared" si="62"/>
        <v>159.82553178852933</v>
      </c>
      <c r="CC56" s="177">
        <f t="shared" si="63"/>
        <v>0.84778580506775092</v>
      </c>
      <c r="CD56" s="5">
        <f t="shared" si="64"/>
        <v>3.0599999999999996</v>
      </c>
      <c r="CE56" s="177">
        <f t="shared" si="65"/>
        <v>0.78305213044985389</v>
      </c>
      <c r="CF56" s="5">
        <f t="shared" si="66"/>
        <v>78.305213044985393</v>
      </c>
      <c r="CG56">
        <f t="shared" si="102"/>
        <v>51</v>
      </c>
      <c r="CI56" s="571">
        <f t="shared" si="98"/>
        <v>-50</v>
      </c>
      <c r="CJ56">
        <f t="shared" si="99"/>
        <v>-50</v>
      </c>
    </row>
    <row r="57" spans="5:88" x14ac:dyDescent="0.2">
      <c r="E57" s="174">
        <v>52</v>
      </c>
      <c r="F57" s="221">
        <f t="shared" si="103"/>
        <v>0.52</v>
      </c>
      <c r="G57" s="221">
        <f t="shared" si="100"/>
        <v>0.10400000000000001</v>
      </c>
      <c r="H57" s="221">
        <f t="shared" si="70"/>
        <v>2.6</v>
      </c>
      <c r="I57" s="221">
        <f t="shared" si="104"/>
        <v>0.52</v>
      </c>
      <c r="J57" s="551">
        <f t="shared" si="1"/>
        <v>24</v>
      </c>
      <c r="K57" s="451">
        <f t="shared" si="2"/>
        <v>10.64</v>
      </c>
      <c r="L57" s="451">
        <f t="shared" si="3"/>
        <v>34.64</v>
      </c>
      <c r="M57" s="451"/>
      <c r="N57" s="221">
        <f t="shared" si="4"/>
        <v>0.30715935334872979</v>
      </c>
      <c r="O57" s="176">
        <f t="shared" si="101"/>
        <v>11.334180138568129</v>
      </c>
      <c r="P57" s="176">
        <f t="shared" si="71"/>
        <v>2.7202032332563508</v>
      </c>
      <c r="Q57" s="221">
        <f t="shared" si="6"/>
        <v>2.2668360277136257</v>
      </c>
      <c r="R57" s="221">
        <f t="shared" si="72"/>
        <v>2.2668360277136257</v>
      </c>
      <c r="S57" s="451">
        <f t="shared" si="73"/>
        <v>5</v>
      </c>
      <c r="T57" s="221">
        <f t="shared" si="74"/>
        <v>0.9405179615705932</v>
      </c>
      <c r="U57" s="221">
        <f t="shared" si="10"/>
        <v>0.27431773879142302</v>
      </c>
      <c r="V57" s="221">
        <f t="shared" si="11"/>
        <v>0.61876181682275866</v>
      </c>
      <c r="W57" s="201">
        <f t="shared" si="12"/>
        <v>350</v>
      </c>
      <c r="X57" s="451">
        <f t="shared" si="52"/>
        <v>350</v>
      </c>
      <c r="Z57" s="221">
        <f t="shared" si="13"/>
        <v>3.0089079511712309</v>
      </c>
      <c r="AA57" s="177">
        <f t="shared" si="14"/>
        <v>1.9795447047179149</v>
      </c>
      <c r="AB57" s="177">
        <f t="shared" si="75"/>
        <v>2.0846937306036244</v>
      </c>
      <c r="AC57" s="177"/>
      <c r="AD57" s="177">
        <f t="shared" si="16"/>
        <v>0.53947368421052622</v>
      </c>
      <c r="AE57" s="555">
        <f t="shared" si="76"/>
        <v>1175.4907792980371</v>
      </c>
      <c r="AF57" s="538">
        <f t="shared" si="77"/>
        <v>0.15482894736842101</v>
      </c>
      <c r="AH57" s="177">
        <f t="shared" si="78"/>
        <v>1.5959131478593076</v>
      </c>
      <c r="AI57" s="177">
        <f t="shared" si="79"/>
        <v>1.5959131478593076</v>
      </c>
      <c r="AJ57" s="177">
        <f t="shared" si="80"/>
        <v>1.7747504798957834</v>
      </c>
      <c r="AL57" s="555">
        <f t="shared" si="81"/>
        <v>520</v>
      </c>
      <c r="AM57" s="469">
        <f t="shared" si="82"/>
        <v>350</v>
      </c>
      <c r="AO57">
        <f t="shared" si="53"/>
        <v>520</v>
      </c>
      <c r="AP57" s="469">
        <f t="shared" si="24"/>
        <v>350</v>
      </c>
      <c r="AQ57" s="469"/>
      <c r="AR57" s="5">
        <f t="shared" si="54"/>
        <v>2.8571428571428572</v>
      </c>
      <c r="AS57" s="5">
        <f t="shared" si="25"/>
        <v>0.46547466812563137</v>
      </c>
      <c r="AT57" s="5">
        <f t="shared" si="55"/>
        <v>2.391668189017226</v>
      </c>
      <c r="AU57" s="177">
        <f t="shared" si="56"/>
        <v>0.16291613384397097</v>
      </c>
      <c r="AW57" s="5">
        <f t="shared" si="83"/>
        <v>12.458288888888889</v>
      </c>
      <c r="AX57" s="5">
        <f t="shared" si="84"/>
        <v>3.2443606577777775</v>
      </c>
      <c r="AY57" s="5">
        <f t="shared" si="85"/>
        <v>0.49833155555555569</v>
      </c>
      <c r="AZ57" s="5">
        <f t="shared" si="86"/>
        <v>0.51424739232323247</v>
      </c>
      <c r="BA57" s="5">
        <f t="shared" si="87"/>
        <v>0.28788598571503643</v>
      </c>
      <c r="BB57" s="469">
        <f t="shared" si="88"/>
        <v>34.979651619137712</v>
      </c>
      <c r="BC57" s="5"/>
      <c r="BD57" s="177">
        <f t="shared" si="57"/>
        <v>0.37190384888365075</v>
      </c>
      <c r="BE57" s="177">
        <f t="shared" si="89"/>
        <v>1.6860214933650892</v>
      </c>
      <c r="BF57" s="177">
        <f t="shared" si="90"/>
        <v>0.33720429867301788</v>
      </c>
      <c r="BG57" s="177"/>
      <c r="BH57" s="538">
        <f t="shared" si="34"/>
        <v>1.5214372009592067E-2</v>
      </c>
      <c r="BI57" s="538">
        <f t="shared" si="35"/>
        <v>9.674425502323121E-2</v>
      </c>
      <c r="BJ57" s="538">
        <f t="shared" si="36"/>
        <v>1.7499999999999998E-2</v>
      </c>
      <c r="BK57" s="538">
        <f t="shared" si="37"/>
        <v>9.4494456000000004E-2</v>
      </c>
      <c r="BL57">
        <f t="shared" si="38"/>
        <v>6.96E-3</v>
      </c>
      <c r="BM57">
        <f t="shared" si="91"/>
        <v>6.6500000000000004E-5</v>
      </c>
      <c r="BN57">
        <f t="shared" si="92"/>
        <v>0.23368950175227413</v>
      </c>
      <c r="BO57" s="469">
        <f t="shared" si="58"/>
        <v>233.68950175227414</v>
      </c>
      <c r="BP57" s="177">
        <f t="shared" si="93"/>
        <v>0.41581987157320316</v>
      </c>
      <c r="BQ57" s="177">
        <f t="shared" si="94"/>
        <v>4.8415194862928133E-2</v>
      </c>
      <c r="BR57" s="538"/>
      <c r="BT57" s="469">
        <f t="shared" si="59"/>
        <v>464.23506643613126</v>
      </c>
      <c r="BU57" s="538">
        <f t="shared" si="43"/>
        <v>1.3831247281447336E-2</v>
      </c>
      <c r="BV57" s="538">
        <f t="shared" si="60"/>
        <v>8.5280054282671366E-2</v>
      </c>
      <c r="BW57" s="538">
        <f t="shared" si="95"/>
        <v>5.6853369521780925E-3</v>
      </c>
      <c r="BX57" s="538">
        <f t="shared" si="45"/>
        <v>0</v>
      </c>
      <c r="BY57" s="538">
        <f t="shared" si="96"/>
        <v>0.11836457187843488</v>
      </c>
      <c r="BZ57" s="538">
        <f t="shared" si="61"/>
        <v>0.10479663851629681</v>
      </c>
      <c r="CA57" s="641">
        <f t="shared" si="97"/>
        <v>4.4571428571428581E-2</v>
      </c>
      <c r="CB57" s="469">
        <f t="shared" si="62"/>
        <v>162.93600044986346</v>
      </c>
      <c r="CC57" s="177">
        <f t="shared" si="63"/>
        <v>0.86086056863826887</v>
      </c>
      <c r="CD57" s="5">
        <f t="shared" si="64"/>
        <v>3.12</v>
      </c>
      <c r="CE57" s="177">
        <f t="shared" si="65"/>
        <v>0.78375013296867546</v>
      </c>
      <c r="CF57" s="5">
        <f t="shared" si="66"/>
        <v>78.37501329686755</v>
      </c>
      <c r="CG57">
        <f t="shared" si="102"/>
        <v>52</v>
      </c>
      <c r="CI57" s="571">
        <f t="shared" si="98"/>
        <v>-50</v>
      </c>
      <c r="CJ57">
        <f t="shared" si="99"/>
        <v>-50</v>
      </c>
    </row>
    <row r="58" spans="5:88" x14ac:dyDescent="0.2">
      <c r="E58" s="174">
        <v>53</v>
      </c>
      <c r="F58" s="221">
        <f t="shared" si="103"/>
        <v>0.53</v>
      </c>
      <c r="G58" s="221">
        <f t="shared" si="100"/>
        <v>0.10600000000000001</v>
      </c>
      <c r="H58" s="221">
        <f t="shared" si="70"/>
        <v>2.6500000000000004</v>
      </c>
      <c r="I58" s="221">
        <f t="shared" si="104"/>
        <v>0.53</v>
      </c>
      <c r="J58" s="551">
        <f t="shared" si="1"/>
        <v>24</v>
      </c>
      <c r="K58" s="451">
        <f t="shared" si="2"/>
        <v>10.64</v>
      </c>
      <c r="L58" s="451">
        <f t="shared" si="3"/>
        <v>34.64</v>
      </c>
      <c r="M58" s="451"/>
      <c r="N58" s="221">
        <f t="shared" si="4"/>
        <v>0.30715935334872979</v>
      </c>
      <c r="O58" s="176">
        <f t="shared" si="101"/>
        <v>11.334180138568129</v>
      </c>
      <c r="P58" s="176">
        <f t="shared" si="71"/>
        <v>2.7202032332563508</v>
      </c>
      <c r="Q58" s="221">
        <f t="shared" si="6"/>
        <v>2.2668360277136257</v>
      </c>
      <c r="R58" s="221">
        <f t="shared" si="72"/>
        <v>2.2668360277136257</v>
      </c>
      <c r="S58" s="451">
        <f t="shared" si="73"/>
        <v>5</v>
      </c>
      <c r="T58" s="221">
        <f t="shared" si="74"/>
        <v>0.9586048454469509</v>
      </c>
      <c r="U58" s="221">
        <f t="shared" si="10"/>
        <v>0.27959307992202731</v>
      </c>
      <c r="V58" s="221">
        <f t="shared" si="11"/>
        <v>0.63066108253088871</v>
      </c>
      <c r="W58" s="201">
        <f t="shared" si="12"/>
        <v>350</v>
      </c>
      <c r="X58" s="451">
        <f t="shared" si="52"/>
        <v>350</v>
      </c>
      <c r="Z58" s="221">
        <f t="shared" si="13"/>
        <v>3.0089079511712309</v>
      </c>
      <c r="AA58" s="177">
        <f t="shared" si="14"/>
        <v>1.9795447047179149</v>
      </c>
      <c r="AB58" s="177">
        <f t="shared" si="75"/>
        <v>2.0846937306036244</v>
      </c>
      <c r="AC58" s="177"/>
      <c r="AD58" s="177">
        <f t="shared" si="16"/>
        <v>0.53947368421052622</v>
      </c>
      <c r="AE58" s="555">
        <f t="shared" si="76"/>
        <v>1198.096371207615</v>
      </c>
      <c r="AF58" s="538">
        <f t="shared" si="77"/>
        <v>0.15482894736842101</v>
      </c>
      <c r="AH58" s="177">
        <f t="shared" si="78"/>
        <v>1.6111853919853356</v>
      </c>
      <c r="AI58" s="177">
        <f t="shared" si="79"/>
        <v>1.6111853919853356</v>
      </c>
      <c r="AJ58" s="177">
        <f t="shared" si="80"/>
        <v>1.7860632533224707</v>
      </c>
      <c r="AL58" s="555">
        <f t="shared" si="81"/>
        <v>530</v>
      </c>
      <c r="AM58" s="469">
        <f t="shared" si="82"/>
        <v>350</v>
      </c>
      <c r="AO58">
        <f t="shared" si="53"/>
        <v>530</v>
      </c>
      <c r="AP58" s="469">
        <f t="shared" si="24"/>
        <v>350</v>
      </c>
      <c r="AQ58" s="469"/>
      <c r="AR58" s="5">
        <f t="shared" si="54"/>
        <v>2.8571428571428572</v>
      </c>
      <c r="AS58" s="5">
        <f t="shared" si="25"/>
        <v>0.46992907266238948</v>
      </c>
      <c r="AT58" s="5">
        <f t="shared" si="55"/>
        <v>2.3872137844804677</v>
      </c>
      <c r="AU58" s="177">
        <f t="shared" si="56"/>
        <v>0.16447517543183632</v>
      </c>
      <c r="AW58" s="5">
        <f t="shared" si="83"/>
        <v>12.458288888888889</v>
      </c>
      <c r="AX58" s="5">
        <f t="shared" si="84"/>
        <v>3.3397666744444447</v>
      </c>
      <c r="AY58" s="5">
        <f t="shared" si="85"/>
        <v>0.49833155555555569</v>
      </c>
      <c r="AZ58" s="5">
        <f t="shared" si="86"/>
        <v>0.53013939535353538</v>
      </c>
      <c r="BA58" s="5">
        <f t="shared" si="87"/>
        <v>0.29287576522561298</v>
      </c>
      <c r="BB58" s="469">
        <f t="shared" si="88"/>
        <v>35.586758493740227</v>
      </c>
      <c r="BC58" s="5"/>
      <c r="BD58" s="177">
        <f t="shared" si="57"/>
        <v>0.3772550546938212</v>
      </c>
      <c r="BE58" s="177">
        <f t="shared" si="89"/>
        <v>1.7005701939725297</v>
      </c>
      <c r="BF58" s="177">
        <f t="shared" si="90"/>
        <v>0.34011403879450597</v>
      </c>
      <c r="BG58" s="177"/>
      <c r="BH58" s="538">
        <f t="shared" si="34"/>
        <v>1.5655351392124185E-2</v>
      </c>
      <c r="BI58" s="538">
        <f t="shared" si="35"/>
        <v>9.7670058462151044E-2</v>
      </c>
      <c r="BJ58" s="538">
        <f t="shared" si="36"/>
        <v>1.7499999999999998E-2</v>
      </c>
      <c r="BK58" s="538">
        <f t="shared" si="37"/>
        <v>9.4494456000000004E-2</v>
      </c>
      <c r="BL58">
        <f t="shared" si="38"/>
        <v>6.96E-3</v>
      </c>
      <c r="BM58">
        <f t="shared" si="91"/>
        <v>6.6500000000000004E-5</v>
      </c>
      <c r="BN58">
        <f t="shared" si="92"/>
        <v>0.23513901672782703</v>
      </c>
      <c r="BO58" s="469">
        <f t="shared" si="58"/>
        <v>235.13901672782703</v>
      </c>
      <c r="BP58" s="177">
        <f t="shared" si="93"/>
        <v>0.42340413842556152</v>
      </c>
      <c r="BQ58" s="177">
        <f t="shared" si="94"/>
        <v>4.9329765537022466E-2</v>
      </c>
      <c r="BR58" s="538"/>
      <c r="BT58" s="469">
        <f t="shared" si="59"/>
        <v>472.73390396258395</v>
      </c>
      <c r="BU58" s="538">
        <f t="shared" si="43"/>
        <v>1.4232137629203804E-2</v>
      </c>
      <c r="BV58" s="538">
        <f t="shared" si="60"/>
        <v>8.6758169538833016E-2</v>
      </c>
      <c r="BW58" s="538">
        <f t="shared" si="95"/>
        <v>5.7838779692555358E-3</v>
      </c>
      <c r="BX58" s="538">
        <f t="shared" si="45"/>
        <v>0</v>
      </c>
      <c r="BY58" s="538">
        <f t="shared" si="96"/>
        <v>0.12061739326410013</v>
      </c>
      <c r="BZ58" s="538">
        <f t="shared" si="61"/>
        <v>0.10677418513729235</v>
      </c>
      <c r="CA58" s="641">
        <f t="shared" si="97"/>
        <v>4.5428571428571443E-2</v>
      </c>
      <c r="CB58" s="469">
        <f t="shared" si="62"/>
        <v>166.04596469267159</v>
      </c>
      <c r="CC58" s="177">
        <f t="shared" si="63"/>
        <v>0.87391888538308271</v>
      </c>
      <c r="CD58" s="5">
        <f t="shared" si="64"/>
        <v>3.1800000000000006</v>
      </c>
      <c r="CE58" s="177">
        <f t="shared" si="65"/>
        <v>0.78442615402737637</v>
      </c>
      <c r="CF58" s="5">
        <f t="shared" si="66"/>
        <v>78.44261540273763</v>
      </c>
      <c r="CG58">
        <f t="shared" si="102"/>
        <v>53</v>
      </c>
      <c r="CI58" s="571">
        <f t="shared" si="98"/>
        <v>-50</v>
      </c>
      <c r="CJ58">
        <f t="shared" si="99"/>
        <v>-50</v>
      </c>
    </row>
    <row r="59" spans="5:88" x14ac:dyDescent="0.2">
      <c r="E59" s="174">
        <v>54</v>
      </c>
      <c r="F59" s="221">
        <f t="shared" si="103"/>
        <v>0.54</v>
      </c>
      <c r="G59" s="221">
        <f t="shared" si="100"/>
        <v>0.10800000000000001</v>
      </c>
      <c r="H59" s="221">
        <f t="shared" si="70"/>
        <v>2.7</v>
      </c>
      <c r="I59" s="221">
        <f t="shared" si="104"/>
        <v>0.54</v>
      </c>
      <c r="J59" s="551">
        <f t="shared" si="1"/>
        <v>24</v>
      </c>
      <c r="K59" s="451">
        <f t="shared" si="2"/>
        <v>10.64</v>
      </c>
      <c r="L59" s="451">
        <f t="shared" si="3"/>
        <v>34.64</v>
      </c>
      <c r="M59" s="451"/>
      <c r="N59" s="221">
        <f t="shared" si="4"/>
        <v>0.30715935334872979</v>
      </c>
      <c r="O59" s="176">
        <f t="shared" si="101"/>
        <v>11.334180138568129</v>
      </c>
      <c r="P59" s="176">
        <f t="shared" si="71"/>
        <v>2.7202032332563508</v>
      </c>
      <c r="Q59" s="221">
        <f t="shared" si="6"/>
        <v>2.2668360277136257</v>
      </c>
      <c r="R59" s="221">
        <f t="shared" si="72"/>
        <v>2.2668360277136257</v>
      </c>
      <c r="S59" s="451">
        <f t="shared" si="73"/>
        <v>5</v>
      </c>
      <c r="T59" s="221">
        <f t="shared" si="74"/>
        <v>0.97669172932330828</v>
      </c>
      <c r="U59" s="221">
        <f t="shared" si="10"/>
        <v>0.2848684210526316</v>
      </c>
      <c r="V59" s="221">
        <f t="shared" si="11"/>
        <v>0.64256034823901853</v>
      </c>
      <c r="W59" s="201">
        <f t="shared" si="12"/>
        <v>350</v>
      </c>
      <c r="X59" s="451">
        <f t="shared" si="52"/>
        <v>350</v>
      </c>
      <c r="Z59" s="221">
        <f t="shared" si="13"/>
        <v>3.0089079511712309</v>
      </c>
      <c r="AA59" s="177">
        <f t="shared" si="14"/>
        <v>1.9795447047179149</v>
      </c>
      <c r="AB59" s="177">
        <f t="shared" si="75"/>
        <v>2.0846937306036244</v>
      </c>
      <c r="AC59" s="177"/>
      <c r="AD59" s="177">
        <f t="shared" si="16"/>
        <v>0.53947368421052622</v>
      </c>
      <c r="AE59" s="555">
        <f t="shared" si="76"/>
        <v>1220.7019631171925</v>
      </c>
      <c r="AF59" s="538">
        <f t="shared" si="77"/>
        <v>0.15482894736842101</v>
      </c>
      <c r="AH59" s="177">
        <f t="shared" si="78"/>
        <v>1.6263142252294522</v>
      </c>
      <c r="AI59" s="177">
        <f t="shared" si="79"/>
        <v>1.6263142252294522</v>
      </c>
      <c r="AJ59" s="177">
        <f t="shared" si="80"/>
        <v>1.7972697964662609</v>
      </c>
      <c r="AL59" s="555">
        <f t="shared" si="81"/>
        <v>540</v>
      </c>
      <c r="AM59" s="469">
        <f t="shared" si="82"/>
        <v>350</v>
      </c>
      <c r="AO59">
        <f t="shared" si="53"/>
        <v>540</v>
      </c>
      <c r="AP59" s="469">
        <f t="shared" si="24"/>
        <v>350</v>
      </c>
      <c r="AQ59" s="469"/>
      <c r="AR59" s="5">
        <f t="shared" si="54"/>
        <v>2.8571428571428572</v>
      </c>
      <c r="AS59" s="5">
        <f t="shared" si="25"/>
        <v>0.47434164902525688</v>
      </c>
      <c r="AT59" s="5">
        <f t="shared" si="55"/>
        <v>2.3828012081176002</v>
      </c>
      <c r="AU59" s="177">
        <f t="shared" si="56"/>
        <v>0.16601957715883991</v>
      </c>
      <c r="AW59" s="5">
        <f t="shared" si="83"/>
        <v>12.458288888888889</v>
      </c>
      <c r="AX59" s="5">
        <f t="shared" si="84"/>
        <v>3.4364185200000001</v>
      </c>
      <c r="AY59" s="5">
        <f t="shared" si="85"/>
        <v>0.49833155555555569</v>
      </c>
      <c r="AZ59" s="5">
        <f t="shared" si="86"/>
        <v>0.54625791272727287</v>
      </c>
      <c r="BA59" s="5">
        <f t="shared" si="87"/>
        <v>0.29785015101469997</v>
      </c>
      <c r="BB59" s="469">
        <f t="shared" si="88"/>
        <v>36.192018121764001</v>
      </c>
      <c r="BC59" s="5"/>
      <c r="BD59" s="177">
        <f t="shared" si="57"/>
        <v>0.38258107672838537</v>
      </c>
      <c r="BE59" s="177">
        <f t="shared" si="89"/>
        <v>1.7149511629088143</v>
      </c>
      <c r="BF59" s="177">
        <f t="shared" si="90"/>
        <v>0.34299023258176287</v>
      </c>
      <c r="BG59" s="177"/>
      <c r="BH59" s="538">
        <f t="shared" si="34"/>
        <v>1.6100510829771576E-2</v>
      </c>
      <c r="BI59" s="538">
        <f t="shared" si="35"/>
        <v>9.8587168333409414E-2</v>
      </c>
      <c r="BJ59" s="538">
        <f t="shared" si="36"/>
        <v>1.7499999999999998E-2</v>
      </c>
      <c r="BK59" s="538">
        <f t="shared" si="37"/>
        <v>9.4494456000000004E-2</v>
      </c>
      <c r="BL59">
        <f t="shared" si="38"/>
        <v>6.96E-3</v>
      </c>
      <c r="BM59">
        <f t="shared" si="91"/>
        <v>6.6500000000000004E-5</v>
      </c>
      <c r="BN59">
        <f t="shared" si="92"/>
        <v>0.23658499030734276</v>
      </c>
      <c r="BO59" s="469">
        <f t="shared" si="58"/>
        <v>236.58499030734276</v>
      </c>
      <c r="BP59" s="177">
        <f t="shared" si="93"/>
        <v>0.43097679232479935</v>
      </c>
      <c r="BQ59" s="177">
        <f t="shared" si="94"/>
        <v>5.0243871692991986E-2</v>
      </c>
      <c r="BR59" s="538"/>
      <c r="BT59" s="469">
        <f t="shared" si="59"/>
        <v>481.22066401779136</v>
      </c>
      <c r="BU59" s="538">
        <f t="shared" si="43"/>
        <v>1.463682802706507E-2</v>
      </c>
      <c r="BV59" s="538">
        <f t="shared" si="60"/>
        <v>8.823172473486883E-2</v>
      </c>
      <c r="BW59" s="538">
        <f t="shared" si="95"/>
        <v>5.8821149823245896E-3</v>
      </c>
      <c r="BX59" s="538">
        <f t="shared" si="45"/>
        <v>0</v>
      </c>
      <c r="BY59" s="538">
        <f t="shared" si="96"/>
        <v>0.1228697210100006</v>
      </c>
      <c r="BZ59" s="538">
        <f t="shared" si="61"/>
        <v>0.1087506677442585</v>
      </c>
      <c r="CA59" s="641">
        <f t="shared" si="97"/>
        <v>4.6285714285714291E-2</v>
      </c>
      <c r="CB59" s="469">
        <f t="shared" si="62"/>
        <v>169.15543529571488</v>
      </c>
      <c r="CC59" s="177">
        <f t="shared" si="63"/>
        <v>0.88696108962084885</v>
      </c>
      <c r="CD59" s="5">
        <f t="shared" si="64"/>
        <v>3.24</v>
      </c>
      <c r="CE59" s="177">
        <f t="shared" si="65"/>
        <v>0.78508130550309219</v>
      </c>
      <c r="CF59" s="5">
        <f t="shared" si="66"/>
        <v>78.508130550309218</v>
      </c>
      <c r="CG59">
        <f t="shared" si="102"/>
        <v>54</v>
      </c>
      <c r="CI59" s="571">
        <f t="shared" si="98"/>
        <v>-50</v>
      </c>
      <c r="CJ59">
        <f t="shared" si="99"/>
        <v>-50</v>
      </c>
    </row>
    <row r="60" spans="5:88" x14ac:dyDescent="0.2">
      <c r="E60" s="174">
        <v>55</v>
      </c>
      <c r="F60" s="221">
        <f t="shared" si="103"/>
        <v>0.55000000000000004</v>
      </c>
      <c r="G60" s="221">
        <f t="shared" si="100"/>
        <v>0.11000000000000001</v>
      </c>
      <c r="H60" s="221">
        <f t="shared" si="70"/>
        <v>2.75</v>
      </c>
      <c r="I60" s="221">
        <f t="shared" si="104"/>
        <v>0.55000000000000004</v>
      </c>
      <c r="J60" s="551">
        <f t="shared" si="1"/>
        <v>24</v>
      </c>
      <c r="K60" s="451">
        <f t="shared" si="2"/>
        <v>10.64</v>
      </c>
      <c r="L60" s="451">
        <f t="shared" si="3"/>
        <v>34.64</v>
      </c>
      <c r="M60" s="451"/>
      <c r="N60" s="221">
        <f t="shared" si="4"/>
        <v>0.30715935334872979</v>
      </c>
      <c r="O60" s="176">
        <f t="shared" si="101"/>
        <v>11.334180138568129</v>
      </c>
      <c r="P60" s="176">
        <f t="shared" si="71"/>
        <v>2.7202032332563508</v>
      </c>
      <c r="Q60" s="221">
        <f t="shared" si="6"/>
        <v>2.2668360277136257</v>
      </c>
      <c r="R60" s="221">
        <f t="shared" si="72"/>
        <v>2.2668360277136257</v>
      </c>
      <c r="S60" s="451">
        <f t="shared" si="73"/>
        <v>5</v>
      </c>
      <c r="T60" s="221">
        <f t="shared" si="74"/>
        <v>0.99477861319966576</v>
      </c>
      <c r="U60" s="221">
        <f t="shared" si="10"/>
        <v>0.29014376218323584</v>
      </c>
      <c r="V60" s="221">
        <f t="shared" si="11"/>
        <v>0.65445961394714847</v>
      </c>
      <c r="W60" s="201">
        <f t="shared" si="12"/>
        <v>350</v>
      </c>
      <c r="X60" s="451">
        <f t="shared" si="52"/>
        <v>350</v>
      </c>
      <c r="Z60" s="221">
        <f t="shared" si="13"/>
        <v>3.0089079511712309</v>
      </c>
      <c r="AA60" s="177">
        <f t="shared" si="14"/>
        <v>1.9795447047179149</v>
      </c>
      <c r="AB60" s="177">
        <f t="shared" si="75"/>
        <v>2.0846937306036244</v>
      </c>
      <c r="AC60" s="177"/>
      <c r="AD60" s="177">
        <f t="shared" si="16"/>
        <v>0.53947368421052622</v>
      </c>
      <c r="AE60" s="555">
        <f t="shared" si="76"/>
        <v>1243.3075550267702</v>
      </c>
      <c r="AF60" s="538">
        <f t="shared" si="77"/>
        <v>0.15482894736842101</v>
      </c>
      <c r="AH60" s="177">
        <f t="shared" si="78"/>
        <v>1.6413036132965795</v>
      </c>
      <c r="AI60" s="177">
        <f t="shared" si="79"/>
        <v>1.6413036132965795</v>
      </c>
      <c r="AJ60" s="177">
        <f t="shared" si="80"/>
        <v>1.8083730468863553</v>
      </c>
      <c r="AL60" s="555">
        <f t="shared" si="81"/>
        <v>550</v>
      </c>
      <c r="AM60" s="469">
        <f t="shared" si="82"/>
        <v>350</v>
      </c>
      <c r="AO60">
        <f t="shared" si="53"/>
        <v>550</v>
      </c>
      <c r="AP60">
        <f t="shared" si="24"/>
        <v>350</v>
      </c>
      <c r="AR60" s="5">
        <f t="shared" si="54"/>
        <v>2.8571428571428572</v>
      </c>
      <c r="AS60" s="5">
        <f t="shared" si="25"/>
        <v>0.47871355387816905</v>
      </c>
      <c r="AT60" s="5">
        <f t="shared" si="55"/>
        <v>2.3784293032646882</v>
      </c>
      <c r="AU60" s="177">
        <f t="shared" si="56"/>
        <v>0.16754974385735916</v>
      </c>
      <c r="AW60" s="5">
        <f t="shared" si="83"/>
        <v>12.458288888888889</v>
      </c>
      <c r="AX60" s="5">
        <f t="shared" si="84"/>
        <v>3.534316194444445</v>
      </c>
      <c r="AY60" s="5">
        <f t="shared" si="85"/>
        <v>0.49833155555555569</v>
      </c>
      <c r="AZ60" s="5">
        <f t="shared" si="86"/>
        <v>0.56260294444444459</v>
      </c>
      <c r="BA60" s="5">
        <f t="shared" si="87"/>
        <v>0.30280928629527271</v>
      </c>
      <c r="BB60" s="469">
        <f t="shared" si="88"/>
        <v>36.79544768876606</v>
      </c>
      <c r="BC60" s="5"/>
      <c r="BD60" s="177">
        <f t="shared" si="57"/>
        <v>0.38788249666471558</v>
      </c>
      <c r="BE60" s="177">
        <f t="shared" si="89"/>
        <v>1.7291689940021666</v>
      </c>
      <c r="BF60" s="177">
        <f t="shared" si="90"/>
        <v>0.34583379880043336</v>
      </c>
      <c r="BG60" s="177"/>
      <c r="BH60" s="538">
        <f t="shared" si="34"/>
        <v>1.654981143407384E-2</v>
      </c>
      <c r="BI60" s="538">
        <f t="shared" si="35"/>
        <v>9.9495825038038666E-2</v>
      </c>
      <c r="BJ60" s="538">
        <f t="shared" si="36"/>
        <v>1.7499999999999998E-2</v>
      </c>
      <c r="BK60" s="538">
        <f t="shared" si="37"/>
        <v>9.4494456000000004E-2</v>
      </c>
      <c r="BL60">
        <f t="shared" si="38"/>
        <v>6.96E-3</v>
      </c>
      <c r="BM60">
        <f t="shared" si="91"/>
        <v>6.6500000000000004E-5</v>
      </c>
      <c r="BN60">
        <f t="shared" si="92"/>
        <v>0.23802762012198517</v>
      </c>
      <c r="BO60" s="469">
        <f t="shared" si="58"/>
        <v>238.02762012198517</v>
      </c>
      <c r="BP60" s="177">
        <f t="shared" si="93"/>
        <v>0.4385379413101308</v>
      </c>
      <c r="BQ60" s="177">
        <f t="shared" si="94"/>
        <v>5.1157517652405241E-2</v>
      </c>
      <c r="BR60" s="538"/>
      <c r="BT60" s="469">
        <f t="shared" si="59"/>
        <v>489.69545896253601</v>
      </c>
      <c r="BU60" s="538">
        <f t="shared" si="43"/>
        <v>1.5045283121885309E-2</v>
      </c>
      <c r="BV60" s="538">
        <f t="shared" si="60"/>
        <v>8.9700762294553954E-2</v>
      </c>
      <c r="BW60" s="538">
        <f t="shared" si="95"/>
        <v>5.9800508196369319E-3</v>
      </c>
      <c r="BX60" s="538">
        <f t="shared" si="45"/>
        <v>0</v>
      </c>
      <c r="BY60" s="538">
        <f t="shared" si="96"/>
        <v>0.12512156558538259</v>
      </c>
      <c r="BZ60" s="538">
        <f t="shared" si="61"/>
        <v>0.1107260962360762</v>
      </c>
      <c r="CA60" s="641">
        <f t="shared" si="97"/>
        <v>4.7142857142857139E-2</v>
      </c>
      <c r="CB60" s="469">
        <f t="shared" si="62"/>
        <v>172.26442272823971</v>
      </c>
      <c r="CC60" s="177">
        <f t="shared" si="63"/>
        <v>0.89998750181276099</v>
      </c>
      <c r="CD60" s="5">
        <f t="shared" si="64"/>
        <v>3.3</v>
      </c>
      <c r="CE60" s="177">
        <f t="shared" si="65"/>
        <v>0.78571662381749563</v>
      </c>
      <c r="CF60" s="5">
        <f t="shared" si="66"/>
        <v>78.571662381749562</v>
      </c>
      <c r="CG60">
        <f t="shared" si="102"/>
        <v>55.000000000000007</v>
      </c>
      <c r="CI60" s="571">
        <f t="shared" si="98"/>
        <v>-50</v>
      </c>
      <c r="CJ60">
        <f t="shared" si="99"/>
        <v>-50</v>
      </c>
    </row>
    <row r="61" spans="5:88" x14ac:dyDescent="0.2">
      <c r="E61" s="174">
        <v>56</v>
      </c>
      <c r="F61" s="221">
        <f t="shared" si="103"/>
        <v>0.56000000000000005</v>
      </c>
      <c r="G61" s="221">
        <f t="shared" si="100"/>
        <v>0.11200000000000002</v>
      </c>
      <c r="H61" s="221">
        <f t="shared" si="70"/>
        <v>2.8000000000000003</v>
      </c>
      <c r="I61" s="221">
        <f t="shared" si="104"/>
        <v>0.56000000000000005</v>
      </c>
      <c r="J61" s="551">
        <f t="shared" si="1"/>
        <v>24</v>
      </c>
      <c r="K61" s="451">
        <f t="shared" si="2"/>
        <v>10.64</v>
      </c>
      <c r="L61" s="451">
        <f t="shared" si="3"/>
        <v>34.64</v>
      </c>
      <c r="M61" s="451"/>
      <c r="N61" s="221">
        <f t="shared" si="4"/>
        <v>0.30715935334872979</v>
      </c>
      <c r="O61" s="176">
        <f t="shared" si="101"/>
        <v>11.334180138568129</v>
      </c>
      <c r="P61" s="176">
        <f t="shared" si="71"/>
        <v>2.7202032332563508</v>
      </c>
      <c r="Q61" s="221">
        <f t="shared" si="6"/>
        <v>2.2668360277136257</v>
      </c>
      <c r="R61" s="221">
        <f t="shared" si="72"/>
        <v>2.2668360277136257</v>
      </c>
      <c r="S61" s="451">
        <f t="shared" si="73"/>
        <v>5</v>
      </c>
      <c r="T61" s="221">
        <f t="shared" si="74"/>
        <v>1.0128654970760234</v>
      </c>
      <c r="U61" s="221">
        <f t="shared" si="10"/>
        <v>0.29541910331384019</v>
      </c>
      <c r="V61" s="221">
        <f t="shared" si="11"/>
        <v>0.6663588796552784</v>
      </c>
      <c r="W61" s="201">
        <f t="shared" si="12"/>
        <v>350</v>
      </c>
      <c r="X61" s="451">
        <f t="shared" si="52"/>
        <v>350</v>
      </c>
      <c r="Z61" s="221">
        <f t="shared" si="13"/>
        <v>3.0089079511712309</v>
      </c>
      <c r="AA61" s="177">
        <f t="shared" si="14"/>
        <v>1.9795447047179149</v>
      </c>
      <c r="AB61" s="177">
        <f t="shared" si="75"/>
        <v>2.0846937306036244</v>
      </c>
      <c r="AC61" s="177"/>
      <c r="AD61" s="177">
        <f t="shared" si="16"/>
        <v>0.53947368421052622</v>
      </c>
      <c r="AE61" s="555">
        <f t="shared" si="76"/>
        <v>1265.9131469363476</v>
      </c>
      <c r="AF61" s="538">
        <f t="shared" si="77"/>
        <v>0.15482894736842101</v>
      </c>
      <c r="AH61" s="177">
        <f t="shared" si="78"/>
        <v>1.65615734242165</v>
      </c>
      <c r="AI61" s="177">
        <f t="shared" si="79"/>
        <v>1.65615734242165</v>
      </c>
      <c r="AJ61" s="177">
        <f t="shared" si="80"/>
        <v>1.8193758092012222</v>
      </c>
      <c r="AL61" s="555">
        <f t="shared" si="81"/>
        <v>560</v>
      </c>
      <c r="AM61" s="469">
        <f t="shared" si="82"/>
        <v>350</v>
      </c>
      <c r="AO61">
        <f t="shared" si="53"/>
        <v>560</v>
      </c>
      <c r="AP61">
        <f t="shared" si="24"/>
        <v>350</v>
      </c>
      <c r="AR61" s="5">
        <f t="shared" si="54"/>
        <v>2.8571428571428572</v>
      </c>
      <c r="AS61" s="5">
        <f t="shared" si="25"/>
        <v>0.483045891539648</v>
      </c>
      <c r="AT61" s="5">
        <f t="shared" si="55"/>
        <v>2.3740969656032092</v>
      </c>
      <c r="AU61" s="177">
        <f t="shared" si="56"/>
        <v>0.16906606203887681</v>
      </c>
      <c r="AW61" s="5">
        <f t="shared" si="83"/>
        <v>12.458288888888889</v>
      </c>
      <c r="AX61" s="5">
        <f t="shared" si="84"/>
        <v>3.633459697777778</v>
      </c>
      <c r="AY61" s="5">
        <f t="shared" si="85"/>
        <v>0.49833155555555569</v>
      </c>
      <c r="AZ61" s="5">
        <f t="shared" si="86"/>
        <v>0.57917449050505065</v>
      </c>
      <c r="BA61" s="5">
        <f t="shared" si="87"/>
        <v>0.30775331035597153</v>
      </c>
      <c r="BB61" s="469">
        <f t="shared" si="88"/>
        <v>37.397063909383249</v>
      </c>
      <c r="BC61" s="5"/>
      <c r="BD61" s="177">
        <f t="shared" si="57"/>
        <v>0.39315987243446826</v>
      </c>
      <c r="BE61" s="177">
        <f t="shared" si="89"/>
        <v>1.7432280734235859</v>
      </c>
      <c r="BF61" s="177">
        <f t="shared" si="90"/>
        <v>0.34864561468471722</v>
      </c>
      <c r="BG61" s="177"/>
      <c r="BH61" s="538">
        <f t="shared" si="34"/>
        <v>1.7003215382195611E-2</v>
      </c>
      <c r="BI61" s="538">
        <f t="shared" si="35"/>
        <v>0.10039625809760042</v>
      </c>
      <c r="BJ61" s="538">
        <f t="shared" si="36"/>
        <v>1.7499999999999998E-2</v>
      </c>
      <c r="BK61" s="538">
        <f t="shared" si="37"/>
        <v>9.4494456000000004E-2</v>
      </c>
      <c r="BL61">
        <f t="shared" si="38"/>
        <v>6.96E-3</v>
      </c>
      <c r="BM61">
        <f t="shared" si="91"/>
        <v>6.6500000000000004E-5</v>
      </c>
      <c r="BN61">
        <f t="shared" si="92"/>
        <v>0.23946709415820325</v>
      </c>
      <c r="BO61" s="469">
        <f t="shared" si="58"/>
        <v>239.46709415820325</v>
      </c>
      <c r="BP61" s="177">
        <f t="shared" si="93"/>
        <v>0.44608769046026908</v>
      </c>
      <c r="BQ61" s="177">
        <f t="shared" si="94"/>
        <v>5.2070707618410768E-2</v>
      </c>
      <c r="BR61" s="538"/>
      <c r="BT61" s="469">
        <f t="shared" si="59"/>
        <v>498.15839807867985</v>
      </c>
      <c r="BU61" s="538">
        <f t="shared" si="43"/>
        <v>1.5457468529268737E-2</v>
      </c>
      <c r="BV61" s="538">
        <f t="shared" si="60"/>
        <v>9.1165323479163216E-2</v>
      </c>
      <c r="BW61" s="538">
        <f t="shared" si="95"/>
        <v>6.0776882319442151E-3</v>
      </c>
      <c r="BX61" s="538">
        <f t="shared" si="45"/>
        <v>0</v>
      </c>
      <c r="BY61" s="538">
        <f t="shared" si="96"/>
        <v>0.12737293716426451</v>
      </c>
      <c r="BZ61" s="538">
        <f t="shared" si="61"/>
        <v>0.11270048024037617</v>
      </c>
      <c r="CA61" s="641">
        <f t="shared" si="97"/>
        <v>4.8000000000000001E-2</v>
      </c>
      <c r="CB61" s="469">
        <f t="shared" si="62"/>
        <v>175.3729371642645</v>
      </c>
      <c r="CC61" s="177">
        <f t="shared" si="63"/>
        <v>0.91299842940114773</v>
      </c>
      <c r="CD61" s="5">
        <f t="shared" si="64"/>
        <v>3.3600000000000003</v>
      </c>
      <c r="CE61" s="177">
        <f t="shared" si="65"/>
        <v>0.78633307629623861</v>
      </c>
      <c r="CF61" s="5">
        <f t="shared" si="66"/>
        <v>78.633307629623857</v>
      </c>
      <c r="CG61">
        <f t="shared" si="102"/>
        <v>56.000000000000007</v>
      </c>
      <c r="CI61" s="571">
        <f t="shared" si="98"/>
        <v>-50</v>
      </c>
      <c r="CJ61">
        <f t="shared" si="99"/>
        <v>-50</v>
      </c>
    </row>
    <row r="62" spans="5:88" x14ac:dyDescent="0.2">
      <c r="E62" s="174">
        <v>57</v>
      </c>
      <c r="F62" s="221">
        <f t="shared" si="103"/>
        <v>0.56999999999999995</v>
      </c>
      <c r="G62" s="221">
        <f t="shared" si="100"/>
        <v>0.11399999999999999</v>
      </c>
      <c r="H62" s="221">
        <f t="shared" si="70"/>
        <v>2.8499999999999996</v>
      </c>
      <c r="I62" s="221">
        <f t="shared" si="104"/>
        <v>0.56999999999999995</v>
      </c>
      <c r="J62" s="551">
        <f t="shared" si="1"/>
        <v>24</v>
      </c>
      <c r="K62" s="451">
        <f t="shared" si="2"/>
        <v>10.64</v>
      </c>
      <c r="L62" s="451">
        <f t="shared" si="3"/>
        <v>34.64</v>
      </c>
      <c r="M62" s="451"/>
      <c r="N62" s="221">
        <f t="shared" si="4"/>
        <v>0.30715935334872979</v>
      </c>
      <c r="O62" s="176">
        <f t="shared" si="101"/>
        <v>11.334180138568129</v>
      </c>
      <c r="P62" s="176">
        <f t="shared" si="71"/>
        <v>2.7202032332563508</v>
      </c>
      <c r="Q62" s="221">
        <f t="shared" si="6"/>
        <v>2.2668360277136257</v>
      </c>
      <c r="R62" s="221">
        <f t="shared" si="72"/>
        <v>2.2668360277136257</v>
      </c>
      <c r="S62" s="451">
        <f t="shared" si="73"/>
        <v>5</v>
      </c>
      <c r="T62" s="221">
        <f t="shared" si="74"/>
        <v>1.0309523809523808</v>
      </c>
      <c r="U62" s="221">
        <f t="shared" si="10"/>
        <v>0.30069444444444438</v>
      </c>
      <c r="V62" s="221">
        <f t="shared" si="11"/>
        <v>0.67825814536340845</v>
      </c>
      <c r="W62" s="201">
        <f t="shared" si="12"/>
        <v>350</v>
      </c>
      <c r="X62" s="451">
        <f t="shared" si="52"/>
        <v>350</v>
      </c>
      <c r="Z62" s="221">
        <f t="shared" si="13"/>
        <v>3.0089079511712309</v>
      </c>
      <c r="AA62" s="177">
        <f t="shared" si="14"/>
        <v>1.9795447047179149</v>
      </c>
      <c r="AB62" s="177">
        <f t="shared" si="75"/>
        <v>2.0846937306036244</v>
      </c>
      <c r="AC62" s="177"/>
      <c r="AD62" s="177">
        <f t="shared" si="16"/>
        <v>0.53947368421052622</v>
      </c>
      <c r="AE62" s="555">
        <f t="shared" si="76"/>
        <v>1288.5187388459251</v>
      </c>
      <c r="AF62" s="538">
        <f t="shared" si="77"/>
        <v>0.15482894736842101</v>
      </c>
      <c r="AH62" s="177">
        <f t="shared" si="78"/>
        <v>1.6708790305386794</v>
      </c>
      <c r="AI62" s="177">
        <f t="shared" si="79"/>
        <v>1.6708790305386794</v>
      </c>
      <c r="AJ62" s="177">
        <f t="shared" si="80"/>
        <v>1.8302807633619846</v>
      </c>
      <c r="AL62" s="555">
        <f t="shared" si="81"/>
        <v>570</v>
      </c>
      <c r="AM62" s="469">
        <f t="shared" si="82"/>
        <v>350</v>
      </c>
      <c r="AO62">
        <f t="shared" si="53"/>
        <v>570</v>
      </c>
      <c r="AP62">
        <f t="shared" si="24"/>
        <v>350</v>
      </c>
      <c r="AR62" s="5">
        <f t="shared" si="54"/>
        <v>2.8571428571428572</v>
      </c>
      <c r="AS62" s="5">
        <f t="shared" si="25"/>
        <v>0.48733971724044817</v>
      </c>
      <c r="AT62" s="5">
        <f t="shared" si="55"/>
        <v>2.3698031399024089</v>
      </c>
      <c r="AU62" s="177">
        <f t="shared" si="56"/>
        <v>0.17056890103415687</v>
      </c>
      <c r="AW62" s="5">
        <f t="shared" si="83"/>
        <v>12.458288888888889</v>
      </c>
      <c r="AX62" s="5">
        <f t="shared" si="84"/>
        <v>3.7338490299999991</v>
      </c>
      <c r="AY62" s="5">
        <f t="shared" si="85"/>
        <v>0.49833155555555569</v>
      </c>
      <c r="AZ62" s="5">
        <f t="shared" si="86"/>
        <v>0.59597255090909074</v>
      </c>
      <c r="BA62" s="5">
        <f t="shared" si="87"/>
        <v>0.31268235873712324</v>
      </c>
      <c r="BB62" s="469">
        <f t="shared" si="88"/>
        <v>37.996883048454812</v>
      </c>
      <c r="BC62" s="5"/>
      <c r="BD62" s="177">
        <f t="shared" si="57"/>
        <v>0.39841373959889304</v>
      </c>
      <c r="BE62" s="177">
        <f t="shared" si="89"/>
        <v>1.7571325926028287</v>
      </c>
      <c r="BF62" s="177">
        <f t="shared" si="90"/>
        <v>0.35142651852056578</v>
      </c>
      <c r="BG62" s="177"/>
      <c r="BH62" s="538">
        <f t="shared" si="34"/>
        <v>1.7460685869129199E-2</v>
      </c>
      <c r="BI62" s="538">
        <f t="shared" si="35"/>
        <v>0.10128868683125473</v>
      </c>
      <c r="BJ62" s="538">
        <f t="shared" si="36"/>
        <v>1.7499999999999998E-2</v>
      </c>
      <c r="BK62" s="538">
        <f t="shared" si="37"/>
        <v>9.4494456000000004E-2</v>
      </c>
      <c r="BL62">
        <f t="shared" si="38"/>
        <v>6.96E-3</v>
      </c>
      <c r="BM62">
        <f t="shared" si="91"/>
        <v>6.6500000000000004E-5</v>
      </c>
      <c r="BN62">
        <f t="shared" si="92"/>
        <v>0.24090359137950662</v>
      </c>
      <c r="BO62" s="469">
        <f t="shared" si="58"/>
        <v>240.90359137950662</v>
      </c>
      <c r="BP62" s="177">
        <f t="shared" si="93"/>
        <v>0.45362614202621743</v>
      </c>
      <c r="BQ62" s="177">
        <f t="shared" si="94"/>
        <v>5.2983445681048701E-2</v>
      </c>
      <c r="BR62" s="538"/>
      <c r="BT62" s="469">
        <f t="shared" si="59"/>
        <v>506.60958770726614</v>
      </c>
      <c r="BU62" s="538">
        <f t="shared" si="43"/>
        <v>1.5873350790117455E-2</v>
      </c>
      <c r="BV62" s="538">
        <f t="shared" si="60"/>
        <v>9.262544843961415E-2</v>
      </c>
      <c r="BW62" s="538">
        <f t="shared" si="95"/>
        <v>6.1750298959742786E-3</v>
      </c>
      <c r="BX62" s="538">
        <f t="shared" si="45"/>
        <v>0</v>
      </c>
      <c r="BY62" s="538">
        <f t="shared" si="96"/>
        <v>0.12962384563882287</v>
      </c>
      <c r="BZ62" s="538">
        <f t="shared" si="61"/>
        <v>0.11467382912570588</v>
      </c>
      <c r="CA62" s="641">
        <f t="shared" si="97"/>
        <v>4.8857142857142856E-2</v>
      </c>
      <c r="CB62" s="469">
        <f t="shared" si="62"/>
        <v>178.48098849596573</v>
      </c>
      <c r="CC62" s="177">
        <f t="shared" si="63"/>
        <v>0.92599416758273856</v>
      </c>
      <c r="CD62" s="5">
        <f t="shared" si="64"/>
        <v>3.4199999999999995</v>
      </c>
      <c r="CE62" s="177">
        <f t="shared" si="65"/>
        <v>0.78693156689214316</v>
      </c>
      <c r="CF62" s="5">
        <f t="shared" si="66"/>
        <v>78.693156689214319</v>
      </c>
      <c r="CG62">
        <f t="shared" si="102"/>
        <v>56.999999999999993</v>
      </c>
      <c r="CI62" s="571">
        <f t="shared" si="98"/>
        <v>-50</v>
      </c>
      <c r="CJ62">
        <f t="shared" si="99"/>
        <v>-50</v>
      </c>
    </row>
    <row r="63" spans="5:88" x14ac:dyDescent="0.2">
      <c r="E63" s="174">
        <v>58</v>
      </c>
      <c r="F63" s="221">
        <f t="shared" si="103"/>
        <v>0.57999999999999996</v>
      </c>
      <c r="G63" s="221">
        <f t="shared" si="100"/>
        <v>0.11599999999999999</v>
      </c>
      <c r="H63" s="221">
        <f t="shared" si="70"/>
        <v>2.9</v>
      </c>
      <c r="I63" s="221">
        <f t="shared" si="104"/>
        <v>0.57999999999999996</v>
      </c>
      <c r="J63" s="551">
        <f t="shared" si="1"/>
        <v>24</v>
      </c>
      <c r="K63" s="451">
        <f t="shared" si="2"/>
        <v>10.64</v>
      </c>
      <c r="L63" s="451">
        <f t="shared" si="3"/>
        <v>34.64</v>
      </c>
      <c r="M63" s="451"/>
      <c r="N63" s="221">
        <f t="shared" si="4"/>
        <v>0.30715935334872979</v>
      </c>
      <c r="O63" s="176">
        <f t="shared" si="101"/>
        <v>11.334180138568129</v>
      </c>
      <c r="P63" s="176">
        <f t="shared" si="71"/>
        <v>2.7202032332563508</v>
      </c>
      <c r="Q63" s="221">
        <f t="shared" si="6"/>
        <v>2.2668360277136257</v>
      </c>
      <c r="R63" s="221">
        <f t="shared" si="72"/>
        <v>2.2668360277136257</v>
      </c>
      <c r="S63" s="451">
        <f t="shared" si="73"/>
        <v>5</v>
      </c>
      <c r="T63" s="221">
        <f t="shared" si="74"/>
        <v>1.0490392648287385</v>
      </c>
      <c r="U63" s="221">
        <f t="shared" si="10"/>
        <v>0.30596978557504878</v>
      </c>
      <c r="V63" s="221">
        <f t="shared" si="11"/>
        <v>0.69015741107153861</v>
      </c>
      <c r="W63" s="201">
        <f t="shared" si="12"/>
        <v>350</v>
      </c>
      <c r="X63" s="451">
        <f t="shared" si="52"/>
        <v>350</v>
      </c>
      <c r="Z63" s="221">
        <f t="shared" si="13"/>
        <v>3.0089079511712309</v>
      </c>
      <c r="AA63" s="177">
        <f t="shared" si="14"/>
        <v>1.9795447047179149</v>
      </c>
      <c r="AB63" s="177">
        <f t="shared" si="75"/>
        <v>2.0846937306036244</v>
      </c>
      <c r="AC63" s="177"/>
      <c r="AD63" s="177">
        <f t="shared" si="16"/>
        <v>0.53947368421052622</v>
      </c>
      <c r="AE63" s="555">
        <f t="shared" si="76"/>
        <v>1311.124330755503</v>
      </c>
      <c r="AF63" s="538">
        <f t="shared" si="77"/>
        <v>0.15482894736842101</v>
      </c>
      <c r="AH63" s="177">
        <f t="shared" si="78"/>
        <v>1.6854721375717285</v>
      </c>
      <c r="AI63" s="177">
        <f t="shared" si="79"/>
        <v>1.6854721375717285</v>
      </c>
      <c r="AJ63" s="177">
        <f t="shared" si="80"/>
        <v>1.8410904722753545</v>
      </c>
      <c r="AL63" s="555">
        <f t="shared" si="81"/>
        <v>580</v>
      </c>
      <c r="AM63" s="469">
        <f t="shared" si="82"/>
        <v>350</v>
      </c>
      <c r="AO63">
        <f t="shared" si="53"/>
        <v>580</v>
      </c>
      <c r="AP63">
        <f t="shared" si="24"/>
        <v>350</v>
      </c>
      <c r="AR63" s="5">
        <f t="shared" si="54"/>
        <v>2.8571428571428572</v>
      </c>
      <c r="AS63" s="5">
        <f t="shared" si="25"/>
        <v>0.49159604012508751</v>
      </c>
      <c r="AT63" s="5">
        <f t="shared" si="55"/>
        <v>2.3655468170177696</v>
      </c>
      <c r="AU63" s="177">
        <f t="shared" si="56"/>
        <v>0.17205861404378062</v>
      </c>
      <c r="AW63" s="5">
        <f t="shared" si="83"/>
        <v>12.458288888888889</v>
      </c>
      <c r="AX63" s="5">
        <f t="shared" si="84"/>
        <v>3.8354841911111106</v>
      </c>
      <c r="AY63" s="5">
        <f t="shared" si="85"/>
        <v>0.49833155555555569</v>
      </c>
      <c r="AZ63" s="5">
        <f t="shared" si="86"/>
        <v>0.61299712565656561</v>
      </c>
      <c r="BA63" s="5">
        <f t="shared" si="87"/>
        <v>0.3175965633959042</v>
      </c>
      <c r="BB63" s="469">
        <f t="shared" si="88"/>
        <v>38.594920940841838</v>
      </c>
      <c r="BC63" s="5"/>
      <c r="BD63" s="177">
        <f t="shared" si="57"/>
        <v>0.40364461262179679</v>
      </c>
      <c r="BE63" s="177">
        <f t="shared" si="89"/>
        <v>1.7708865601292516</v>
      </c>
      <c r="BF63" s="177">
        <f t="shared" si="90"/>
        <v>0.35417731202585034</v>
      </c>
      <c r="BG63" s="177"/>
      <c r="BH63" s="538">
        <f t="shared" si="34"/>
        <v>1.7922187062846043E-2</v>
      </c>
      <c r="BI63" s="538">
        <f t="shared" si="35"/>
        <v>0.10217332097959821</v>
      </c>
      <c r="BJ63" s="538">
        <f t="shared" si="36"/>
        <v>1.7499999999999998E-2</v>
      </c>
      <c r="BK63" s="538">
        <f t="shared" si="37"/>
        <v>9.4494456000000004E-2</v>
      </c>
      <c r="BL63">
        <f t="shared" si="38"/>
        <v>6.96E-3</v>
      </c>
      <c r="BM63">
        <f t="shared" si="91"/>
        <v>6.6500000000000004E-5</v>
      </c>
      <c r="BN63">
        <f t="shared" si="92"/>
        <v>0.24233728229842164</v>
      </c>
      <c r="BO63" s="469">
        <f t="shared" si="58"/>
        <v>242.33728229842163</v>
      </c>
      <c r="BP63" s="177">
        <f t="shared" si="93"/>
        <v>0.46115339555586599</v>
      </c>
      <c r="BQ63" s="177">
        <f t="shared" si="94"/>
        <v>5.3895735822234642E-2</v>
      </c>
      <c r="BR63" s="538"/>
      <c r="BT63" s="469">
        <f t="shared" si="59"/>
        <v>515.04913137810058</v>
      </c>
      <c r="BU63" s="538">
        <f t="shared" si="43"/>
        <v>1.6292897329860039E-2</v>
      </c>
      <c r="BV63" s="538">
        <f t="shared" si="60"/>
        <v>9.4081176265392391E-2</v>
      </c>
      <c r="BW63" s="538">
        <f t="shared" si="95"/>
        <v>6.2720784176928286E-3</v>
      </c>
      <c r="BX63" s="538">
        <f t="shared" si="45"/>
        <v>0</v>
      </c>
      <c r="BY63" s="538">
        <f t="shared" si="96"/>
        <v>0.13187430063194791</v>
      </c>
      <c r="BZ63" s="538">
        <f t="shared" si="61"/>
        <v>0.11664615201294526</v>
      </c>
      <c r="CA63" s="641">
        <f t="shared" si="97"/>
        <v>4.9714285714285711E-2</v>
      </c>
      <c r="CB63" s="469">
        <f t="shared" si="62"/>
        <v>181.58858634623363</v>
      </c>
      <c r="CC63" s="177">
        <f t="shared" si="63"/>
        <v>0.93897500002275591</v>
      </c>
      <c r="CD63" s="5">
        <f t="shared" si="64"/>
        <v>3.48</v>
      </c>
      <c r="CE63" s="177">
        <f t="shared" si="65"/>
        <v>0.78751294134546579</v>
      </c>
      <c r="CF63" s="5">
        <f t="shared" si="66"/>
        <v>78.751294134546583</v>
      </c>
      <c r="CG63">
        <f t="shared" si="102"/>
        <v>57.999999999999993</v>
      </c>
      <c r="CI63" s="571">
        <f t="shared" si="98"/>
        <v>-50</v>
      </c>
      <c r="CJ63">
        <f t="shared" si="99"/>
        <v>-50</v>
      </c>
    </row>
    <row r="64" spans="5:88" x14ac:dyDescent="0.2">
      <c r="E64" s="174">
        <v>59</v>
      </c>
      <c r="F64" s="221">
        <f t="shared" si="103"/>
        <v>0.59</v>
      </c>
      <c r="G64" s="221">
        <f t="shared" si="100"/>
        <v>0.11799999999999999</v>
      </c>
      <c r="H64" s="221">
        <f t="shared" si="70"/>
        <v>2.9499999999999997</v>
      </c>
      <c r="I64" s="221">
        <f t="shared" si="104"/>
        <v>0.59</v>
      </c>
      <c r="J64" s="551">
        <f t="shared" si="1"/>
        <v>24</v>
      </c>
      <c r="K64" s="451">
        <f t="shared" si="2"/>
        <v>10.64</v>
      </c>
      <c r="L64" s="451">
        <f t="shared" si="3"/>
        <v>34.64</v>
      </c>
      <c r="M64" s="451"/>
      <c r="N64" s="221">
        <f t="shared" si="4"/>
        <v>0.30715935334872979</v>
      </c>
      <c r="O64" s="176">
        <f t="shared" si="101"/>
        <v>11.334180138568129</v>
      </c>
      <c r="P64" s="176">
        <f t="shared" si="71"/>
        <v>2.7202032332563508</v>
      </c>
      <c r="Q64" s="221">
        <f t="shared" si="6"/>
        <v>2.2668360277136257</v>
      </c>
      <c r="R64" s="221">
        <f t="shared" si="72"/>
        <v>2.2668360277136257</v>
      </c>
      <c r="S64" s="451">
        <f t="shared" si="73"/>
        <v>5</v>
      </c>
      <c r="T64" s="221">
        <f t="shared" si="74"/>
        <v>1.067126148705096</v>
      </c>
      <c r="U64" s="221">
        <f t="shared" si="10"/>
        <v>0.31124512670565302</v>
      </c>
      <c r="V64" s="221">
        <f t="shared" si="11"/>
        <v>0.70205667677966843</v>
      </c>
      <c r="W64" s="201">
        <f t="shared" si="12"/>
        <v>350</v>
      </c>
      <c r="X64" s="451">
        <f t="shared" si="52"/>
        <v>350</v>
      </c>
      <c r="Z64" s="221">
        <f t="shared" si="13"/>
        <v>3.0089079511712309</v>
      </c>
      <c r="AA64" s="177">
        <f t="shared" si="14"/>
        <v>1.9795447047179149</v>
      </c>
      <c r="AB64" s="177">
        <f t="shared" si="75"/>
        <v>2.0846937306036244</v>
      </c>
      <c r="AC64" s="177"/>
      <c r="AD64" s="177">
        <f t="shared" si="16"/>
        <v>0.53947368421052622</v>
      </c>
      <c r="AE64" s="555">
        <f t="shared" si="76"/>
        <v>1333.7299226650805</v>
      </c>
      <c r="AF64" s="538">
        <f t="shared" si="77"/>
        <v>0.15482894736842101</v>
      </c>
      <c r="AH64" s="177">
        <f t="shared" si="78"/>
        <v>1.6999399749306876</v>
      </c>
      <c r="AI64" s="177">
        <f t="shared" si="79"/>
        <v>1.6999399749306876</v>
      </c>
      <c r="AJ64" s="177">
        <f t="shared" si="80"/>
        <v>1.8518073888375464</v>
      </c>
      <c r="AL64" s="555">
        <f t="shared" si="81"/>
        <v>590</v>
      </c>
      <c r="AM64" s="469">
        <f t="shared" si="82"/>
        <v>350</v>
      </c>
      <c r="AO64">
        <f t="shared" si="53"/>
        <v>590</v>
      </c>
      <c r="AP64">
        <f t="shared" si="24"/>
        <v>350</v>
      </c>
      <c r="AR64" s="5">
        <f t="shared" si="54"/>
        <v>2.8571428571428572</v>
      </c>
      <c r="AS64" s="5">
        <f t="shared" si="25"/>
        <v>0.49581582602145058</v>
      </c>
      <c r="AT64" s="5">
        <f t="shared" si="55"/>
        <v>2.3613270311214065</v>
      </c>
      <c r="AU64" s="177">
        <f t="shared" si="56"/>
        <v>0.17353553910750769</v>
      </c>
      <c r="AW64" s="5">
        <f t="shared" si="83"/>
        <v>12.458288888888889</v>
      </c>
      <c r="AX64" s="5">
        <f t="shared" si="84"/>
        <v>3.9383651811111111</v>
      </c>
      <c r="AY64" s="5">
        <f t="shared" si="85"/>
        <v>0.49833155555555569</v>
      </c>
      <c r="AZ64" s="5">
        <f t="shared" si="86"/>
        <v>0.63024821474747483</v>
      </c>
      <c r="BA64" s="5">
        <f t="shared" si="87"/>
        <v>0.32249605286148825</v>
      </c>
      <c r="BB64" s="469">
        <f t="shared" si="88"/>
        <v>39.191193010045275</v>
      </c>
      <c r="BC64" s="5"/>
      <c r="BD64" s="177">
        <f t="shared" si="57"/>
        <v>0.40885298604940823</v>
      </c>
      <c r="BE64" s="177">
        <f t="shared" si="89"/>
        <v>1.7844938127333825</v>
      </c>
      <c r="BF64" s="177">
        <f t="shared" si="90"/>
        <v>0.35689876254667652</v>
      </c>
      <c r="BG64" s="177"/>
      <c r="BH64" s="538">
        <f t="shared" si="34"/>
        <v>1.8387684062166936E-2</v>
      </c>
      <c r="BI64" s="538">
        <f t="shared" si="35"/>
        <v>0.10305036128029829</v>
      </c>
      <c r="BJ64" s="538">
        <f t="shared" si="36"/>
        <v>1.7499999999999998E-2</v>
      </c>
      <c r="BK64" s="538">
        <f t="shared" si="37"/>
        <v>9.4494456000000004E-2</v>
      </c>
      <c r="BL64">
        <f t="shared" si="38"/>
        <v>6.96E-3</v>
      </c>
      <c r="BM64">
        <f t="shared" si="91"/>
        <v>6.6500000000000004E-5</v>
      </c>
      <c r="BN64">
        <f t="shared" si="92"/>
        <v>0.24376832950338917</v>
      </c>
      <c r="BO64" s="469">
        <f t="shared" si="58"/>
        <v>243.76832950338917</v>
      </c>
      <c r="BP64" s="177">
        <f t="shared" si="93"/>
        <v>0.4686695480110365</v>
      </c>
      <c r="BQ64" s="177">
        <f t="shared" si="94"/>
        <v>5.480758192044146E-2</v>
      </c>
      <c r="BR64" s="538"/>
      <c r="BT64" s="469">
        <f t="shared" si="59"/>
        <v>523.47712993147798</v>
      </c>
      <c r="BU64" s="538">
        <f t="shared" si="43"/>
        <v>1.671607642015176E-2</v>
      </c>
      <c r="BV64" s="538">
        <f t="shared" si="60"/>
        <v>9.5532545030511729E-2</v>
      </c>
      <c r="BW64" s="538">
        <f t="shared" si="95"/>
        <v>6.3688363353674492E-3</v>
      </c>
      <c r="BX64" s="538">
        <f t="shared" si="45"/>
        <v>0</v>
      </c>
      <c r="BY64" s="538">
        <f t="shared" si="96"/>
        <v>0.13412431150903492</v>
      </c>
      <c r="BZ64" s="538">
        <f t="shared" si="61"/>
        <v>0.11861745778603093</v>
      </c>
      <c r="CA64" s="641">
        <f t="shared" si="97"/>
        <v>5.0571428571428573E-2</v>
      </c>
      <c r="CB64" s="469">
        <f t="shared" si="62"/>
        <v>184.69574008046348</v>
      </c>
      <c r="CC64" s="177">
        <f t="shared" si="63"/>
        <v>0.95194119951533063</v>
      </c>
      <c r="CD64" s="5">
        <f t="shared" si="64"/>
        <v>3.5399999999999996</v>
      </c>
      <c r="CE64" s="177">
        <f t="shared" si="65"/>
        <v>0.78807799184503069</v>
      </c>
      <c r="CF64" s="5">
        <f t="shared" si="66"/>
        <v>78.807799184503068</v>
      </c>
      <c r="CG64">
        <f t="shared" si="102"/>
        <v>59</v>
      </c>
      <c r="CI64" s="571">
        <f t="shared" si="98"/>
        <v>-50</v>
      </c>
      <c r="CJ64">
        <f t="shared" si="99"/>
        <v>-50</v>
      </c>
    </row>
    <row r="65" spans="5:88" x14ac:dyDescent="0.2">
      <c r="E65" s="174">
        <v>60</v>
      </c>
      <c r="F65" s="221">
        <f t="shared" si="103"/>
        <v>0.6</v>
      </c>
      <c r="G65" s="221">
        <f t="shared" si="100"/>
        <v>0.12</v>
      </c>
      <c r="H65" s="221">
        <f t="shared" si="70"/>
        <v>3</v>
      </c>
      <c r="I65" s="221">
        <f t="shared" si="104"/>
        <v>0.6</v>
      </c>
      <c r="J65" s="551">
        <f t="shared" si="1"/>
        <v>24</v>
      </c>
      <c r="K65" s="451">
        <f t="shared" si="2"/>
        <v>10.64</v>
      </c>
      <c r="L65" s="451">
        <f t="shared" si="3"/>
        <v>34.64</v>
      </c>
      <c r="M65" s="451"/>
      <c r="N65" s="221">
        <f t="shared" si="4"/>
        <v>0.30715935334872979</v>
      </c>
      <c r="O65" s="176">
        <f t="shared" si="101"/>
        <v>11.334180138568129</v>
      </c>
      <c r="P65" s="176">
        <f t="shared" si="71"/>
        <v>2.7202032332563508</v>
      </c>
      <c r="Q65" s="221">
        <f t="shared" si="6"/>
        <v>2.2668360277136257</v>
      </c>
      <c r="R65" s="221">
        <f t="shared" si="72"/>
        <v>2.2668360277136257</v>
      </c>
      <c r="S65" s="451">
        <f t="shared" si="73"/>
        <v>5</v>
      </c>
      <c r="T65" s="221">
        <f t="shared" si="74"/>
        <v>1.0852130325814537</v>
      </c>
      <c r="U65" s="221">
        <f t="shared" si="10"/>
        <v>0.31652046783625737</v>
      </c>
      <c r="V65" s="221">
        <f t="shared" si="11"/>
        <v>0.71395594248779848</v>
      </c>
      <c r="W65" s="201">
        <f t="shared" si="12"/>
        <v>350</v>
      </c>
      <c r="X65" s="451">
        <f t="shared" si="52"/>
        <v>350</v>
      </c>
      <c r="Z65" s="221">
        <f t="shared" si="13"/>
        <v>3.0089079511712309</v>
      </c>
      <c r="AA65" s="177">
        <f t="shared" si="14"/>
        <v>1.9795447047179149</v>
      </c>
      <c r="AB65" s="177">
        <f t="shared" si="75"/>
        <v>2.0846937306036244</v>
      </c>
      <c r="AC65" s="177"/>
      <c r="AD65" s="177">
        <f t="shared" si="16"/>
        <v>0.53947368421052622</v>
      </c>
      <c r="AE65" s="555">
        <f t="shared" si="76"/>
        <v>1356.3355145746582</v>
      </c>
      <c r="AF65" s="538">
        <f t="shared" si="77"/>
        <v>0.15482894736842101</v>
      </c>
      <c r="AH65" s="177">
        <f t="shared" si="78"/>
        <v>1.7142857142857142</v>
      </c>
      <c r="AI65" s="177">
        <f t="shared" si="79"/>
        <v>1.7142857142857142</v>
      </c>
      <c r="AJ65" s="177">
        <f t="shared" si="80"/>
        <v>1.8624338624338623</v>
      </c>
      <c r="AL65" s="555">
        <f t="shared" si="81"/>
        <v>600</v>
      </c>
      <c r="AM65" s="469">
        <f t="shared" si="82"/>
        <v>350</v>
      </c>
      <c r="AO65">
        <f t="shared" si="53"/>
        <v>600</v>
      </c>
      <c r="AP65">
        <f t="shared" si="24"/>
        <v>350</v>
      </c>
      <c r="AR65" s="5">
        <f t="shared" si="54"/>
        <v>2.8571428571428572</v>
      </c>
      <c r="AS65" s="5">
        <f t="shared" si="25"/>
        <v>0.5</v>
      </c>
      <c r="AT65" s="5">
        <f t="shared" si="55"/>
        <v>2.3571428571428572</v>
      </c>
      <c r="AU65" s="177">
        <f t="shared" si="56"/>
        <v>0.17499999999999999</v>
      </c>
      <c r="AW65" s="5">
        <f t="shared" si="83"/>
        <v>12.458288888888889</v>
      </c>
      <c r="AX65" s="5">
        <f t="shared" si="84"/>
        <v>4.0424919999999993</v>
      </c>
      <c r="AY65" s="5">
        <f t="shared" si="85"/>
        <v>0.49833155555555569</v>
      </c>
      <c r="AZ65" s="5">
        <f t="shared" si="86"/>
        <v>0.64772581818181818</v>
      </c>
      <c r="BA65" s="5">
        <f t="shared" si="87"/>
        <v>0.32738095238095233</v>
      </c>
      <c r="BB65" s="469">
        <f t="shared" si="88"/>
        <v>39.785714285714285</v>
      </c>
      <c r="BC65" s="5"/>
      <c r="BD65" s="177">
        <f t="shared" si="57"/>
        <v>0.41403933560541251</v>
      </c>
      <c r="BE65" s="177">
        <f t="shared" si="89"/>
        <v>1.7979580254345451</v>
      </c>
      <c r="BF65" s="177">
        <f t="shared" si="90"/>
        <v>0.35959160508690902</v>
      </c>
      <c r="BG65" s="177"/>
      <c r="BH65" s="538">
        <f t="shared" si="34"/>
        <v>1.8857142857142854E-2</v>
      </c>
      <c r="BI65" s="538">
        <f t="shared" si="35"/>
        <v>0.10392</v>
      </c>
      <c r="BJ65" s="538">
        <f t="shared" si="36"/>
        <v>1.7499999999999998E-2</v>
      </c>
      <c r="BK65" s="538">
        <f t="shared" si="37"/>
        <v>9.4494456000000004E-2</v>
      </c>
      <c r="BL65">
        <f t="shared" si="38"/>
        <v>6.96E-3</v>
      </c>
      <c r="BM65">
        <f t="shared" si="91"/>
        <v>6.6500000000000004E-5</v>
      </c>
      <c r="BN65">
        <f t="shared" si="92"/>
        <v>0.24519688814483992</v>
      </c>
      <c r="BO65" s="469">
        <f t="shared" si="58"/>
        <v>245.19688814483993</v>
      </c>
      <c r="BP65" s="177">
        <f t="shared" si="93"/>
        <v>0.4761746938775509</v>
      </c>
      <c r="BQ65" s="177">
        <f t="shared" si="94"/>
        <v>5.5718987755102034E-2</v>
      </c>
      <c r="BR65" s="538"/>
      <c r="BT65" s="469">
        <f t="shared" si="59"/>
        <v>531.89368163265294</v>
      </c>
      <c r="BU65" s="538">
        <f t="shared" si="43"/>
        <v>1.714285714285714E-2</v>
      </c>
      <c r="BV65" s="538">
        <f t="shared" si="60"/>
        <v>9.6979591836734644E-2</v>
      </c>
      <c r="BW65" s="538">
        <f t="shared" si="95"/>
        <v>6.4653061224489777E-3</v>
      </c>
      <c r="BX65" s="538">
        <f t="shared" si="45"/>
        <v>0</v>
      </c>
      <c r="BY65" s="538">
        <f t="shared" si="96"/>
        <v>0.13637388738906855</v>
      </c>
      <c r="BZ65" s="538">
        <f t="shared" si="61"/>
        <v>0.12058775510204076</v>
      </c>
      <c r="CA65" s="641">
        <f t="shared" si="97"/>
        <v>5.1428571428571421E-2</v>
      </c>
      <c r="CB65" s="469">
        <f t="shared" si="62"/>
        <v>187.80245881763997</v>
      </c>
      <c r="CC65" s="177">
        <f t="shared" si="63"/>
        <v>0.96489302859513271</v>
      </c>
      <c r="CD65" s="5">
        <f t="shared" si="64"/>
        <v>3.6</v>
      </c>
      <c r="CE65" s="177">
        <f t="shared" si="65"/>
        <v>0.7886274612458809</v>
      </c>
      <c r="CF65" s="5">
        <f t="shared" si="66"/>
        <v>78.862746124588085</v>
      </c>
      <c r="CG65">
        <f t="shared" si="102"/>
        <v>60</v>
      </c>
      <c r="CI65" s="571">
        <f t="shared" si="98"/>
        <v>-50</v>
      </c>
      <c r="CJ65">
        <f t="shared" si="99"/>
        <v>-50</v>
      </c>
    </row>
    <row r="66" spans="5:88" x14ac:dyDescent="0.2">
      <c r="E66" s="174">
        <v>61</v>
      </c>
      <c r="F66" s="221">
        <f t="shared" si="103"/>
        <v>0.61</v>
      </c>
      <c r="G66" s="221">
        <f t="shared" si="100"/>
        <v>0.122</v>
      </c>
      <c r="H66" s="221">
        <f t="shared" si="70"/>
        <v>3.05</v>
      </c>
      <c r="I66" s="221">
        <f t="shared" si="104"/>
        <v>0.61</v>
      </c>
      <c r="J66" s="551">
        <f t="shared" si="1"/>
        <v>24</v>
      </c>
      <c r="K66" s="451">
        <f t="shared" si="2"/>
        <v>10.64</v>
      </c>
      <c r="L66" s="451">
        <f t="shared" si="3"/>
        <v>34.64</v>
      </c>
      <c r="M66" s="451"/>
      <c r="N66" s="221">
        <f t="shared" si="4"/>
        <v>0.30715935334872979</v>
      </c>
      <c r="O66" s="176">
        <f t="shared" si="101"/>
        <v>11.334180138568129</v>
      </c>
      <c r="P66" s="176">
        <f t="shared" si="71"/>
        <v>2.7202032332563508</v>
      </c>
      <c r="Q66" s="221">
        <f t="shared" si="6"/>
        <v>2.2668360277136257</v>
      </c>
      <c r="R66" s="221">
        <f t="shared" si="72"/>
        <v>2.2668360277136257</v>
      </c>
      <c r="S66" s="451">
        <f t="shared" si="73"/>
        <v>5</v>
      </c>
      <c r="T66" s="221">
        <f t="shared" si="74"/>
        <v>1.103299916457811</v>
      </c>
      <c r="U66" s="221">
        <f t="shared" si="10"/>
        <v>0.3217958089668615</v>
      </c>
      <c r="V66" s="221">
        <f t="shared" si="11"/>
        <v>0.72585520819592819</v>
      </c>
      <c r="W66" s="201">
        <f t="shared" si="12"/>
        <v>350</v>
      </c>
      <c r="X66" s="451">
        <f t="shared" si="52"/>
        <v>350</v>
      </c>
      <c r="Z66" s="221">
        <f t="shared" si="13"/>
        <v>3.0089079511712309</v>
      </c>
      <c r="AA66" s="177">
        <f t="shared" si="14"/>
        <v>1.9795447047179149</v>
      </c>
      <c r="AB66" s="177">
        <f t="shared" si="75"/>
        <v>2.0846937306036244</v>
      </c>
      <c r="AC66" s="177"/>
      <c r="AD66" s="177">
        <f t="shared" si="16"/>
        <v>0.53947368421052622</v>
      </c>
      <c r="AE66" s="555">
        <f t="shared" si="76"/>
        <v>1378.9411064842357</v>
      </c>
      <c r="AF66" s="538">
        <f t="shared" si="77"/>
        <v>0.15482894736842101</v>
      </c>
      <c r="AH66" s="177">
        <f t="shared" si="78"/>
        <v>1.7285123956861912</v>
      </c>
      <c r="AI66" s="177">
        <f t="shared" si="79"/>
        <v>1.7285123956861912</v>
      </c>
      <c r="AJ66" s="177">
        <f t="shared" si="80"/>
        <v>1.8729721449527341</v>
      </c>
      <c r="AL66" s="555">
        <f t="shared" si="81"/>
        <v>610</v>
      </c>
      <c r="AM66" s="469">
        <f t="shared" si="82"/>
        <v>350</v>
      </c>
      <c r="AO66">
        <f t="shared" si="53"/>
        <v>610</v>
      </c>
      <c r="AP66">
        <f t="shared" si="24"/>
        <v>350</v>
      </c>
      <c r="AR66" s="5">
        <f t="shared" si="54"/>
        <v>2.8571428571428572</v>
      </c>
      <c r="AS66" s="5">
        <f t="shared" si="25"/>
        <v>0.50414944874180567</v>
      </c>
      <c r="AT66" s="5">
        <f t="shared" si="55"/>
        <v>2.3529934084010513</v>
      </c>
      <c r="AU66" s="177">
        <f t="shared" si="56"/>
        <v>0.17645230705963197</v>
      </c>
      <c r="AW66" s="5">
        <f t="shared" si="83"/>
        <v>12.458288888888889</v>
      </c>
      <c r="AX66" s="5">
        <f t="shared" si="84"/>
        <v>4.1478646477777783</v>
      </c>
      <c r="AY66" s="5">
        <f t="shared" si="85"/>
        <v>0.49833155555555569</v>
      </c>
      <c r="AZ66" s="5">
        <f t="shared" si="86"/>
        <v>0.66542993595959588</v>
      </c>
      <c r="BA66" s="5">
        <f t="shared" si="87"/>
        <v>0.33225138405662985</v>
      </c>
      <c r="BB66" s="469">
        <f t="shared" si="88"/>
        <v>40.378499420128925</v>
      </c>
      <c r="BC66" s="5"/>
      <c r="BD66" s="177">
        <f t="shared" si="57"/>
        <v>0.41920411920856571</v>
      </c>
      <c r="BE66" s="177">
        <f t="shared" si="89"/>
        <v>1.8112827209306772</v>
      </c>
      <c r="BF66" s="177">
        <f t="shared" si="90"/>
        <v>0.36225654418613545</v>
      </c>
      <c r="BG66" s="177"/>
      <c r="BH66" s="538">
        <f t="shared" si="34"/>
        <v>1.9330530291757232E-2</v>
      </c>
      <c r="BI66" s="538">
        <f t="shared" si="35"/>
        <v>0.10478242142649692</v>
      </c>
      <c r="BJ66" s="538">
        <f t="shared" si="36"/>
        <v>1.7499999999999998E-2</v>
      </c>
      <c r="BK66" s="538">
        <f t="shared" si="37"/>
        <v>9.4494456000000004E-2</v>
      </c>
      <c r="BL66">
        <f t="shared" si="38"/>
        <v>6.96E-3</v>
      </c>
      <c r="BM66">
        <f t="shared" si="91"/>
        <v>6.6500000000000004E-5</v>
      </c>
      <c r="BN66">
        <f t="shared" si="92"/>
        <v>0.24662310638421944</v>
      </c>
      <c r="BO66" s="469">
        <f t="shared" si="58"/>
        <v>246.62310638421945</v>
      </c>
      <c r="BP66" s="177">
        <f t="shared" si="93"/>
        <v>0.48366892526885163</v>
      </c>
      <c r="BQ66" s="177">
        <f t="shared" si="94"/>
        <v>5.6629957010754073E-2</v>
      </c>
      <c r="BR66" s="538"/>
      <c r="BT66" s="469">
        <f t="shared" si="59"/>
        <v>540.29888227960578</v>
      </c>
      <c r="BU66" s="538">
        <f t="shared" si="43"/>
        <v>1.7573209356142937E-2</v>
      </c>
      <c r="BV66" s="538">
        <f t="shared" si="60"/>
        <v>9.8422352854261111E-2</v>
      </c>
      <c r="BW66" s="538">
        <f t="shared" si="95"/>
        <v>6.5614901902840755E-3</v>
      </c>
      <c r="BX66" s="538">
        <f t="shared" si="45"/>
        <v>0</v>
      </c>
      <c r="BY66" s="538">
        <f t="shared" si="96"/>
        <v>0.13862303715505506</v>
      </c>
      <c r="BZ66" s="538">
        <f t="shared" si="61"/>
        <v>0.12255705240068812</v>
      </c>
      <c r="CA66" s="641">
        <f t="shared" si="97"/>
        <v>5.228571428571429E-2</v>
      </c>
      <c r="CB66" s="469">
        <f t="shared" si="62"/>
        <v>190.90875144076935</v>
      </c>
      <c r="CC66" s="177">
        <f t="shared" si="63"/>
        <v>0.97783074010459459</v>
      </c>
      <c r="CD66" s="5">
        <f t="shared" si="64"/>
        <v>3.6599999999999997</v>
      </c>
      <c r="CE66" s="177">
        <f t="shared" si="65"/>
        <v>0.78916204689209024</v>
      </c>
      <c r="CF66" s="5">
        <f t="shared" si="66"/>
        <v>78.916204689209025</v>
      </c>
      <c r="CG66">
        <f t="shared" si="102"/>
        <v>61</v>
      </c>
      <c r="CI66" s="571">
        <f t="shared" si="98"/>
        <v>-50</v>
      </c>
      <c r="CJ66">
        <f t="shared" si="99"/>
        <v>-50</v>
      </c>
    </row>
    <row r="67" spans="5:88" x14ac:dyDescent="0.2">
      <c r="E67" s="174">
        <v>62</v>
      </c>
      <c r="F67" s="221">
        <f t="shared" si="103"/>
        <v>0.62</v>
      </c>
      <c r="G67" s="221">
        <f t="shared" si="100"/>
        <v>0.124</v>
      </c>
      <c r="H67" s="221">
        <f t="shared" si="70"/>
        <v>3.1</v>
      </c>
      <c r="I67" s="221">
        <f t="shared" si="104"/>
        <v>0.62</v>
      </c>
      <c r="J67" s="551">
        <f t="shared" si="1"/>
        <v>24</v>
      </c>
      <c r="K67" s="451">
        <f t="shared" si="2"/>
        <v>10.64</v>
      </c>
      <c r="L67" s="451">
        <f t="shared" si="3"/>
        <v>34.64</v>
      </c>
      <c r="M67" s="451"/>
      <c r="N67" s="221">
        <f t="shared" si="4"/>
        <v>0.30715935334872979</v>
      </c>
      <c r="O67" s="176">
        <f t="shared" si="101"/>
        <v>11.334180138568129</v>
      </c>
      <c r="P67" s="176">
        <f t="shared" si="71"/>
        <v>2.7202032332563508</v>
      </c>
      <c r="Q67" s="221">
        <f t="shared" si="6"/>
        <v>2.2668360277136257</v>
      </c>
      <c r="R67" s="221">
        <f t="shared" si="72"/>
        <v>2.2668360277136257</v>
      </c>
      <c r="S67" s="451">
        <f t="shared" si="73"/>
        <v>5</v>
      </c>
      <c r="T67" s="221">
        <f t="shared" si="74"/>
        <v>1.1213868003341687</v>
      </c>
      <c r="U67" s="221">
        <f t="shared" si="10"/>
        <v>0.3270711500974659</v>
      </c>
      <c r="V67" s="221">
        <f t="shared" si="11"/>
        <v>0.73775447390405824</v>
      </c>
      <c r="W67" s="201">
        <f t="shared" si="12"/>
        <v>350</v>
      </c>
      <c r="X67" s="451">
        <f t="shared" si="52"/>
        <v>350</v>
      </c>
      <c r="Z67" s="221">
        <f t="shared" si="13"/>
        <v>3.0089079511712309</v>
      </c>
      <c r="AA67" s="177">
        <f t="shared" si="14"/>
        <v>1.9795447047179149</v>
      </c>
      <c r="AB67" s="177">
        <f t="shared" si="75"/>
        <v>2.0846937306036244</v>
      </c>
      <c r="AC67" s="177"/>
      <c r="AD67" s="177">
        <f t="shared" si="16"/>
        <v>0.53947368421052622</v>
      </c>
      <c r="AE67" s="555">
        <f t="shared" si="76"/>
        <v>1401.5466983938134</v>
      </c>
      <c r="AF67" s="538">
        <f t="shared" si="77"/>
        <v>0.15482894736842101</v>
      </c>
      <c r="AH67" s="177">
        <f t="shared" si="78"/>
        <v>1.7426229350830751</v>
      </c>
      <c r="AI67" s="177">
        <f t="shared" si="79"/>
        <v>1.7426229350830751</v>
      </c>
      <c r="AJ67" s="177">
        <f t="shared" si="80"/>
        <v>1.8834243963578334</v>
      </c>
      <c r="AL67" s="555">
        <f t="shared" si="81"/>
        <v>620</v>
      </c>
      <c r="AM67" s="469">
        <f t="shared" si="82"/>
        <v>350</v>
      </c>
      <c r="AO67">
        <f t="shared" si="53"/>
        <v>620</v>
      </c>
      <c r="AP67">
        <f t="shared" si="24"/>
        <v>350</v>
      </c>
      <c r="AR67" s="5">
        <f t="shared" si="54"/>
        <v>2.8571428571428572</v>
      </c>
      <c r="AS67" s="5">
        <f t="shared" si="25"/>
        <v>0.50826502273256358</v>
      </c>
      <c r="AT67" s="5">
        <f t="shared" si="55"/>
        <v>2.3488778344102936</v>
      </c>
      <c r="AU67" s="177">
        <f t="shared" si="56"/>
        <v>0.17789275795639725</v>
      </c>
      <c r="AW67" s="5">
        <f t="shared" si="83"/>
        <v>12.458288888888889</v>
      </c>
      <c r="AX67" s="5">
        <f t="shared" si="84"/>
        <v>4.2544831244444445</v>
      </c>
      <c r="AY67" s="5">
        <f t="shared" si="85"/>
        <v>0.49833155555555569</v>
      </c>
      <c r="AZ67" s="5">
        <f t="shared" si="86"/>
        <v>0.68336056808080803</v>
      </c>
      <c r="BA67" s="5">
        <f t="shared" si="87"/>
        <v>0.33710746697555138</v>
      </c>
      <c r="BB67" s="469">
        <f t="shared" si="88"/>
        <v>40.969562703732826</v>
      </c>
      <c r="BC67" s="5"/>
      <c r="BD67" s="177">
        <f t="shared" si="57"/>
        <v>0.42434777791953981</v>
      </c>
      <c r="BE67" s="177">
        <f t="shared" si="89"/>
        <v>1.8244712782983814</v>
      </c>
      <c r="BF67" s="177">
        <f t="shared" si="90"/>
        <v>0.36489425565967631</v>
      </c>
      <c r="BG67" s="177"/>
      <c r="BH67" s="538">
        <f t="shared" si="34"/>
        <v>1.9807814028777619E-2</v>
      </c>
      <c r="BI67" s="538">
        <f t="shared" si="35"/>
        <v>0.10563780232473603</v>
      </c>
      <c r="BJ67" s="538">
        <f t="shared" si="36"/>
        <v>1.7499999999999998E-2</v>
      </c>
      <c r="BK67" s="538">
        <f t="shared" si="37"/>
        <v>9.4494456000000004E-2</v>
      </c>
      <c r="BL67">
        <f t="shared" si="38"/>
        <v>6.96E-3</v>
      </c>
      <c r="BM67">
        <f t="shared" si="91"/>
        <v>6.6500000000000004E-5</v>
      </c>
      <c r="BN67">
        <f t="shared" si="92"/>
        <v>0.24804712580933419</v>
      </c>
      <c r="BO67" s="469">
        <f t="shared" si="58"/>
        <v>248.0471258093342</v>
      </c>
      <c r="BP67" s="177">
        <f t="shared" si="93"/>
        <v>0.49115233202364977</v>
      </c>
      <c r="BQ67" s="177">
        <f t="shared" si="94"/>
        <v>5.7540493280946001E-2</v>
      </c>
      <c r="BR67" s="538"/>
      <c r="BT67" s="469">
        <f t="shared" si="59"/>
        <v>548.69282530459577</v>
      </c>
      <c r="BU67" s="538">
        <f t="shared" si="43"/>
        <v>1.8007103662525111E-2</v>
      </c>
      <c r="BV67" s="538">
        <f t="shared" si="60"/>
        <v>9.9860863360071897E-2</v>
      </c>
      <c r="BW67" s="538">
        <f t="shared" si="95"/>
        <v>6.6573908906714611E-3</v>
      </c>
      <c r="BX67" s="538">
        <f t="shared" si="45"/>
        <v>0</v>
      </c>
      <c r="BY67" s="538">
        <f t="shared" si="96"/>
        <v>0.14087176946384963</v>
      </c>
      <c r="BZ67" s="538">
        <f t="shared" si="61"/>
        <v>0.12452535791326848</v>
      </c>
      <c r="CA67" s="641">
        <f t="shared" si="97"/>
        <v>5.3142857142857151E-2</v>
      </c>
      <c r="CB67" s="469">
        <f t="shared" si="62"/>
        <v>194.0146266067068</v>
      </c>
      <c r="CC67" s="177">
        <f t="shared" si="63"/>
        <v>0.99075457772063669</v>
      </c>
      <c r="CD67" s="5">
        <f t="shared" si="64"/>
        <v>3.72</v>
      </c>
      <c r="CE67" s="177">
        <f t="shared" si="65"/>
        <v>0.78968240408736656</v>
      </c>
      <c r="CF67" s="5">
        <f t="shared" si="66"/>
        <v>78.968240408736662</v>
      </c>
      <c r="CG67">
        <f t="shared" si="102"/>
        <v>62</v>
      </c>
      <c r="CI67" s="571">
        <f t="shared" si="98"/>
        <v>-50</v>
      </c>
      <c r="CJ67">
        <f t="shared" si="99"/>
        <v>-50</v>
      </c>
    </row>
    <row r="68" spans="5:88" x14ac:dyDescent="0.2">
      <c r="E68" s="174">
        <v>63</v>
      </c>
      <c r="F68" s="221">
        <f t="shared" si="103"/>
        <v>0.63</v>
      </c>
      <c r="G68" s="221">
        <f t="shared" si="100"/>
        <v>0.126</v>
      </c>
      <c r="H68" s="221">
        <f t="shared" si="70"/>
        <v>3.15</v>
      </c>
      <c r="I68" s="221">
        <f t="shared" si="104"/>
        <v>0.63</v>
      </c>
      <c r="J68" s="551">
        <f t="shared" si="1"/>
        <v>24</v>
      </c>
      <c r="K68" s="451">
        <f t="shared" si="2"/>
        <v>10.64</v>
      </c>
      <c r="L68" s="451">
        <f t="shared" si="3"/>
        <v>34.64</v>
      </c>
      <c r="M68" s="451"/>
      <c r="N68" s="221">
        <f t="shared" si="4"/>
        <v>0.30715935334872979</v>
      </c>
      <c r="O68" s="176">
        <f t="shared" si="101"/>
        <v>11.334180138568129</v>
      </c>
      <c r="P68" s="176">
        <f t="shared" si="71"/>
        <v>2.7202032332563508</v>
      </c>
      <c r="Q68" s="221">
        <f t="shared" si="6"/>
        <v>2.2668360277136257</v>
      </c>
      <c r="R68" s="221">
        <f t="shared" si="72"/>
        <v>2.2668360277136257</v>
      </c>
      <c r="S68" s="451">
        <f t="shared" si="73"/>
        <v>5</v>
      </c>
      <c r="T68" s="221">
        <f t="shared" si="74"/>
        <v>1.1394736842105262</v>
      </c>
      <c r="U68" s="221">
        <f t="shared" si="10"/>
        <v>0.33234649122807014</v>
      </c>
      <c r="V68" s="221">
        <f t="shared" si="11"/>
        <v>0.74965373961218829</v>
      </c>
      <c r="W68" s="201">
        <f t="shared" si="12"/>
        <v>350</v>
      </c>
      <c r="X68" s="451">
        <f t="shared" si="52"/>
        <v>350</v>
      </c>
      <c r="Z68" s="221">
        <f t="shared" si="13"/>
        <v>3.0089079511712309</v>
      </c>
      <c r="AA68" s="177">
        <f t="shared" si="14"/>
        <v>1.9795447047179149</v>
      </c>
      <c r="AB68" s="177">
        <f t="shared" si="75"/>
        <v>2.0846937306036244</v>
      </c>
      <c r="AC68" s="177"/>
      <c r="AD68" s="177">
        <f t="shared" si="16"/>
        <v>0.53947368421052622</v>
      </c>
      <c r="AE68" s="555">
        <f t="shared" si="76"/>
        <v>1424.1522903033913</v>
      </c>
      <c r="AF68" s="538">
        <f t="shared" si="77"/>
        <v>0.15482894736842101</v>
      </c>
      <c r="AH68" s="177">
        <f t="shared" si="78"/>
        <v>1.7566201313073597</v>
      </c>
      <c r="AI68" s="177">
        <f t="shared" si="79"/>
        <v>1.7566201313073597</v>
      </c>
      <c r="AJ68" s="177">
        <f t="shared" si="80"/>
        <v>1.8937926898573034</v>
      </c>
      <c r="AL68" s="555">
        <f t="shared" si="81"/>
        <v>630</v>
      </c>
      <c r="AM68" s="469">
        <f t="shared" si="82"/>
        <v>350</v>
      </c>
      <c r="AO68">
        <f t="shared" si="53"/>
        <v>630</v>
      </c>
      <c r="AP68">
        <f t="shared" si="24"/>
        <v>350</v>
      </c>
      <c r="AR68" s="5">
        <f t="shared" si="54"/>
        <v>2.8571428571428572</v>
      </c>
      <c r="AS68" s="5">
        <f t="shared" si="25"/>
        <v>0.51234753829797997</v>
      </c>
      <c r="AT68" s="5">
        <f t="shared" si="55"/>
        <v>2.3447953188448771</v>
      </c>
      <c r="AU68" s="177">
        <f t="shared" si="56"/>
        <v>0.17932163840429299</v>
      </c>
      <c r="AW68" s="5">
        <f t="shared" si="83"/>
        <v>12.458288888888889</v>
      </c>
      <c r="AX68" s="5">
        <f t="shared" si="84"/>
        <v>4.3623474299999998</v>
      </c>
      <c r="AY68" s="5">
        <f t="shared" si="85"/>
        <v>0.49833155555555569</v>
      </c>
      <c r="AZ68" s="5">
        <f t="shared" si="86"/>
        <v>0.70151771454545453</v>
      </c>
      <c r="BA68" s="5">
        <f t="shared" si="87"/>
        <v>0.34194931733154449</v>
      </c>
      <c r="BB68" s="469">
        <f t="shared" si="88"/>
        <v>41.558918079785343</v>
      </c>
      <c r="BC68" s="5"/>
      <c r="BD68" s="177">
        <f t="shared" si="57"/>
        <v>0.42947073682297937</v>
      </c>
      <c r="BE68" s="177">
        <f t="shared" si="89"/>
        <v>1.8375269410641637</v>
      </c>
      <c r="BF68" s="177">
        <f t="shared" si="90"/>
        <v>0.36750538821283274</v>
      </c>
      <c r="BG68" s="177"/>
      <c r="BH68" s="538">
        <f t="shared" si="34"/>
        <v>2.0288962516600006E-2</v>
      </c>
      <c r="BI68" s="538">
        <f t="shared" si="35"/>
        <v>0.10648631235985215</v>
      </c>
      <c r="BJ68" s="538">
        <f t="shared" si="36"/>
        <v>1.7499999999999998E-2</v>
      </c>
      <c r="BK68" s="538">
        <f t="shared" si="37"/>
        <v>9.4494456000000004E-2</v>
      </c>
      <c r="BL68">
        <f t="shared" si="38"/>
        <v>6.96E-3</v>
      </c>
      <c r="BM68">
        <f t="shared" si="91"/>
        <v>6.6500000000000004E-5</v>
      </c>
      <c r="BN68">
        <f t="shared" si="92"/>
        <v>0.24946908181903232</v>
      </c>
      <c r="BO68" s="469">
        <f t="shared" si="58"/>
        <v>249.46908181903231</v>
      </c>
      <c r="BP68" s="177">
        <f t="shared" si="93"/>
        <v>0.49862500179803793</v>
      </c>
      <c r="BQ68" s="177">
        <f t="shared" si="94"/>
        <v>5.8450600071921516E-2</v>
      </c>
      <c r="BR68" s="538"/>
      <c r="BT68" s="469">
        <f t="shared" si="59"/>
        <v>557.07560186995943</v>
      </c>
      <c r="BU68" s="538">
        <f t="shared" si="43"/>
        <v>1.8444511378727279E-2</v>
      </c>
      <c r="BV68" s="538">
        <f t="shared" si="60"/>
        <v>0.10129515777409867</v>
      </c>
      <c r="BW68" s="538">
        <f t="shared" si="95"/>
        <v>6.7530105182732449E-3</v>
      </c>
      <c r="BX68" s="538">
        <f t="shared" si="45"/>
        <v>0</v>
      </c>
      <c r="BY68" s="538">
        <f t="shared" si="96"/>
        <v>0.14312009275542389</v>
      </c>
      <c r="BZ68" s="538">
        <f t="shared" si="61"/>
        <v>0.1264926796710992</v>
      </c>
      <c r="CA68" s="641">
        <f t="shared" si="97"/>
        <v>5.4000000000000006E-2</v>
      </c>
      <c r="CB68" s="469">
        <f t="shared" si="62"/>
        <v>197.12009275542391</v>
      </c>
      <c r="CC68" s="177">
        <f t="shared" si="63"/>
        <v>1.0036647764444155</v>
      </c>
      <c r="CD68" s="5">
        <f t="shared" si="64"/>
        <v>3.78</v>
      </c>
      <c r="CE68" s="177">
        <f t="shared" si="65"/>
        <v>0.79018914925087713</v>
      </c>
      <c r="CF68" s="5">
        <f t="shared" si="66"/>
        <v>79.018914925087714</v>
      </c>
      <c r="CG68">
        <f t="shared" si="102"/>
        <v>63</v>
      </c>
      <c r="CI68" s="571">
        <f t="shared" si="98"/>
        <v>-50</v>
      </c>
      <c r="CJ68">
        <f t="shared" si="99"/>
        <v>-50</v>
      </c>
    </row>
    <row r="69" spans="5:88" x14ac:dyDescent="0.2">
      <c r="E69" s="174">
        <v>64</v>
      </c>
      <c r="F69" s="221">
        <f t="shared" si="103"/>
        <v>0.64</v>
      </c>
      <c r="G69" s="221">
        <f t="shared" si="100"/>
        <v>0.128</v>
      </c>
      <c r="H69" s="221">
        <f t="shared" ref="H69:H105" si="105">F69*Vout</f>
        <v>3.2</v>
      </c>
      <c r="I69" s="221">
        <f t="shared" si="104"/>
        <v>0.64</v>
      </c>
      <c r="J69" s="551">
        <f t="shared" ref="J69:J105" si="106">Vin</f>
        <v>24</v>
      </c>
      <c r="K69" s="451">
        <f t="shared" ref="K69:K105" si="107">(S69+Vfwd1)*Nps</f>
        <v>10.64</v>
      </c>
      <c r="L69" s="451">
        <f t="shared" ref="L69:L105" si="108">(Vout+Vfwd1)*Nps+J69</f>
        <v>34.64</v>
      </c>
      <c r="M69" s="451"/>
      <c r="N69" s="221">
        <f t="shared" ref="N69:N105" si="109">(Vout+Vfwd1)*Nps/((Vout+Vfwd1)*Nps+J69)</f>
        <v>0.30715935334872979</v>
      </c>
      <c r="O69" s="176">
        <f t="shared" si="101"/>
        <v>11.334180138568129</v>
      </c>
      <c r="P69" s="176">
        <f t="shared" ref="P69:P105" si="110">N69*J69*Isw_max*0.5*Efficiency*(Pout2/Pout_total)</f>
        <v>2.7202032332563508</v>
      </c>
      <c r="Q69" s="221">
        <f t="shared" ref="Q69:Q105" si="111">O69/Vout</f>
        <v>2.2668360277136257</v>
      </c>
      <c r="R69" s="221">
        <f t="shared" ref="R69:R105" si="112">O69/Vout2</f>
        <v>2.2668360277136257</v>
      </c>
      <c r="S69" s="451">
        <f t="shared" ref="S69:S105" si="113">MIN(Vout,O69/F69)</f>
        <v>5</v>
      </c>
      <c r="T69" s="221">
        <f t="shared" ref="T69:T105" si="114">MIN(2*(Vout*F69+Vout2*G69)/(Efficiency*J69*N69), Isw_max)</f>
        <v>1.1575605680868839</v>
      </c>
      <c r="U69" s="221">
        <f t="shared" ref="U69:U105" si="115">L*T69/J69*1000000</f>
        <v>0.33762183235867449</v>
      </c>
      <c r="V69" s="221">
        <f t="shared" ref="V69:V105" si="116">L*T69/K69*1000000</f>
        <v>0.76155300532031833</v>
      </c>
      <c r="W69" s="201">
        <f t="shared" ref="W69:W105" si="117">IF(1/((350000*L)*(1/J69+1/K69))&gt;Isw_min, 350, 0.001/((Isw_min*L)*(1/J69+1/K69)))</f>
        <v>350</v>
      </c>
      <c r="X69" s="451">
        <f t="shared" si="52"/>
        <v>350</v>
      </c>
      <c r="Z69" s="221">
        <f t="shared" ref="Z69:Z105" si="118">1/((W69*1000*L)*(1/J69+1/K69))</f>
        <v>3.0089079511712309</v>
      </c>
      <c r="AA69" s="177">
        <f t="shared" ref="AA69:AA105" si="119">L*Z69/K69*1000000</f>
        <v>1.9795447047179149</v>
      </c>
      <c r="AB69" s="177">
        <f t="shared" ref="AB69:AB100" si="120">0.5*AA69*Z69*Nps*W69/1000*(Pout/Pout_total)</f>
        <v>2.0846937306036244</v>
      </c>
      <c r="AC69" s="177"/>
      <c r="AD69" s="177">
        <f t="shared" ref="AD69:AD105" si="121">L*Isw_min/K69*1000000</f>
        <v>0.53947368421052622</v>
      </c>
      <c r="AE69" s="555">
        <f t="shared" ref="AE69:AE100" si="122">MAX(10, F69/(0.5*AD69/1000000*Isw_min*Nps)/1000*Pout_total/Pout)</f>
        <v>1446.7578822129688</v>
      </c>
      <c r="AF69" s="538">
        <f t="shared" ref="AF69:AF105" si="123">0.5*AD69/1000000*Isw_min*Nps*W69*1000*(Pout/Pout_total)</f>
        <v>0.15482894736842101</v>
      </c>
      <c r="AH69" s="177">
        <f t="shared" ref="AH69:AH105" si="124">SQRT((H69+I69)/(0.5*L*Fsw_DCM))</f>
        <v>1.770506672551962</v>
      </c>
      <c r="AI69" s="177">
        <f t="shared" ref="AI69:AI100" si="125">MAX(IF(F69&gt;AB69,T69,AH69),Isw_min)</f>
        <v>1.770506672551962</v>
      </c>
      <c r="AJ69" s="177">
        <f t="shared" ref="AJ69:AJ100" si="126">IF(F69&gt;AF69, (AI69-Isw_min)/1.08*0.8+1.2, AE69*0.2/350+1)</f>
        <v>1.9040790167051571</v>
      </c>
      <c r="AL69" s="555">
        <f t="shared" ref="AL69:AL105" si="127">F69*1000</f>
        <v>640</v>
      </c>
      <c r="AM69" s="469">
        <f t="shared" ref="AM69:AM105" si="128">IF(F69&gt;AF69, X69, AE69)</f>
        <v>350</v>
      </c>
      <c r="AO69">
        <f t="shared" si="53"/>
        <v>640</v>
      </c>
      <c r="AP69">
        <f t="shared" ref="AP69:AP105" si="129">IF(H69&gt;O69, "",AM69)</f>
        <v>350</v>
      </c>
      <c r="AR69" s="5">
        <f t="shared" si="54"/>
        <v>2.8571428571428572</v>
      </c>
      <c r="AS69" s="5">
        <f t="shared" ref="AS69:AS105" si="130">L*AI69/J69*1000000</f>
        <v>0.51639777949432231</v>
      </c>
      <c r="AT69" s="5">
        <f t="shared" si="55"/>
        <v>2.3407450776485348</v>
      </c>
      <c r="AU69" s="177">
        <f t="shared" si="56"/>
        <v>0.1807392228230128</v>
      </c>
      <c r="AW69" s="5">
        <f t="shared" ref="AW69:AW105" si="131">L*Iout^2/(2*Vripple1_spec*Vout*Npri_sec1^2)*1000000000*((1+N69)/(1-N69))^2</f>
        <v>12.458288888888889</v>
      </c>
      <c r="AX69" s="5">
        <f t="shared" ref="AX69:AX105" si="132">L*F69^2/(2*Cout*Vout*Nps^2)*1000000000*((1+N69)/(1-N69))^2+F69*RCoutEsr</f>
        <v>4.4714575644444441</v>
      </c>
      <c r="AY69" s="5">
        <f t="shared" ref="AY69:AY105" si="133">L*Iout2^2/(2*Vripple2_spec*Vout2*Npri_sec2^2)*1000000000*((1+N69)/(1-N69))^2</f>
        <v>0.49833155555555569</v>
      </c>
      <c r="AZ69" s="5">
        <f t="shared" ref="AZ69:AZ105" si="134">L*G69^2/(2*Cout2*Vout2*Npri_sec2^2)*1000000000*((1+N69)/(1-N69))^2+G69*CoutEsr2</f>
        <v>0.71990137535353527</v>
      </c>
      <c r="BA69" s="5">
        <f t="shared" ref="BA69:BA105" si="135">(H69+I69)/Efficiency/J69*AT69/Vinripple1</f>
        <v>0.34677704854052366</v>
      </c>
      <c r="BB69" s="469">
        <f t="shared" ref="BB69:BB105" si="136">((CD69/J69/Efficiency)*AT69/Cin+(CD69/J69/Efficiency)*RCinEsr)*1000</f>
        <v>42.146579158196175</v>
      </c>
      <c r="BC69" s="5"/>
      <c r="BD69" s="177">
        <f t="shared" si="57"/>
        <v>0.43457340585016163</v>
      </c>
      <c r="BE69" s="177">
        <f t="shared" ref="BE69:BE105" si="137">AI69*Npri_sec1*SQRT((1-AU69)/3)*(Pout/Pout_total)</f>
        <v>1.8504528247015259</v>
      </c>
      <c r="BF69" s="177">
        <f t="shared" ref="BF69:BF105" si="138">AI69*Npri_sec2*SQRT((1-AU69)/3)*(Pout2/Pout_total)</f>
        <v>0.37009056494030523</v>
      </c>
      <c r="BG69" s="177"/>
      <c r="BH69" s="538">
        <f t="shared" ref="BH69:BH105" si="139">Rdson*BD69^2</f>
        <v>2.0773944957943023E-2</v>
      </c>
      <c r="BI69" s="538">
        <f t="shared" ref="BI69:BI105" si="140">0.5*L69*AI69*AM69*1000*Trise</f>
        <v>0.10732811449009995</v>
      </c>
      <c r="BJ69" s="538">
        <f t="shared" ref="BJ69:BJ105" si="141">Qg*Vdd*AM69*1000</f>
        <v>1.7499999999999998E-2</v>
      </c>
      <c r="BK69" s="538">
        <f t="shared" ref="BK69:BK105" si="142">0.5*(Coss+Csw)*L69^2*AM69*1000</f>
        <v>9.4494456000000004E-2</v>
      </c>
      <c r="BL69">
        <f t="shared" ref="BL69:BL105" si="143">J69*IQ</f>
        <v>6.96E-3</v>
      </c>
      <c r="BM69">
        <f t="shared" ref="BM69:BM105" si="144">(J69-Vdd)*Qg*AM69</f>
        <v>6.6500000000000004E-5</v>
      </c>
      <c r="BN69">
        <f t="shared" ref="BN69:BN100" si="145">(BI69+BJ69+BK69+BL69+BM69+BH69*(1+RdsonTC*(Ta-25)))/(1-BH69*RdsonTC*ThetaJA)</f>
        <v>0.25088910397992287</v>
      </c>
      <c r="BO69" s="469">
        <f t="shared" si="58"/>
        <v>250.88910397992288</v>
      </c>
      <c r="BP69" s="177">
        <f t="shared" ref="BP69:BP105" si="146">(Vfwd2*F69+BE69^2*Rdiode)*(1+Diode_TC/1000*(Ta-25))</f>
        <v>0.50608702015246354</v>
      </c>
      <c r="BQ69" s="177">
        <f t="shared" ref="BQ69:BQ105" si="147">(Vfwd2*G69+BF69^2*Rdiode)*(1+Diode_TC/1000*(Ta-25))</f>
        <v>5.9360280806098543E-2</v>
      </c>
      <c r="BR69" s="538"/>
      <c r="BT69" s="469">
        <f t="shared" si="59"/>
        <v>565.4473009585621</v>
      </c>
      <c r="BU69" s="538">
        <f t="shared" ref="BU69:BU105" si="148">Rdcr_pri*BD69^2</f>
        <v>1.888540450722093E-2</v>
      </c>
      <c r="BV69" s="538">
        <f t="shared" ref="BV69:BV105" si="149">Rdcr_sec*BE69^2</f>
        <v>0.10272526969337568</v>
      </c>
      <c r="BW69" s="538">
        <f t="shared" ref="BW69:BW105" si="150">Rdcr_sec2*BF69^2</f>
        <v>6.8483513128917142E-3</v>
      </c>
      <c r="BX69" s="538">
        <f t="shared" ref="BX69:BX105" si="151">AI69^2.5*AM69^2.5*k_core</f>
        <v>0</v>
      </c>
      <c r="BY69" s="538">
        <f t="shared" ref="BY69:BY100" si="152">(BX69+(BU69+BV69+BW69)*(1+Ltc*(Ta-25)))/(1-(BU69+BV69+BW69)*Ltc*ThetaCa)</f>
        <v>0.14536801526161389</v>
      </c>
      <c r="BZ69" s="538">
        <f t="shared" si="61"/>
        <v>0.12845902551348831</v>
      </c>
      <c r="CA69" s="641">
        <f t="shared" ref="CA69:CA105" si="153">0.5*Lleak*0.000000001*AI69^2*AM69*1000</f>
        <v>5.4857142857142861E-2</v>
      </c>
      <c r="CB69" s="469">
        <f t="shared" si="62"/>
        <v>200.22515811875675</v>
      </c>
      <c r="CC69" s="177">
        <f t="shared" si="63"/>
        <v>1.0165615630572418</v>
      </c>
      <c r="CD69" s="5">
        <f t="shared" si="64"/>
        <v>3.8400000000000003</v>
      </c>
      <c r="CE69" s="177">
        <f t="shared" si="65"/>
        <v>0.79068286279124023</v>
      </c>
      <c r="CF69" s="5">
        <f t="shared" si="66"/>
        <v>79.068286279124024</v>
      </c>
      <c r="CG69">
        <f t="shared" si="102"/>
        <v>64</v>
      </c>
      <c r="CI69" s="571">
        <f t="shared" ref="CI69:CI105" si="154">IF(ABS(F69-Ioutmax_Vinnom)&lt;Iout/200, AM69, -50)</f>
        <v>-50</v>
      </c>
      <c r="CJ69">
        <f t="shared" ref="CJ69:CJ105" si="155">IF(ABS(F69-Ioutmax_Vinnom)&lt;Iout/200, (O69+P69)*CE69, -50)</f>
        <v>-50</v>
      </c>
    </row>
    <row r="70" spans="5:88" x14ac:dyDescent="0.2">
      <c r="E70" s="174">
        <v>65</v>
      </c>
      <c r="F70" s="221">
        <f t="shared" si="103"/>
        <v>0.65</v>
      </c>
      <c r="G70" s="221">
        <f t="shared" ref="G70:G105" si="156">IF(PLOT_TYPE=1, E70/100*Iout2, min_I*EXP(Q70*rr/100))</f>
        <v>0.13</v>
      </c>
      <c r="H70" s="221">
        <f t="shared" si="105"/>
        <v>3.25</v>
      </c>
      <c r="I70" s="221">
        <f t="shared" si="104"/>
        <v>0.65</v>
      </c>
      <c r="J70" s="551">
        <f t="shared" si="106"/>
        <v>24</v>
      </c>
      <c r="K70" s="451">
        <f t="shared" si="107"/>
        <v>10.64</v>
      </c>
      <c r="L70" s="451">
        <f t="shared" si="108"/>
        <v>34.64</v>
      </c>
      <c r="M70" s="451"/>
      <c r="N70" s="221">
        <f t="shared" si="109"/>
        <v>0.30715935334872979</v>
      </c>
      <c r="O70" s="176">
        <f t="shared" ref="O70:O101" si="157">N70*J70*Isw_max*0.5*Efficiency*Pout/(Pout+Pout2)</f>
        <v>11.334180138568129</v>
      </c>
      <c r="P70" s="176">
        <f t="shared" si="110"/>
        <v>2.7202032332563508</v>
      </c>
      <c r="Q70" s="221">
        <f t="shared" si="111"/>
        <v>2.2668360277136257</v>
      </c>
      <c r="R70" s="221">
        <f t="shared" si="112"/>
        <v>2.2668360277136257</v>
      </c>
      <c r="S70" s="451">
        <f t="shared" si="113"/>
        <v>5</v>
      </c>
      <c r="T70" s="221">
        <f t="shared" si="114"/>
        <v>1.1756474519632414</v>
      </c>
      <c r="U70" s="221">
        <f t="shared" si="115"/>
        <v>0.34289717348927873</v>
      </c>
      <c r="V70" s="221">
        <f t="shared" si="116"/>
        <v>0.77345227102844816</v>
      </c>
      <c r="W70" s="201">
        <f t="shared" si="117"/>
        <v>350</v>
      </c>
      <c r="X70" s="451">
        <f t="shared" ref="X70:X105" si="158">MIN(1/(U70+V70)*1000, 350)</f>
        <v>350</v>
      </c>
      <c r="Z70" s="221">
        <f t="shared" si="118"/>
        <v>3.0089079511712309</v>
      </c>
      <c r="AA70" s="177">
        <f t="shared" si="119"/>
        <v>1.9795447047179149</v>
      </c>
      <c r="AB70" s="177">
        <f t="shared" si="120"/>
        <v>2.0846937306036244</v>
      </c>
      <c r="AC70" s="177"/>
      <c r="AD70" s="177">
        <f t="shared" si="121"/>
        <v>0.53947368421052622</v>
      </c>
      <c r="AE70" s="555">
        <f t="shared" si="122"/>
        <v>1469.3634741225464</v>
      </c>
      <c r="AF70" s="538">
        <f t="shared" si="123"/>
        <v>0.15482894736842101</v>
      </c>
      <c r="AH70" s="177">
        <f t="shared" si="124"/>
        <v>1.7842851423995423</v>
      </c>
      <c r="AI70" s="177">
        <f t="shared" si="125"/>
        <v>1.7842851423995423</v>
      </c>
      <c r="AJ70" s="177">
        <f t="shared" si="126"/>
        <v>1.9142852906663277</v>
      </c>
      <c r="AL70" s="555">
        <f t="shared" si="127"/>
        <v>650</v>
      </c>
      <c r="AM70" s="469">
        <f t="shared" si="128"/>
        <v>350</v>
      </c>
      <c r="AO70">
        <f t="shared" ref="AO70:AO105" si="159">IF(H70&gt;O70, "",AL70)</f>
        <v>650</v>
      </c>
      <c r="AP70">
        <f t="shared" si="129"/>
        <v>350</v>
      </c>
      <c r="AR70" s="5">
        <f t="shared" ref="AR70:AR133" si="160">1/AM70*1000</f>
        <v>2.8571428571428572</v>
      </c>
      <c r="AS70" s="5">
        <f t="shared" si="130"/>
        <v>0.52041649986653316</v>
      </c>
      <c r="AT70" s="5">
        <f t="shared" ref="AT70:AT105" si="161">AR70-AS70</f>
        <v>2.3367263572763242</v>
      </c>
      <c r="AU70" s="177">
        <f t="shared" ref="AU70:AU105" si="162">AS70/AR70</f>
        <v>0.1821457749532866</v>
      </c>
      <c r="AW70" s="5">
        <f t="shared" si="131"/>
        <v>12.458288888888889</v>
      </c>
      <c r="AX70" s="5">
        <f t="shared" si="132"/>
        <v>4.5818135277777774</v>
      </c>
      <c r="AY70" s="5">
        <f t="shared" si="133"/>
        <v>0.49833155555555569</v>
      </c>
      <c r="AZ70" s="5">
        <f t="shared" si="134"/>
        <v>0.73851155050505057</v>
      </c>
      <c r="BA70" s="5">
        <f t="shared" si="135"/>
        <v>0.35159077134944688</v>
      </c>
      <c r="BB70" s="469">
        <f t="shared" si="136"/>
        <v>42.732559228600302</v>
      </c>
      <c r="BC70" s="5"/>
      <c r="BD70" s="177">
        <f t="shared" ref="BD70:BD105" si="163">AI70*SQRT(AU70/3)</f>
        <v>0.43965618054712224</v>
      </c>
      <c r="BE70" s="177">
        <f t="shared" si="137"/>
        <v>1.8632519236030691</v>
      </c>
      <c r="BF70" s="177">
        <f t="shared" si="138"/>
        <v>0.37265038472061385</v>
      </c>
      <c r="BG70" s="177"/>
      <c r="BH70" s="538">
        <f t="shared" si="139"/>
        <v>2.1262731280261214E-2</v>
      </c>
      <c r="BI70" s="538">
        <f t="shared" si="140"/>
        <v>0.10816336533226026</v>
      </c>
      <c r="BJ70" s="538">
        <f t="shared" si="141"/>
        <v>1.7499999999999998E-2</v>
      </c>
      <c r="BK70" s="538">
        <f t="shared" si="142"/>
        <v>9.4494456000000004E-2</v>
      </c>
      <c r="BL70">
        <f t="shared" si="143"/>
        <v>6.96E-3</v>
      </c>
      <c r="BM70">
        <f t="shared" si="144"/>
        <v>6.6500000000000004E-5</v>
      </c>
      <c r="BN70">
        <f t="shared" si="145"/>
        <v>0.25230731635755749</v>
      </c>
      <c r="BO70" s="469">
        <f t="shared" ref="BO70:BO105" si="164">BN70*1000</f>
        <v>252.30731635755748</v>
      </c>
      <c r="BP70" s="177">
        <f t="shared" si="146"/>
        <v>0.5135384706339251</v>
      </c>
      <c r="BQ70" s="177">
        <f t="shared" si="147"/>
        <v>6.0269538825357009E-2</v>
      </c>
      <c r="BR70" s="538"/>
      <c r="BT70" s="469">
        <f t="shared" ref="BT70:BT105" si="165">SUM(BP70:BS70)*1000</f>
        <v>573.80800945928218</v>
      </c>
      <c r="BU70" s="538">
        <f t="shared" si="148"/>
        <v>1.9329755709328378E-2</v>
      </c>
      <c r="BV70" s="538">
        <f t="shared" si="149"/>
        <v>0.10415123192431612</v>
      </c>
      <c r="BW70" s="538">
        <f t="shared" si="150"/>
        <v>6.9434154616210761E-3</v>
      </c>
      <c r="BX70" s="538">
        <f t="shared" si="151"/>
        <v>0</v>
      </c>
      <c r="BY70" s="538">
        <f t="shared" si="152"/>
        <v>0.14761554501438412</v>
      </c>
      <c r="BZ70" s="538">
        <f t="shared" ref="BZ70:BZ133" si="166">SUM(BU70:BX70)</f>
        <v>0.13042440309526557</v>
      </c>
      <c r="CA70" s="641">
        <f t="shared" si="153"/>
        <v>5.5714285714285716E-2</v>
      </c>
      <c r="CB70" s="469">
        <f t="shared" ref="CB70:CB105" si="167">(BY70+CA70)*1000</f>
        <v>203.32983072866983</v>
      </c>
      <c r="CC70" s="177">
        <f t="shared" ref="CC70:CC133" si="168">SUM(BN70,BP70:BS70,BY70, CA70)</f>
        <v>1.0294451565455094</v>
      </c>
      <c r="CD70" s="5">
        <f t="shared" ref="CD70:CD105" si="169">MIN(H70+I70,O70+P70)</f>
        <v>3.9</v>
      </c>
      <c r="CE70" s="177">
        <f t="shared" ref="CE70:CE105" si="170">CD70/(CD70+CC70)</f>
        <v>0.79116409172773283</v>
      </c>
      <c r="CF70" s="5">
        <f t="shared" ref="CF70:CF105" si="171">CE70*100</f>
        <v>79.116409172773288</v>
      </c>
      <c r="CG70">
        <f t="shared" ref="CG70:CG105" si="172">F70/Iout*100</f>
        <v>65</v>
      </c>
      <c r="CI70" s="571">
        <f t="shared" si="154"/>
        <v>-50</v>
      </c>
      <c r="CJ70">
        <f t="shared" si="155"/>
        <v>-50</v>
      </c>
    </row>
    <row r="71" spans="5:88" x14ac:dyDescent="0.2">
      <c r="E71" s="174">
        <v>66</v>
      </c>
      <c r="F71" s="221">
        <f t="shared" si="103"/>
        <v>0.66</v>
      </c>
      <c r="G71" s="221">
        <f t="shared" si="156"/>
        <v>0.13200000000000001</v>
      </c>
      <c r="H71" s="221">
        <f t="shared" si="105"/>
        <v>3.3000000000000003</v>
      </c>
      <c r="I71" s="221">
        <f t="shared" si="104"/>
        <v>0.66</v>
      </c>
      <c r="J71" s="551">
        <f t="shared" si="106"/>
        <v>24</v>
      </c>
      <c r="K71" s="451">
        <f t="shared" si="107"/>
        <v>10.64</v>
      </c>
      <c r="L71" s="451">
        <f t="shared" si="108"/>
        <v>34.64</v>
      </c>
      <c r="M71" s="451"/>
      <c r="N71" s="221">
        <f t="shared" si="109"/>
        <v>0.30715935334872979</v>
      </c>
      <c r="O71" s="176">
        <f t="shared" si="157"/>
        <v>11.334180138568129</v>
      </c>
      <c r="P71" s="176">
        <f t="shared" si="110"/>
        <v>2.7202032332563508</v>
      </c>
      <c r="Q71" s="221">
        <f t="shared" si="111"/>
        <v>2.2668360277136257</v>
      </c>
      <c r="R71" s="221">
        <f t="shared" si="112"/>
        <v>2.2668360277136257</v>
      </c>
      <c r="S71" s="451">
        <f t="shared" si="113"/>
        <v>5</v>
      </c>
      <c r="T71" s="221">
        <f t="shared" si="114"/>
        <v>1.1937343358395991</v>
      </c>
      <c r="U71" s="221">
        <f t="shared" si="115"/>
        <v>0.34817251461988308</v>
      </c>
      <c r="V71" s="221">
        <f t="shared" si="116"/>
        <v>0.78535153673657832</v>
      </c>
      <c r="W71" s="201">
        <f t="shared" si="117"/>
        <v>350</v>
      </c>
      <c r="X71" s="451">
        <f t="shared" si="158"/>
        <v>350</v>
      </c>
      <c r="Z71" s="221">
        <f t="shared" si="118"/>
        <v>3.0089079511712309</v>
      </c>
      <c r="AA71" s="177">
        <f t="shared" si="119"/>
        <v>1.9795447047179149</v>
      </c>
      <c r="AB71" s="177">
        <f t="shared" si="120"/>
        <v>2.0846937306036244</v>
      </c>
      <c r="AC71" s="177"/>
      <c r="AD71" s="177">
        <f t="shared" si="121"/>
        <v>0.53947368421052622</v>
      </c>
      <c r="AE71" s="555">
        <f t="shared" si="122"/>
        <v>1491.9690660321239</v>
      </c>
      <c r="AF71" s="538">
        <f t="shared" si="123"/>
        <v>0.15482894736842101</v>
      </c>
      <c r="AH71" s="177">
        <f t="shared" si="124"/>
        <v>1.7979580254345455</v>
      </c>
      <c r="AI71" s="177">
        <f t="shared" si="125"/>
        <v>1.7979580254345455</v>
      </c>
      <c r="AJ71" s="177">
        <f t="shared" si="126"/>
        <v>1.9244133521737374</v>
      </c>
      <c r="AL71" s="555">
        <f t="shared" si="127"/>
        <v>660</v>
      </c>
      <c r="AM71" s="469">
        <f t="shared" si="128"/>
        <v>350</v>
      </c>
      <c r="AO71">
        <f t="shared" si="159"/>
        <v>660</v>
      </c>
      <c r="AP71">
        <f t="shared" si="129"/>
        <v>350</v>
      </c>
      <c r="AR71" s="5">
        <f t="shared" si="160"/>
        <v>2.8571428571428572</v>
      </c>
      <c r="AS71" s="5">
        <f t="shared" si="130"/>
        <v>0.5244044240850757</v>
      </c>
      <c r="AT71" s="5">
        <f t="shared" si="161"/>
        <v>2.3327384330577816</v>
      </c>
      <c r="AU71" s="177">
        <f t="shared" si="162"/>
        <v>0.18354154842977649</v>
      </c>
      <c r="AW71" s="5">
        <f t="shared" si="131"/>
        <v>12.458288888888889</v>
      </c>
      <c r="AX71" s="5">
        <f t="shared" si="132"/>
        <v>4.6934153199999997</v>
      </c>
      <c r="AY71" s="5">
        <f t="shared" si="133"/>
        <v>0.49833155555555569</v>
      </c>
      <c r="AZ71" s="5">
        <f t="shared" si="134"/>
        <v>0.75734824000000012</v>
      </c>
      <c r="BA71" s="5">
        <f t="shared" si="135"/>
        <v>0.35639059393938327</v>
      </c>
      <c r="BB71" s="469">
        <f t="shared" si="136"/>
        <v>43.316871272726004</v>
      </c>
      <c r="BC71" s="5"/>
      <c r="BD71" s="177">
        <f t="shared" si="163"/>
        <v>0.44471944279264425</v>
      </c>
      <c r="BE71" s="177">
        <f t="shared" si="137"/>
        <v>1.8759271175718566</v>
      </c>
      <c r="BF71" s="177">
        <f t="shared" si="138"/>
        <v>0.37518542351437134</v>
      </c>
      <c r="BG71" s="177"/>
      <c r="BH71" s="538">
        <f t="shared" si="139"/>
        <v>2.1755292107757999E-2</v>
      </c>
      <c r="BI71" s="538">
        <f t="shared" si="140"/>
        <v>0.10899221550184214</v>
      </c>
      <c r="BJ71" s="538">
        <f t="shared" si="141"/>
        <v>1.7499999999999998E-2</v>
      </c>
      <c r="BK71" s="538">
        <f t="shared" si="142"/>
        <v>9.4494456000000004E-2</v>
      </c>
      <c r="BL71">
        <f t="shared" si="143"/>
        <v>6.96E-3</v>
      </c>
      <c r="BM71">
        <f t="shared" si="144"/>
        <v>6.6500000000000004E-5</v>
      </c>
      <c r="BN71">
        <f t="shared" si="145"/>
        <v>0.25372383782425928</v>
      </c>
      <c r="BO71" s="469">
        <f t="shared" si="164"/>
        <v>253.72383782425928</v>
      </c>
      <c r="BP71" s="177">
        <f t="shared" si="146"/>
        <v>0.52097943485372722</v>
      </c>
      <c r="BQ71" s="177">
        <f t="shared" si="147"/>
        <v>6.117837739414908E-2</v>
      </c>
      <c r="BR71" s="538"/>
      <c r="BT71" s="469">
        <f t="shared" si="165"/>
        <v>582.15781224787634</v>
      </c>
      <c r="BU71" s="538">
        <f t="shared" si="148"/>
        <v>1.9777538279780002E-2</v>
      </c>
      <c r="BV71" s="538">
        <f t="shared" si="149"/>
        <v>0.10557307651324363</v>
      </c>
      <c r="BW71" s="538">
        <f t="shared" si="150"/>
        <v>7.0382051008829093E-3</v>
      </c>
      <c r="BX71" s="538">
        <f t="shared" si="151"/>
        <v>0</v>
      </c>
      <c r="BY71" s="538">
        <f t="shared" si="152"/>
        <v>0.14986268985364334</v>
      </c>
      <c r="BZ71" s="538">
        <f t="shared" si="166"/>
        <v>0.13238881989390652</v>
      </c>
      <c r="CA71" s="641">
        <f t="shared" si="153"/>
        <v>5.6571428571428578E-2</v>
      </c>
      <c r="CB71" s="469">
        <f t="shared" si="167"/>
        <v>206.43411842507192</v>
      </c>
      <c r="CC71" s="177">
        <f t="shared" si="168"/>
        <v>1.0423157684972075</v>
      </c>
      <c r="CD71" s="5">
        <f t="shared" si="169"/>
        <v>3.9600000000000004</v>
      </c>
      <c r="CE71" s="177">
        <f t="shared" si="170"/>
        <v>0.79163335208438079</v>
      </c>
      <c r="CF71" s="5">
        <f t="shared" si="171"/>
        <v>79.163335208438085</v>
      </c>
      <c r="CG71">
        <f t="shared" si="172"/>
        <v>66</v>
      </c>
      <c r="CI71" s="571">
        <f t="shared" si="154"/>
        <v>-50</v>
      </c>
      <c r="CJ71">
        <f t="shared" si="155"/>
        <v>-50</v>
      </c>
    </row>
    <row r="72" spans="5:88" x14ac:dyDescent="0.2">
      <c r="E72" s="174">
        <v>67</v>
      </c>
      <c r="F72" s="221">
        <f t="shared" ref="F72:F103" si="173">IF(PLOT_TYPE=1, E72/100*Iout_max, min_I*EXP(O72*rr/100))</f>
        <v>0.67</v>
      </c>
      <c r="G72" s="221">
        <f t="shared" si="156"/>
        <v>0.13400000000000001</v>
      </c>
      <c r="H72" s="221">
        <f t="shared" si="105"/>
        <v>3.35</v>
      </c>
      <c r="I72" s="221">
        <f t="shared" ref="I72:I105" si="174">Vout2*G72</f>
        <v>0.67</v>
      </c>
      <c r="J72" s="551">
        <f t="shared" si="106"/>
        <v>24</v>
      </c>
      <c r="K72" s="451">
        <f t="shared" si="107"/>
        <v>10.64</v>
      </c>
      <c r="L72" s="451">
        <f t="shared" si="108"/>
        <v>34.64</v>
      </c>
      <c r="M72" s="451"/>
      <c r="N72" s="221">
        <f t="shared" si="109"/>
        <v>0.30715935334872979</v>
      </c>
      <c r="O72" s="176">
        <f t="shared" si="157"/>
        <v>11.334180138568129</v>
      </c>
      <c r="P72" s="176">
        <f t="shared" si="110"/>
        <v>2.7202032332563508</v>
      </c>
      <c r="Q72" s="221">
        <f t="shared" si="111"/>
        <v>2.2668360277136257</v>
      </c>
      <c r="R72" s="221">
        <f t="shared" si="112"/>
        <v>2.2668360277136257</v>
      </c>
      <c r="S72" s="451">
        <f t="shared" si="113"/>
        <v>5</v>
      </c>
      <c r="T72" s="221">
        <f t="shared" si="114"/>
        <v>1.2118212197159566</v>
      </c>
      <c r="U72" s="221">
        <f t="shared" si="115"/>
        <v>0.35344785575048737</v>
      </c>
      <c r="V72" s="221">
        <f t="shared" si="116"/>
        <v>0.79725080244470825</v>
      </c>
      <c r="W72" s="201">
        <f t="shared" si="117"/>
        <v>350</v>
      </c>
      <c r="X72" s="451">
        <f t="shared" si="158"/>
        <v>350</v>
      </c>
      <c r="Z72" s="221">
        <f t="shared" si="118"/>
        <v>3.0089079511712309</v>
      </c>
      <c r="AA72" s="177">
        <f t="shared" si="119"/>
        <v>1.9795447047179149</v>
      </c>
      <c r="AB72" s="177">
        <f t="shared" si="120"/>
        <v>2.0846937306036244</v>
      </c>
      <c r="AC72" s="177"/>
      <c r="AD72" s="177">
        <f t="shared" si="121"/>
        <v>0.53947368421052622</v>
      </c>
      <c r="AE72" s="555">
        <f t="shared" si="122"/>
        <v>1514.5746579417018</v>
      </c>
      <c r="AF72" s="538">
        <f t="shared" si="123"/>
        <v>0.15482894736842101</v>
      </c>
      <c r="AH72" s="177">
        <f t="shared" si="124"/>
        <v>1.8115277124739839</v>
      </c>
      <c r="AI72" s="177">
        <f t="shared" si="125"/>
        <v>1.8115277124739839</v>
      </c>
      <c r="AJ72" s="177">
        <f t="shared" si="126"/>
        <v>1.934464972202951</v>
      </c>
      <c r="AL72" s="555">
        <f t="shared" si="127"/>
        <v>670</v>
      </c>
      <c r="AM72" s="469">
        <f t="shared" si="128"/>
        <v>350</v>
      </c>
      <c r="AO72">
        <f t="shared" si="159"/>
        <v>670</v>
      </c>
      <c r="AP72">
        <f t="shared" si="129"/>
        <v>350</v>
      </c>
      <c r="AR72" s="5">
        <f t="shared" si="160"/>
        <v>2.8571428571428572</v>
      </c>
      <c r="AS72" s="5">
        <f t="shared" si="130"/>
        <v>0.52836224947157862</v>
      </c>
      <c r="AT72" s="5">
        <f t="shared" si="161"/>
        <v>2.3287806076712787</v>
      </c>
      <c r="AU72" s="177">
        <f t="shared" si="162"/>
        <v>0.18492678731505252</v>
      </c>
      <c r="AW72" s="5">
        <f t="shared" si="131"/>
        <v>12.458288888888889</v>
      </c>
      <c r="AX72" s="5">
        <f t="shared" si="132"/>
        <v>4.8062629411111111</v>
      </c>
      <c r="AY72" s="5">
        <f t="shared" si="133"/>
        <v>0.49833155555555569</v>
      </c>
      <c r="AZ72" s="5">
        <f t="shared" si="134"/>
        <v>0.7764114438383839</v>
      </c>
      <c r="BA72" s="5">
        <f t="shared" si="135"/>
        <v>0.36117662202309175</v>
      </c>
      <c r="BB72" s="469">
        <f t="shared" si="136"/>
        <v>43.899527976104352</v>
      </c>
      <c r="BC72" s="5"/>
      <c r="BD72" s="177">
        <f t="shared" si="163"/>
        <v>0.44976356147009233</v>
      </c>
      <c r="BE72" s="177">
        <f t="shared" si="137"/>
        <v>1.8884811778719393</v>
      </c>
      <c r="BF72" s="177">
        <f t="shared" si="138"/>
        <v>0.37769623557438786</v>
      </c>
      <c r="BG72" s="177"/>
      <c r="BH72" s="538">
        <f t="shared" si="139"/>
        <v>2.2251598734888769E-2</v>
      </c>
      <c r="BI72" s="538">
        <f t="shared" si="140"/>
        <v>0.1098148099301729</v>
      </c>
      <c r="BJ72" s="538">
        <f t="shared" si="141"/>
        <v>1.7499999999999998E-2</v>
      </c>
      <c r="BK72" s="538">
        <f t="shared" si="142"/>
        <v>9.4494456000000004E-2</v>
      </c>
      <c r="BL72">
        <f t="shared" si="143"/>
        <v>6.96E-3</v>
      </c>
      <c r="BM72">
        <f t="shared" si="144"/>
        <v>6.6500000000000004E-5</v>
      </c>
      <c r="BN72">
        <f t="shared" si="145"/>
        <v>0.25513878234556381</v>
      </c>
      <c r="BO72" s="469">
        <f t="shared" si="164"/>
        <v>255.13878234556381</v>
      </c>
      <c r="BP72" s="177">
        <f t="shared" si="146"/>
        <v>0.52840999256109122</v>
      </c>
      <c r="BQ72" s="177">
        <f t="shared" si="147"/>
        <v>6.2086799702443657E-2</v>
      </c>
      <c r="BR72" s="538"/>
      <c r="BT72" s="469">
        <f t="shared" si="165"/>
        <v>590.49679226353487</v>
      </c>
      <c r="BU72" s="538">
        <f t="shared" si="148"/>
        <v>2.0228726122626155E-2</v>
      </c>
      <c r="BV72" s="538">
        <f t="shared" si="149"/>
        <v>0.10699083477529761</v>
      </c>
      <c r="BW72" s="538">
        <f t="shared" si="150"/>
        <v>7.1327223183531747E-3</v>
      </c>
      <c r="BX72" s="538">
        <f t="shared" si="151"/>
        <v>0</v>
      </c>
      <c r="BY72" s="538">
        <f t="shared" si="152"/>
        <v>0.15210945743464085</v>
      </c>
      <c r="BZ72" s="538">
        <f t="shared" si="166"/>
        <v>0.13435228321627696</v>
      </c>
      <c r="CA72" s="641">
        <f t="shared" si="153"/>
        <v>5.742857142857144E-2</v>
      </c>
      <c r="CB72" s="469">
        <f t="shared" si="167"/>
        <v>209.5380288632123</v>
      </c>
      <c r="CC72" s="177">
        <f t="shared" si="168"/>
        <v>1.0551736034723109</v>
      </c>
      <c r="CD72" s="5">
        <f t="shared" si="169"/>
        <v>4.0200000000000005</v>
      </c>
      <c r="CE72" s="177">
        <f t="shared" si="170"/>
        <v>0.79209113107965667</v>
      </c>
      <c r="CF72" s="5">
        <f t="shared" si="171"/>
        <v>79.209113107965663</v>
      </c>
      <c r="CG72">
        <f t="shared" si="172"/>
        <v>67</v>
      </c>
      <c r="CI72" s="571">
        <f t="shared" si="154"/>
        <v>-50</v>
      </c>
      <c r="CJ72">
        <f t="shared" si="155"/>
        <v>-50</v>
      </c>
    </row>
    <row r="73" spans="5:88" x14ac:dyDescent="0.2">
      <c r="E73" s="174">
        <v>68</v>
      </c>
      <c r="F73" s="221">
        <f t="shared" si="173"/>
        <v>0.68</v>
      </c>
      <c r="G73" s="221">
        <f t="shared" si="156"/>
        <v>0.13600000000000001</v>
      </c>
      <c r="H73" s="221">
        <f t="shared" si="105"/>
        <v>3.4000000000000004</v>
      </c>
      <c r="I73" s="221">
        <f t="shared" si="174"/>
        <v>0.68</v>
      </c>
      <c r="J73" s="551">
        <f t="shared" si="106"/>
        <v>24</v>
      </c>
      <c r="K73" s="451">
        <f t="shared" si="107"/>
        <v>10.64</v>
      </c>
      <c r="L73" s="451">
        <f t="shared" si="108"/>
        <v>34.64</v>
      </c>
      <c r="M73" s="451"/>
      <c r="N73" s="221">
        <f t="shared" si="109"/>
        <v>0.30715935334872979</v>
      </c>
      <c r="O73" s="176">
        <f t="shared" si="157"/>
        <v>11.334180138568129</v>
      </c>
      <c r="P73" s="176">
        <f t="shared" si="110"/>
        <v>2.7202032332563508</v>
      </c>
      <c r="Q73" s="221">
        <f t="shared" si="111"/>
        <v>2.2668360277136257</v>
      </c>
      <c r="R73" s="221">
        <f t="shared" si="112"/>
        <v>2.2668360277136257</v>
      </c>
      <c r="S73" s="451">
        <f t="shared" si="113"/>
        <v>5</v>
      </c>
      <c r="T73" s="221">
        <f t="shared" si="114"/>
        <v>1.2299081035923141</v>
      </c>
      <c r="U73" s="221">
        <f t="shared" si="115"/>
        <v>0.35872319688109161</v>
      </c>
      <c r="V73" s="221">
        <f t="shared" si="116"/>
        <v>0.80915006815283808</v>
      </c>
      <c r="W73" s="201">
        <f t="shared" si="117"/>
        <v>350</v>
      </c>
      <c r="X73" s="451">
        <f t="shared" si="158"/>
        <v>350</v>
      </c>
      <c r="Z73" s="221">
        <f t="shared" si="118"/>
        <v>3.0089079511712309</v>
      </c>
      <c r="AA73" s="177">
        <f t="shared" si="119"/>
        <v>1.9795447047179149</v>
      </c>
      <c r="AB73" s="177">
        <f t="shared" si="120"/>
        <v>2.0846937306036244</v>
      </c>
      <c r="AC73" s="177"/>
      <c r="AD73" s="177">
        <f t="shared" si="121"/>
        <v>0.53947368421052622</v>
      </c>
      <c r="AE73" s="555">
        <f t="shared" si="122"/>
        <v>1537.1802498512793</v>
      </c>
      <c r="AF73" s="538">
        <f t="shared" si="123"/>
        <v>0.15482894736842101</v>
      </c>
      <c r="AH73" s="177">
        <f t="shared" si="124"/>
        <v>1.8249965054481498</v>
      </c>
      <c r="AI73" s="177">
        <f t="shared" si="125"/>
        <v>1.8249965054481498</v>
      </c>
      <c r="AJ73" s="177">
        <f t="shared" si="126"/>
        <v>1.9444418558875183</v>
      </c>
      <c r="AL73" s="555">
        <f t="shared" si="127"/>
        <v>680</v>
      </c>
      <c r="AM73" s="469">
        <f t="shared" si="128"/>
        <v>350</v>
      </c>
      <c r="AO73">
        <f t="shared" si="159"/>
        <v>680</v>
      </c>
      <c r="AP73">
        <f t="shared" si="129"/>
        <v>350</v>
      </c>
      <c r="AR73" s="5">
        <f t="shared" si="160"/>
        <v>2.8571428571428572</v>
      </c>
      <c r="AS73" s="5">
        <f t="shared" si="130"/>
        <v>0.53229064742237708</v>
      </c>
      <c r="AT73" s="5">
        <f t="shared" si="161"/>
        <v>2.32485220972048</v>
      </c>
      <c r="AU73" s="177">
        <f t="shared" si="162"/>
        <v>0.18630172659783198</v>
      </c>
      <c r="AW73" s="5">
        <f t="shared" si="131"/>
        <v>12.458288888888889</v>
      </c>
      <c r="AX73" s="5">
        <f t="shared" si="132"/>
        <v>4.9203563911111114</v>
      </c>
      <c r="AY73" s="5">
        <f t="shared" si="133"/>
        <v>0.49833155555555569</v>
      </c>
      <c r="AZ73" s="5">
        <f t="shared" si="134"/>
        <v>0.79570116202020214</v>
      </c>
      <c r="BA73" s="5">
        <f t="shared" si="135"/>
        <v>0.36594895893748292</v>
      </c>
      <c r="BB73" s="469">
        <f t="shared" si="136"/>
        <v>44.480541739164622</v>
      </c>
      <c r="BC73" s="5"/>
      <c r="BD73" s="177">
        <f t="shared" si="163"/>
        <v>0.45478889309670223</v>
      </c>
      <c r="BE73" s="177">
        <f t="shared" si="137"/>
        <v>1.9009167728741092</v>
      </c>
      <c r="BF73" s="177">
        <f t="shared" si="138"/>
        <v>0.38018335457482189</v>
      </c>
      <c r="BG73" s="177"/>
      <c r="BH73" s="538">
        <f t="shared" si="139"/>
        <v>2.2751623101253601E-2</v>
      </c>
      <c r="BI73" s="538">
        <f t="shared" si="140"/>
        <v>0.11063128816026686</v>
      </c>
      <c r="BJ73" s="538">
        <f t="shared" si="141"/>
        <v>1.7499999999999998E-2</v>
      </c>
      <c r="BK73" s="538">
        <f t="shared" si="142"/>
        <v>9.4494456000000004E-2</v>
      </c>
      <c r="BL73">
        <f t="shared" si="143"/>
        <v>6.96E-3</v>
      </c>
      <c r="BM73">
        <f t="shared" si="144"/>
        <v>6.6500000000000004E-5</v>
      </c>
      <c r="BN73">
        <f t="shared" si="145"/>
        <v>0.25655225924704594</v>
      </c>
      <c r="BO73" s="469">
        <f t="shared" si="164"/>
        <v>256.55225924704592</v>
      </c>
      <c r="BP73" s="177">
        <f t="shared" si="146"/>
        <v>0.53583022171291061</v>
      </c>
      <c r="BQ73" s="177">
        <f t="shared" si="147"/>
        <v>6.2994808868516425E-2</v>
      </c>
      <c r="BR73" s="538"/>
      <c r="BT73" s="469">
        <f t="shared" si="165"/>
        <v>598.82503058142697</v>
      </c>
      <c r="BU73" s="538">
        <f t="shared" si="148"/>
        <v>2.0683293728412364E-2</v>
      </c>
      <c r="BV73" s="538">
        <f t="shared" si="149"/>
        <v>0.10840453732182352</v>
      </c>
      <c r="BW73" s="538">
        <f t="shared" si="150"/>
        <v>7.2269691547882375E-3</v>
      </c>
      <c r="BX73" s="538">
        <f t="shared" si="151"/>
        <v>0</v>
      </c>
      <c r="BY73" s="538">
        <f t="shared" si="152"/>
        <v>0.15435585523497353</v>
      </c>
      <c r="BZ73" s="538">
        <f t="shared" si="166"/>
        <v>0.13631480020502412</v>
      </c>
      <c r="CA73" s="641">
        <f t="shared" si="153"/>
        <v>5.8285714285714274E-2</v>
      </c>
      <c r="CB73" s="469">
        <f t="shared" si="167"/>
        <v>212.6415695206878</v>
      </c>
      <c r="CC73" s="177">
        <f t="shared" si="168"/>
        <v>1.0680188593491606</v>
      </c>
      <c r="CD73" s="5">
        <f t="shared" si="169"/>
        <v>4.08</v>
      </c>
      <c r="CE73" s="177">
        <f t="shared" si="170"/>
        <v>0.79253788913193968</v>
      </c>
      <c r="CF73" s="5">
        <f t="shared" si="171"/>
        <v>79.253788913193972</v>
      </c>
      <c r="CG73">
        <f t="shared" si="172"/>
        <v>68</v>
      </c>
      <c r="CI73" s="571">
        <f t="shared" si="154"/>
        <v>-50</v>
      </c>
      <c r="CJ73">
        <f t="shared" si="155"/>
        <v>-50</v>
      </c>
    </row>
    <row r="74" spans="5:88" x14ac:dyDescent="0.2">
      <c r="E74" s="174">
        <v>69</v>
      </c>
      <c r="F74" s="221">
        <f t="shared" si="173"/>
        <v>0.69</v>
      </c>
      <c r="G74" s="221">
        <f t="shared" si="156"/>
        <v>0.13799999999999998</v>
      </c>
      <c r="H74" s="221">
        <f t="shared" si="105"/>
        <v>3.4499999999999997</v>
      </c>
      <c r="I74" s="221">
        <f t="shared" si="174"/>
        <v>0.69</v>
      </c>
      <c r="J74" s="551">
        <f t="shared" si="106"/>
        <v>24</v>
      </c>
      <c r="K74" s="451">
        <f t="shared" si="107"/>
        <v>10.64</v>
      </c>
      <c r="L74" s="451">
        <f t="shared" si="108"/>
        <v>34.64</v>
      </c>
      <c r="M74" s="451"/>
      <c r="N74" s="221">
        <f t="shared" si="109"/>
        <v>0.30715935334872979</v>
      </c>
      <c r="O74" s="176">
        <f t="shared" si="157"/>
        <v>11.334180138568129</v>
      </c>
      <c r="P74" s="176">
        <f t="shared" si="110"/>
        <v>2.7202032332563508</v>
      </c>
      <c r="Q74" s="221">
        <f t="shared" si="111"/>
        <v>2.2668360277136257</v>
      </c>
      <c r="R74" s="221">
        <f t="shared" si="112"/>
        <v>2.2668360277136257</v>
      </c>
      <c r="S74" s="451">
        <f t="shared" si="113"/>
        <v>5</v>
      </c>
      <c r="T74" s="221">
        <f t="shared" si="114"/>
        <v>1.2479949874686715</v>
      </c>
      <c r="U74" s="221">
        <f t="shared" si="115"/>
        <v>0.36399853801169585</v>
      </c>
      <c r="V74" s="221">
        <f t="shared" si="116"/>
        <v>0.82104933386096812</v>
      </c>
      <c r="W74" s="201">
        <f t="shared" si="117"/>
        <v>350</v>
      </c>
      <c r="X74" s="451">
        <f t="shared" si="158"/>
        <v>350</v>
      </c>
      <c r="Z74" s="221">
        <f t="shared" si="118"/>
        <v>3.0089079511712309</v>
      </c>
      <c r="AA74" s="177">
        <f t="shared" si="119"/>
        <v>1.9795447047179149</v>
      </c>
      <c r="AB74" s="177">
        <f t="shared" si="120"/>
        <v>2.0846937306036244</v>
      </c>
      <c r="AC74" s="177"/>
      <c r="AD74" s="177">
        <f t="shared" si="121"/>
        <v>0.53947368421052622</v>
      </c>
      <c r="AE74" s="555">
        <f t="shared" si="122"/>
        <v>1559.7858417608568</v>
      </c>
      <c r="AF74" s="538">
        <f t="shared" si="123"/>
        <v>0.15482894736842101</v>
      </c>
      <c r="AH74" s="177">
        <f t="shared" si="124"/>
        <v>1.8383666219594756</v>
      </c>
      <c r="AI74" s="177">
        <f t="shared" si="125"/>
        <v>1.8383666219594756</v>
      </c>
      <c r="AJ74" s="177">
        <f t="shared" si="126"/>
        <v>1.9543456458959079</v>
      </c>
      <c r="AL74" s="555">
        <f t="shared" si="127"/>
        <v>690</v>
      </c>
      <c r="AM74" s="469">
        <f t="shared" si="128"/>
        <v>350</v>
      </c>
      <c r="AO74">
        <f t="shared" si="159"/>
        <v>690</v>
      </c>
      <c r="AP74">
        <f t="shared" si="129"/>
        <v>350</v>
      </c>
      <c r="AR74" s="5">
        <f t="shared" si="160"/>
        <v>2.8571428571428572</v>
      </c>
      <c r="AS74" s="5">
        <f t="shared" si="130"/>
        <v>0.53619026473818043</v>
      </c>
      <c r="AT74" s="5">
        <f t="shared" si="161"/>
        <v>2.3209525924046766</v>
      </c>
      <c r="AU74" s="177">
        <f t="shared" si="162"/>
        <v>0.18766659265836313</v>
      </c>
      <c r="AW74" s="5">
        <f t="shared" si="131"/>
        <v>12.458288888888889</v>
      </c>
      <c r="AX74" s="5">
        <f t="shared" si="132"/>
        <v>5.0356956699999991</v>
      </c>
      <c r="AY74" s="5">
        <f t="shared" si="133"/>
        <v>0.49833155555555569</v>
      </c>
      <c r="AZ74" s="5">
        <f t="shared" si="134"/>
        <v>0.81521739454545439</v>
      </c>
      <c r="BA74" s="5">
        <f t="shared" si="135"/>
        <v>0.37070770573130246</v>
      </c>
      <c r="BB74" s="469">
        <f t="shared" si="136"/>
        <v>45.0599246877563</v>
      </c>
      <c r="BC74" s="5"/>
      <c r="BD74" s="177">
        <f t="shared" si="163"/>
        <v>0.45979578241360552</v>
      </c>
      <c r="BE74" s="177">
        <f t="shared" si="137"/>
        <v>1.9132364733294818</v>
      </c>
      <c r="BF74" s="177">
        <f t="shared" si="138"/>
        <v>0.38264729466589636</v>
      </c>
      <c r="BG74" s="177"/>
      <c r="BH74" s="538">
        <f t="shared" si="139"/>
        <v>2.3255337767787366E-2</v>
      </c>
      <c r="BI74" s="538">
        <f t="shared" si="140"/>
        <v>0.11144178462318341</v>
      </c>
      <c r="BJ74" s="538">
        <f t="shared" si="141"/>
        <v>1.7499999999999998E-2</v>
      </c>
      <c r="BK74" s="538">
        <f t="shared" si="142"/>
        <v>9.4494456000000004E-2</v>
      </c>
      <c r="BL74">
        <f t="shared" si="143"/>
        <v>6.96E-3</v>
      </c>
      <c r="BM74">
        <f t="shared" si="144"/>
        <v>6.6500000000000004E-5</v>
      </c>
      <c r="BN74">
        <f t="shared" si="145"/>
        <v>0.25796437346313766</v>
      </c>
      <c r="BO74" s="469">
        <f t="shared" si="164"/>
        <v>257.96437346313769</v>
      </c>
      <c r="BP74" s="177">
        <f t="shared" si="146"/>
        <v>0.54324019853989702</v>
      </c>
      <c r="BQ74" s="177">
        <f t="shared" si="147"/>
        <v>6.3902407941595879E-2</v>
      </c>
      <c r="BR74" s="538"/>
      <c r="BT74" s="469">
        <f t="shared" si="165"/>
        <v>607.14260648149286</v>
      </c>
      <c r="BU74" s="538">
        <f t="shared" si="148"/>
        <v>2.1141216152533969E-2</v>
      </c>
      <c r="BV74" s="538">
        <f t="shared" si="149"/>
        <v>0.10981421408634698</v>
      </c>
      <c r="BW74" s="538">
        <f t="shared" si="150"/>
        <v>7.3209476057564662E-3</v>
      </c>
      <c r="BX74" s="538">
        <f t="shared" si="151"/>
        <v>0</v>
      </c>
      <c r="BY74" s="538">
        <f t="shared" si="152"/>
        <v>0.15660189056122822</v>
      </c>
      <c r="BZ74" s="538">
        <f t="shared" si="166"/>
        <v>0.13827637784463742</v>
      </c>
      <c r="CA74" s="641">
        <f t="shared" si="153"/>
        <v>5.9142857142857143E-2</v>
      </c>
      <c r="CB74" s="469">
        <f t="shared" si="167"/>
        <v>215.74474770408537</v>
      </c>
      <c r="CC74" s="177">
        <f t="shared" si="168"/>
        <v>1.080851727648716</v>
      </c>
      <c r="CD74" s="5">
        <f t="shared" si="169"/>
        <v>4.1399999999999997</v>
      </c>
      <c r="CE74" s="177">
        <f t="shared" si="170"/>
        <v>0.79297406169864681</v>
      </c>
      <c r="CF74" s="5">
        <f t="shared" si="171"/>
        <v>79.297406169864686</v>
      </c>
      <c r="CG74">
        <f t="shared" si="172"/>
        <v>69</v>
      </c>
      <c r="CI74" s="571">
        <f t="shared" si="154"/>
        <v>-50</v>
      </c>
      <c r="CJ74">
        <f t="shared" si="155"/>
        <v>-50</v>
      </c>
    </row>
    <row r="75" spans="5:88" x14ac:dyDescent="0.2">
      <c r="E75" s="174">
        <v>70</v>
      </c>
      <c r="F75" s="221">
        <f t="shared" si="173"/>
        <v>0.7</v>
      </c>
      <c r="G75" s="221">
        <f t="shared" si="156"/>
        <v>0.13999999999999999</v>
      </c>
      <c r="H75" s="221">
        <f t="shared" si="105"/>
        <v>3.5</v>
      </c>
      <c r="I75" s="221">
        <f t="shared" si="174"/>
        <v>0.7</v>
      </c>
      <c r="J75" s="551">
        <f t="shared" si="106"/>
        <v>24</v>
      </c>
      <c r="K75" s="451">
        <f t="shared" si="107"/>
        <v>10.64</v>
      </c>
      <c r="L75" s="451">
        <f t="shared" si="108"/>
        <v>34.64</v>
      </c>
      <c r="M75" s="451"/>
      <c r="N75" s="221">
        <f t="shared" si="109"/>
        <v>0.30715935334872979</v>
      </c>
      <c r="O75" s="176">
        <f t="shared" si="157"/>
        <v>11.334180138568129</v>
      </c>
      <c r="P75" s="176">
        <f t="shared" si="110"/>
        <v>2.7202032332563508</v>
      </c>
      <c r="Q75" s="221">
        <f t="shared" si="111"/>
        <v>2.2668360277136257</v>
      </c>
      <c r="R75" s="221">
        <f t="shared" si="112"/>
        <v>2.2668360277136257</v>
      </c>
      <c r="S75" s="451">
        <f t="shared" si="113"/>
        <v>5</v>
      </c>
      <c r="T75" s="221">
        <f t="shared" si="114"/>
        <v>1.2660818713450293</v>
      </c>
      <c r="U75" s="221">
        <f t="shared" si="115"/>
        <v>0.3692738791423002</v>
      </c>
      <c r="V75" s="221">
        <f t="shared" si="116"/>
        <v>0.83294859956909817</v>
      </c>
      <c r="W75" s="201">
        <f t="shared" si="117"/>
        <v>350</v>
      </c>
      <c r="X75" s="451">
        <f t="shared" si="158"/>
        <v>350</v>
      </c>
      <c r="Z75" s="221">
        <f t="shared" si="118"/>
        <v>3.0089079511712309</v>
      </c>
      <c r="AA75" s="177">
        <f t="shared" si="119"/>
        <v>1.9795447047179149</v>
      </c>
      <c r="AB75" s="177">
        <f t="shared" si="120"/>
        <v>2.0846937306036244</v>
      </c>
      <c r="AC75" s="177"/>
      <c r="AD75" s="177">
        <f t="shared" si="121"/>
        <v>0.53947368421052622</v>
      </c>
      <c r="AE75" s="555">
        <f t="shared" si="122"/>
        <v>1582.3914336704345</v>
      </c>
      <c r="AF75" s="538">
        <f t="shared" si="123"/>
        <v>0.15482894736842101</v>
      </c>
      <c r="AH75" s="177">
        <f t="shared" si="124"/>
        <v>1.8516401995451028</v>
      </c>
      <c r="AI75" s="177">
        <f t="shared" si="125"/>
        <v>1.8516401995451028</v>
      </c>
      <c r="AJ75" s="177">
        <f t="shared" si="126"/>
        <v>1.9641779255889651</v>
      </c>
      <c r="AL75" s="555">
        <f t="shared" si="127"/>
        <v>700</v>
      </c>
      <c r="AM75" s="469">
        <f t="shared" si="128"/>
        <v>350</v>
      </c>
      <c r="AO75">
        <f t="shared" si="159"/>
        <v>700</v>
      </c>
      <c r="AP75">
        <f t="shared" si="129"/>
        <v>350</v>
      </c>
      <c r="AR75" s="5">
        <f t="shared" si="160"/>
        <v>2.8571428571428572</v>
      </c>
      <c r="AS75" s="5">
        <f t="shared" si="130"/>
        <v>0.54006172486732162</v>
      </c>
      <c r="AT75" s="5">
        <f t="shared" si="161"/>
        <v>2.3170811322755354</v>
      </c>
      <c r="AU75" s="177">
        <f t="shared" si="162"/>
        <v>0.18902160370356255</v>
      </c>
      <c r="AW75" s="5">
        <f t="shared" si="131"/>
        <v>12.458288888888889</v>
      </c>
      <c r="AX75" s="5">
        <f t="shared" si="132"/>
        <v>5.1522807777777775</v>
      </c>
      <c r="AY75" s="5">
        <f t="shared" si="133"/>
        <v>0.49833155555555569</v>
      </c>
      <c r="AZ75" s="5">
        <f t="shared" si="134"/>
        <v>0.83496014141414121</v>
      </c>
      <c r="BA75" s="5">
        <f t="shared" si="135"/>
        <v>0.37545296124835059</v>
      </c>
      <c r="BB75" s="469">
        <f t="shared" si="136"/>
        <v>45.637688683135408</v>
      </c>
      <c r="BC75" s="5"/>
      <c r="BD75" s="177">
        <f t="shared" si="163"/>
        <v>0.4647845629395716</v>
      </c>
      <c r="BE75" s="177">
        <f t="shared" si="137"/>
        <v>1.9254427573004749</v>
      </c>
      <c r="BF75" s="177">
        <f t="shared" si="138"/>
        <v>0.38508855146009502</v>
      </c>
      <c r="BG75" s="177"/>
      <c r="BH75" s="538">
        <f t="shared" si="139"/>
        <v>2.3762715894162144E-2</v>
      </c>
      <c r="BI75" s="538">
        <f t="shared" si="140"/>
        <v>0.11224642889642415</v>
      </c>
      <c r="BJ75" s="538">
        <f t="shared" si="141"/>
        <v>1.7499999999999998E-2</v>
      </c>
      <c r="BK75" s="538">
        <f t="shared" si="142"/>
        <v>9.4494456000000004E-2</v>
      </c>
      <c r="BL75">
        <f t="shared" si="143"/>
        <v>6.96E-3</v>
      </c>
      <c r="BM75">
        <f t="shared" si="144"/>
        <v>6.6500000000000004E-5</v>
      </c>
      <c r="BN75">
        <f t="shared" si="145"/>
        <v>0.25937522576938749</v>
      </c>
      <c r="BO75" s="469">
        <f t="shared" si="164"/>
        <v>259.3752257693875</v>
      </c>
      <c r="BP75" s="177">
        <f t="shared" si="146"/>
        <v>0.55063999760936133</v>
      </c>
      <c r="BQ75" s="177">
        <f t="shared" si="147"/>
        <v>6.4809599904374446E-2</v>
      </c>
      <c r="BR75" s="538"/>
      <c r="BT75" s="469">
        <f t="shared" si="165"/>
        <v>615.44959751373574</v>
      </c>
      <c r="BU75" s="538">
        <f t="shared" si="148"/>
        <v>2.1602468994692859E-2</v>
      </c>
      <c r="BV75" s="538">
        <f t="shared" si="149"/>
        <v>0.11121989434922566</v>
      </c>
      <c r="BW75" s="538">
        <f t="shared" si="150"/>
        <v>7.4146596232817124E-3</v>
      </c>
      <c r="BX75" s="538">
        <f t="shared" si="151"/>
        <v>0</v>
      </c>
      <c r="BY75" s="538">
        <f t="shared" si="152"/>
        <v>0.15884757055528392</v>
      </c>
      <c r="BZ75" s="538">
        <f t="shared" si="166"/>
        <v>0.14023702296720025</v>
      </c>
      <c r="CA75" s="641">
        <f t="shared" si="153"/>
        <v>6.0000000000000005E-2</v>
      </c>
      <c r="CB75" s="469">
        <f t="shared" si="167"/>
        <v>218.84757055528391</v>
      </c>
      <c r="CC75" s="177">
        <f t="shared" si="168"/>
        <v>1.0936723938384072</v>
      </c>
      <c r="CD75" s="5">
        <f t="shared" si="169"/>
        <v>4.2</v>
      </c>
      <c r="CE75" s="177">
        <f t="shared" si="170"/>
        <v>0.79340006096497551</v>
      </c>
      <c r="CF75" s="5">
        <f t="shared" si="171"/>
        <v>79.340006096497547</v>
      </c>
      <c r="CG75">
        <f t="shared" si="172"/>
        <v>70</v>
      </c>
      <c r="CI75" s="571">
        <f t="shared" si="154"/>
        <v>-50</v>
      </c>
      <c r="CJ75">
        <f t="shared" si="155"/>
        <v>-50</v>
      </c>
    </row>
    <row r="76" spans="5:88" x14ac:dyDescent="0.2">
      <c r="E76" s="174">
        <v>71</v>
      </c>
      <c r="F76" s="221">
        <f t="shared" si="173"/>
        <v>0.71</v>
      </c>
      <c r="G76" s="221">
        <f t="shared" si="156"/>
        <v>0.14199999999999999</v>
      </c>
      <c r="H76" s="221">
        <f t="shared" si="105"/>
        <v>3.55</v>
      </c>
      <c r="I76" s="221">
        <f t="shared" si="174"/>
        <v>0.71</v>
      </c>
      <c r="J76" s="551">
        <f t="shared" si="106"/>
        <v>24</v>
      </c>
      <c r="K76" s="451">
        <f t="shared" si="107"/>
        <v>10.64</v>
      </c>
      <c r="L76" s="451">
        <f t="shared" si="108"/>
        <v>34.64</v>
      </c>
      <c r="M76" s="451"/>
      <c r="N76" s="221">
        <f t="shared" si="109"/>
        <v>0.30715935334872979</v>
      </c>
      <c r="O76" s="176">
        <f t="shared" si="157"/>
        <v>11.334180138568129</v>
      </c>
      <c r="P76" s="176">
        <f t="shared" si="110"/>
        <v>2.7202032332563508</v>
      </c>
      <c r="Q76" s="221">
        <f t="shared" si="111"/>
        <v>2.2668360277136257</v>
      </c>
      <c r="R76" s="221">
        <f t="shared" si="112"/>
        <v>2.2668360277136257</v>
      </c>
      <c r="S76" s="451">
        <f t="shared" si="113"/>
        <v>5</v>
      </c>
      <c r="T76" s="221">
        <f t="shared" si="114"/>
        <v>1.2841687552213867</v>
      </c>
      <c r="U76" s="221">
        <f t="shared" si="115"/>
        <v>0.37454922027290449</v>
      </c>
      <c r="V76" s="221">
        <f t="shared" si="116"/>
        <v>0.84484786527722811</v>
      </c>
      <c r="W76" s="201">
        <f t="shared" si="117"/>
        <v>350</v>
      </c>
      <c r="X76" s="451">
        <f t="shared" si="158"/>
        <v>350</v>
      </c>
      <c r="Z76" s="221">
        <f t="shared" si="118"/>
        <v>3.0089079511712309</v>
      </c>
      <c r="AA76" s="177">
        <f t="shared" si="119"/>
        <v>1.9795447047179149</v>
      </c>
      <c r="AB76" s="177">
        <f t="shared" si="120"/>
        <v>2.0846937306036244</v>
      </c>
      <c r="AC76" s="177"/>
      <c r="AD76" s="177">
        <f t="shared" si="121"/>
        <v>0.53947368421052622</v>
      </c>
      <c r="AE76" s="555">
        <f t="shared" si="122"/>
        <v>1604.997025580012</v>
      </c>
      <c r="AF76" s="538">
        <f t="shared" si="123"/>
        <v>0.15482894736842101</v>
      </c>
      <c r="AH76" s="177">
        <f t="shared" si="124"/>
        <v>1.8648192996663679</v>
      </c>
      <c r="AI76" s="177">
        <f t="shared" si="125"/>
        <v>1.8648192996663679</v>
      </c>
      <c r="AJ76" s="177">
        <f t="shared" si="126"/>
        <v>1.9739402219750875</v>
      </c>
      <c r="AL76" s="555">
        <f t="shared" si="127"/>
        <v>710</v>
      </c>
      <c r="AM76" s="469">
        <f t="shared" si="128"/>
        <v>350</v>
      </c>
      <c r="AO76">
        <f t="shared" si="159"/>
        <v>710</v>
      </c>
      <c r="AP76">
        <f t="shared" si="129"/>
        <v>350</v>
      </c>
      <c r="AR76" s="5">
        <f t="shared" si="160"/>
        <v>2.8571428571428572</v>
      </c>
      <c r="AS76" s="5">
        <f t="shared" si="130"/>
        <v>0.54390562906935724</v>
      </c>
      <c r="AT76" s="5">
        <f t="shared" si="161"/>
        <v>2.3132372280735001</v>
      </c>
      <c r="AU76" s="177">
        <f t="shared" si="162"/>
        <v>0.19036697017427504</v>
      </c>
      <c r="AW76" s="5">
        <f t="shared" si="131"/>
        <v>12.458288888888889</v>
      </c>
      <c r="AX76" s="5">
        <f t="shared" si="132"/>
        <v>5.270111714444444</v>
      </c>
      <c r="AY76" s="5">
        <f t="shared" si="133"/>
        <v>0.49833155555555569</v>
      </c>
      <c r="AZ76" s="5">
        <f t="shared" si="134"/>
        <v>0.8549294026262626</v>
      </c>
      <c r="BA76" s="5">
        <f t="shared" si="135"/>
        <v>0.38018482220652422</v>
      </c>
      <c r="BB76" s="469">
        <f t="shared" si="136"/>
        <v>46.213845331449576</v>
      </c>
      <c r="BC76" s="5"/>
      <c r="BD76" s="177">
        <f t="shared" si="163"/>
        <v>0.46975555749118447</v>
      </c>
      <c r="BE76" s="177">
        <f t="shared" si="137"/>
        <v>1.9375380147760035</v>
      </c>
      <c r="BF76" s="177">
        <f t="shared" si="138"/>
        <v>0.3875076029552007</v>
      </c>
      <c r="BG76" s="177"/>
      <c r="BH76" s="538">
        <f t="shared" si="139"/>
        <v>2.4273731217323888E-2</v>
      </c>
      <c r="BI76" s="538">
        <f t="shared" si="140"/>
        <v>0.11304534594577523</v>
      </c>
      <c r="BJ76" s="538">
        <f t="shared" si="141"/>
        <v>1.7499999999999998E-2</v>
      </c>
      <c r="BK76" s="538">
        <f t="shared" si="142"/>
        <v>9.4494456000000004E-2</v>
      </c>
      <c r="BL76">
        <f t="shared" si="143"/>
        <v>6.96E-3</v>
      </c>
      <c r="BM76">
        <f t="shared" si="144"/>
        <v>6.6500000000000004E-5</v>
      </c>
      <c r="BN76">
        <f t="shared" si="145"/>
        <v>0.26078491299947726</v>
      </c>
      <c r="BO76" s="469">
        <f t="shared" si="164"/>
        <v>260.78491299947729</v>
      </c>
      <c r="BP76" s="177">
        <f t="shared" si="146"/>
        <v>0.55802969188484319</v>
      </c>
      <c r="BQ76" s="177">
        <f t="shared" si="147"/>
        <v>6.5716387675393728E-2</v>
      </c>
      <c r="BR76" s="538"/>
      <c r="BT76" s="469">
        <f t="shared" si="165"/>
        <v>623.74607956023692</v>
      </c>
      <c r="BU76" s="538">
        <f t="shared" si="148"/>
        <v>2.2067028379385355E-2</v>
      </c>
      <c r="BV76" s="538">
        <f t="shared" si="149"/>
        <v>0.1126216067610641</v>
      </c>
      <c r="BW76" s="538">
        <f t="shared" si="150"/>
        <v>7.5081071174042738E-3</v>
      </c>
      <c r="BX76" s="538">
        <f t="shared" si="151"/>
        <v>0</v>
      </c>
      <c r="BY76" s="538">
        <f t="shared" si="152"/>
        <v>0.16109290220029579</v>
      </c>
      <c r="BZ76" s="538">
        <f t="shared" si="166"/>
        <v>0.14219674225785373</v>
      </c>
      <c r="CA76" s="641">
        <f t="shared" si="153"/>
        <v>6.085714285714286E-2</v>
      </c>
      <c r="CB76" s="469">
        <f t="shared" si="167"/>
        <v>221.95004505743864</v>
      </c>
      <c r="CC76" s="177">
        <f t="shared" si="168"/>
        <v>1.106481037617153</v>
      </c>
      <c r="CD76" s="5">
        <f t="shared" si="169"/>
        <v>4.26</v>
      </c>
      <c r="CE76" s="177">
        <f t="shared" si="170"/>
        <v>0.7938162773964712</v>
      </c>
      <c r="CF76" s="5">
        <f t="shared" si="171"/>
        <v>79.381627739647115</v>
      </c>
      <c r="CG76">
        <f t="shared" si="172"/>
        <v>71</v>
      </c>
      <c r="CI76" s="571">
        <f t="shared" si="154"/>
        <v>-50</v>
      </c>
      <c r="CJ76">
        <f t="shared" si="155"/>
        <v>-50</v>
      </c>
    </row>
    <row r="77" spans="5:88" x14ac:dyDescent="0.2">
      <c r="E77" s="174">
        <v>72</v>
      </c>
      <c r="F77" s="221">
        <f t="shared" si="173"/>
        <v>0.72</v>
      </c>
      <c r="G77" s="221">
        <f t="shared" si="156"/>
        <v>0.14399999999999999</v>
      </c>
      <c r="H77" s="221">
        <f t="shared" si="105"/>
        <v>3.5999999999999996</v>
      </c>
      <c r="I77" s="221">
        <f t="shared" si="174"/>
        <v>0.72</v>
      </c>
      <c r="J77" s="551">
        <f t="shared" si="106"/>
        <v>24</v>
      </c>
      <c r="K77" s="451">
        <f t="shared" si="107"/>
        <v>10.64</v>
      </c>
      <c r="L77" s="451">
        <f t="shared" si="108"/>
        <v>34.64</v>
      </c>
      <c r="M77" s="451"/>
      <c r="N77" s="221">
        <f t="shared" si="109"/>
        <v>0.30715935334872979</v>
      </c>
      <c r="O77" s="176">
        <f t="shared" si="157"/>
        <v>11.334180138568129</v>
      </c>
      <c r="P77" s="176">
        <f t="shared" si="110"/>
        <v>2.7202032332563508</v>
      </c>
      <c r="Q77" s="221">
        <f t="shared" si="111"/>
        <v>2.2668360277136257</v>
      </c>
      <c r="R77" s="221">
        <f t="shared" si="112"/>
        <v>2.2668360277136257</v>
      </c>
      <c r="S77" s="451">
        <f t="shared" si="113"/>
        <v>5</v>
      </c>
      <c r="T77" s="221">
        <f t="shared" si="114"/>
        <v>1.3022556390977442</v>
      </c>
      <c r="U77" s="221">
        <f t="shared" si="115"/>
        <v>0.37982456140350873</v>
      </c>
      <c r="V77" s="221">
        <f t="shared" si="116"/>
        <v>0.85674713098535793</v>
      </c>
      <c r="W77" s="201">
        <f t="shared" si="117"/>
        <v>350</v>
      </c>
      <c r="X77" s="451">
        <f t="shared" si="158"/>
        <v>350</v>
      </c>
      <c r="Z77" s="221">
        <f t="shared" si="118"/>
        <v>3.0089079511712309</v>
      </c>
      <c r="AA77" s="177">
        <f t="shared" si="119"/>
        <v>1.9795447047179149</v>
      </c>
      <c r="AB77" s="177">
        <f t="shared" si="120"/>
        <v>2.0846937306036244</v>
      </c>
      <c r="AC77" s="177"/>
      <c r="AD77" s="177">
        <f t="shared" si="121"/>
        <v>0.53947368421052622</v>
      </c>
      <c r="AE77" s="555">
        <f t="shared" si="122"/>
        <v>1627.6026174895899</v>
      </c>
      <c r="AF77" s="538">
        <f t="shared" si="123"/>
        <v>0.15482894736842101</v>
      </c>
      <c r="AH77" s="177">
        <f t="shared" si="124"/>
        <v>1.8779059114462837</v>
      </c>
      <c r="AI77" s="177">
        <f t="shared" si="125"/>
        <v>1.8779059114462837</v>
      </c>
      <c r="AJ77" s="177">
        <f t="shared" si="126"/>
        <v>1.9836340084787285</v>
      </c>
      <c r="AL77" s="555">
        <f t="shared" si="127"/>
        <v>720</v>
      </c>
      <c r="AM77" s="469">
        <f t="shared" si="128"/>
        <v>350</v>
      </c>
      <c r="AO77">
        <f t="shared" si="159"/>
        <v>720</v>
      </c>
      <c r="AP77">
        <f t="shared" si="129"/>
        <v>350</v>
      </c>
      <c r="AR77" s="5">
        <f t="shared" si="160"/>
        <v>2.8571428571428572</v>
      </c>
      <c r="AS77" s="5">
        <f t="shared" si="130"/>
        <v>0.54772255750516607</v>
      </c>
      <c r="AT77" s="5">
        <f t="shared" si="161"/>
        <v>2.3094202996376909</v>
      </c>
      <c r="AU77" s="177">
        <f t="shared" si="162"/>
        <v>0.19170289512680813</v>
      </c>
      <c r="AW77" s="5">
        <f t="shared" si="131"/>
        <v>12.458288888888889</v>
      </c>
      <c r="AX77" s="5">
        <f t="shared" si="132"/>
        <v>5.3891884799999996</v>
      </c>
      <c r="AY77" s="5">
        <f t="shared" si="133"/>
        <v>0.49833155555555569</v>
      </c>
      <c r="AZ77" s="5">
        <f t="shared" si="134"/>
        <v>0.87512517818181812</v>
      </c>
      <c r="BA77" s="5">
        <f t="shared" si="135"/>
        <v>0.38490338327294832</v>
      </c>
      <c r="BB77" s="469">
        <f t="shared" si="136"/>
        <v>46.788405992753802</v>
      </c>
      <c r="BC77" s="5"/>
      <c r="BD77" s="177">
        <f t="shared" si="163"/>
        <v>0.47470907867193146</v>
      </c>
      <c r="BE77" s="177">
        <f t="shared" si="137"/>
        <v>1.9495245519952586</v>
      </c>
      <c r="BF77" s="177">
        <f t="shared" si="138"/>
        <v>0.38990491039905173</v>
      </c>
      <c r="BG77" s="177"/>
      <c r="BH77" s="538">
        <f t="shared" si="139"/>
        <v>2.4788358031090939E-2</v>
      </c>
      <c r="BI77" s="538">
        <f t="shared" si="140"/>
        <v>0.11383865635187373</v>
      </c>
      <c r="BJ77" s="538">
        <f t="shared" si="141"/>
        <v>1.7499999999999998E-2</v>
      </c>
      <c r="BK77" s="538">
        <f t="shared" si="142"/>
        <v>9.4494456000000004E-2</v>
      </c>
      <c r="BL77">
        <f t="shared" si="143"/>
        <v>6.96E-3</v>
      </c>
      <c r="BM77">
        <f t="shared" si="144"/>
        <v>6.6500000000000004E-5</v>
      </c>
      <c r="BN77">
        <f t="shared" si="145"/>
        <v>0.26219352824819159</v>
      </c>
      <c r="BO77" s="469">
        <f t="shared" si="164"/>
        <v>262.19352824819157</v>
      </c>
      <c r="BP77" s="177">
        <f t="shared" si="146"/>
        <v>0.56540935278278892</v>
      </c>
      <c r="BQ77" s="177">
        <f t="shared" si="147"/>
        <v>6.6622774111311553E-2</v>
      </c>
      <c r="BR77" s="538"/>
      <c r="BT77" s="469">
        <f t="shared" si="165"/>
        <v>632.03212689410054</v>
      </c>
      <c r="BU77" s="538">
        <f t="shared" si="148"/>
        <v>2.25348709373554E-2</v>
      </c>
      <c r="BV77" s="538">
        <f t="shared" si="149"/>
        <v>0.11401937936496942</v>
      </c>
      <c r="BW77" s="538">
        <f t="shared" si="150"/>
        <v>7.6012919576646286E-3</v>
      </c>
      <c r="BX77" s="538">
        <f t="shared" si="151"/>
        <v>0</v>
      </c>
      <c r="BY77" s="538">
        <f t="shared" si="152"/>
        <v>0.16333789232638127</v>
      </c>
      <c r="BZ77" s="538">
        <f t="shared" si="166"/>
        <v>0.14415554225998944</v>
      </c>
      <c r="CA77" s="641">
        <f t="shared" si="153"/>
        <v>6.1714285714285715E-2</v>
      </c>
      <c r="CB77" s="469">
        <f t="shared" si="167"/>
        <v>225.052178040667</v>
      </c>
      <c r="CC77" s="177">
        <f t="shared" si="168"/>
        <v>1.1192778331829589</v>
      </c>
      <c r="CD77" s="5">
        <f t="shared" si="169"/>
        <v>4.3199999999999994</v>
      </c>
      <c r="CE77" s="177">
        <f t="shared" si="170"/>
        <v>0.79422308116811546</v>
      </c>
      <c r="CF77" s="5">
        <f t="shared" si="171"/>
        <v>79.42230811681155</v>
      </c>
      <c r="CG77">
        <f t="shared" si="172"/>
        <v>72</v>
      </c>
      <c r="CI77" s="571">
        <f t="shared" si="154"/>
        <v>-50</v>
      </c>
      <c r="CJ77">
        <f t="shared" si="155"/>
        <v>-50</v>
      </c>
    </row>
    <row r="78" spans="5:88" x14ac:dyDescent="0.2">
      <c r="E78" s="174">
        <v>73</v>
      </c>
      <c r="F78" s="221">
        <f t="shared" si="173"/>
        <v>0.73</v>
      </c>
      <c r="G78" s="221">
        <f t="shared" si="156"/>
        <v>0.14599999999999999</v>
      </c>
      <c r="H78" s="221">
        <f t="shared" si="105"/>
        <v>3.65</v>
      </c>
      <c r="I78" s="221">
        <f t="shared" si="174"/>
        <v>0.73</v>
      </c>
      <c r="J78" s="551">
        <f t="shared" si="106"/>
        <v>24</v>
      </c>
      <c r="K78" s="451">
        <f t="shared" si="107"/>
        <v>10.64</v>
      </c>
      <c r="L78" s="451">
        <f t="shared" si="108"/>
        <v>34.64</v>
      </c>
      <c r="M78" s="451"/>
      <c r="N78" s="221">
        <f t="shared" si="109"/>
        <v>0.30715935334872979</v>
      </c>
      <c r="O78" s="176">
        <f t="shared" si="157"/>
        <v>11.334180138568129</v>
      </c>
      <c r="P78" s="176">
        <f t="shared" si="110"/>
        <v>2.7202032332563508</v>
      </c>
      <c r="Q78" s="221">
        <f t="shared" si="111"/>
        <v>2.2668360277136257</v>
      </c>
      <c r="R78" s="221">
        <f t="shared" si="112"/>
        <v>2.2668360277136257</v>
      </c>
      <c r="S78" s="451">
        <f t="shared" si="113"/>
        <v>5</v>
      </c>
      <c r="T78" s="221">
        <f t="shared" si="114"/>
        <v>1.3203425229741019</v>
      </c>
      <c r="U78" s="221">
        <f t="shared" si="115"/>
        <v>0.38509990253411308</v>
      </c>
      <c r="V78" s="221">
        <f t="shared" si="116"/>
        <v>0.86864639669348809</v>
      </c>
      <c r="W78" s="201">
        <f t="shared" si="117"/>
        <v>350</v>
      </c>
      <c r="X78" s="451">
        <f t="shared" si="158"/>
        <v>350</v>
      </c>
      <c r="Z78" s="221">
        <f t="shared" si="118"/>
        <v>3.0089079511712309</v>
      </c>
      <c r="AA78" s="177">
        <f t="shared" si="119"/>
        <v>1.9795447047179149</v>
      </c>
      <c r="AB78" s="177">
        <f t="shared" si="120"/>
        <v>2.0846937306036244</v>
      </c>
      <c r="AC78" s="177"/>
      <c r="AD78" s="177">
        <f t="shared" si="121"/>
        <v>0.53947368421052622</v>
      </c>
      <c r="AE78" s="555">
        <f t="shared" si="122"/>
        <v>1650.2082093991673</v>
      </c>
      <c r="AF78" s="538">
        <f t="shared" si="123"/>
        <v>0.15482894736842101</v>
      </c>
      <c r="AH78" s="177">
        <f t="shared" si="124"/>
        <v>1.8909019551742052</v>
      </c>
      <c r="AI78" s="177">
        <f t="shared" si="125"/>
        <v>1.8909019551742052</v>
      </c>
      <c r="AJ78" s="177">
        <f t="shared" si="126"/>
        <v>1.9932607075364484</v>
      </c>
      <c r="AL78" s="555">
        <f t="shared" si="127"/>
        <v>730</v>
      </c>
      <c r="AM78" s="469">
        <f t="shared" si="128"/>
        <v>350</v>
      </c>
      <c r="AO78">
        <f t="shared" si="159"/>
        <v>730</v>
      </c>
      <c r="AP78">
        <f t="shared" si="129"/>
        <v>350</v>
      </c>
      <c r="AR78" s="5">
        <f t="shared" si="160"/>
        <v>2.8571428571428572</v>
      </c>
      <c r="AS78" s="5">
        <f t="shared" si="130"/>
        <v>0.5515130702591432</v>
      </c>
      <c r="AT78" s="5">
        <f t="shared" si="161"/>
        <v>2.3056297868837139</v>
      </c>
      <c r="AU78" s="177">
        <f t="shared" si="162"/>
        <v>0.19302957459070011</v>
      </c>
      <c r="AW78" s="5">
        <f t="shared" si="131"/>
        <v>12.458288888888889</v>
      </c>
      <c r="AX78" s="5">
        <f t="shared" si="132"/>
        <v>5.5095110744444433</v>
      </c>
      <c r="AY78" s="5">
        <f t="shared" si="133"/>
        <v>0.49833155555555569</v>
      </c>
      <c r="AZ78" s="5">
        <f t="shared" si="134"/>
        <v>0.89554746808080776</v>
      </c>
      <c r="BA78" s="5">
        <f t="shared" si="135"/>
        <v>0.38960873713544231</v>
      </c>
      <c r="BB78" s="469">
        <f t="shared" si="136"/>
        <v>47.361381789586424</v>
      </c>
      <c r="BC78" s="5"/>
      <c r="BD78" s="177">
        <f t="shared" si="163"/>
        <v>0.47964542933246873</v>
      </c>
      <c r="BE78" s="177">
        <f t="shared" si="137"/>
        <v>1.9614045955022632</v>
      </c>
      <c r="BF78" s="177">
        <f t="shared" si="138"/>
        <v>0.39228091910045265</v>
      </c>
      <c r="BG78" s="177"/>
      <c r="BH78" s="538">
        <f t="shared" si="139"/>
        <v>2.5306571166748108E-2</v>
      </c>
      <c r="BI78" s="538">
        <f t="shared" si="140"/>
        <v>0.11462647652266034</v>
      </c>
      <c r="BJ78" s="538">
        <f t="shared" si="141"/>
        <v>1.7499999999999998E-2</v>
      </c>
      <c r="BK78" s="538">
        <f t="shared" si="142"/>
        <v>9.4494456000000004E-2</v>
      </c>
      <c r="BL78">
        <f t="shared" si="143"/>
        <v>6.96E-3</v>
      </c>
      <c r="BM78">
        <f t="shared" si="144"/>
        <v>6.6500000000000004E-5</v>
      </c>
      <c r="BN78">
        <f t="shared" si="145"/>
        <v>0.2636011610614255</v>
      </c>
      <c r="BO78" s="469">
        <f t="shared" si="164"/>
        <v>263.6011610614255</v>
      </c>
      <c r="BP78" s="177">
        <f t="shared" si="146"/>
        <v>0.57277905022646514</v>
      </c>
      <c r="BQ78" s="177">
        <f t="shared" si="147"/>
        <v>6.7528762009058607E-2</v>
      </c>
      <c r="BR78" s="538"/>
      <c r="BT78" s="469">
        <f t="shared" si="165"/>
        <v>640.30781223552367</v>
      </c>
      <c r="BU78" s="538">
        <f t="shared" si="148"/>
        <v>2.3005973787952827E-2</v>
      </c>
      <c r="BV78" s="538">
        <f t="shared" si="149"/>
        <v>0.11541323961772189</v>
      </c>
      <c r="BW78" s="538">
        <f t="shared" si="150"/>
        <v>7.6942159745147943E-3</v>
      </c>
      <c r="BX78" s="538">
        <f t="shared" si="151"/>
        <v>0</v>
      </c>
      <c r="BY78" s="538">
        <f t="shared" si="152"/>
        <v>0.16558254761602714</v>
      </c>
      <c r="BZ78" s="538">
        <f t="shared" si="166"/>
        <v>0.14611342938018951</v>
      </c>
      <c r="CA78" s="641">
        <f t="shared" si="153"/>
        <v>6.257142857142857E-2</v>
      </c>
      <c r="CB78" s="469">
        <f t="shared" si="167"/>
        <v>228.1539761874557</v>
      </c>
      <c r="CC78" s="177">
        <f t="shared" si="168"/>
        <v>1.1320629494844048</v>
      </c>
      <c r="CD78" s="5">
        <f t="shared" si="169"/>
        <v>4.38</v>
      </c>
      <c r="CE78" s="177">
        <f t="shared" si="170"/>
        <v>0.79462082348128893</v>
      </c>
      <c r="CF78" s="5">
        <f t="shared" si="171"/>
        <v>79.462082348128888</v>
      </c>
      <c r="CG78">
        <f t="shared" si="172"/>
        <v>73</v>
      </c>
      <c r="CI78" s="571">
        <f t="shared" si="154"/>
        <v>-50</v>
      </c>
      <c r="CJ78">
        <f t="shared" si="155"/>
        <v>-50</v>
      </c>
    </row>
    <row r="79" spans="5:88" x14ac:dyDescent="0.2">
      <c r="E79" s="174">
        <v>74</v>
      </c>
      <c r="F79" s="221">
        <f t="shared" si="173"/>
        <v>0.74</v>
      </c>
      <c r="G79" s="221">
        <f t="shared" si="156"/>
        <v>0.14799999999999999</v>
      </c>
      <c r="H79" s="221">
        <f t="shared" si="105"/>
        <v>3.7</v>
      </c>
      <c r="I79" s="221">
        <f t="shared" si="174"/>
        <v>0.74</v>
      </c>
      <c r="J79" s="551">
        <f t="shared" si="106"/>
        <v>24</v>
      </c>
      <c r="K79" s="451">
        <f t="shared" si="107"/>
        <v>10.64</v>
      </c>
      <c r="L79" s="451">
        <f t="shared" si="108"/>
        <v>34.64</v>
      </c>
      <c r="M79" s="451"/>
      <c r="N79" s="221">
        <f t="shared" si="109"/>
        <v>0.30715935334872979</v>
      </c>
      <c r="O79" s="176">
        <f t="shared" si="157"/>
        <v>11.334180138568129</v>
      </c>
      <c r="P79" s="176">
        <f t="shared" si="110"/>
        <v>2.7202032332563508</v>
      </c>
      <c r="Q79" s="221">
        <f t="shared" si="111"/>
        <v>2.2668360277136257</v>
      </c>
      <c r="R79" s="221">
        <f t="shared" si="112"/>
        <v>2.2668360277136257</v>
      </c>
      <c r="S79" s="451">
        <f t="shared" si="113"/>
        <v>5</v>
      </c>
      <c r="T79" s="221">
        <f t="shared" si="114"/>
        <v>1.3384294068504596</v>
      </c>
      <c r="U79" s="221">
        <f t="shared" si="115"/>
        <v>0.39037524366471738</v>
      </c>
      <c r="V79" s="221">
        <f t="shared" si="116"/>
        <v>0.88054566240161813</v>
      </c>
      <c r="W79" s="201">
        <f t="shared" si="117"/>
        <v>350</v>
      </c>
      <c r="X79" s="451">
        <f t="shared" si="158"/>
        <v>350</v>
      </c>
      <c r="Z79" s="221">
        <f t="shared" si="118"/>
        <v>3.0089079511712309</v>
      </c>
      <c r="AA79" s="177">
        <f t="shared" si="119"/>
        <v>1.9795447047179149</v>
      </c>
      <c r="AB79" s="177">
        <f t="shared" si="120"/>
        <v>2.0846937306036244</v>
      </c>
      <c r="AC79" s="177"/>
      <c r="AD79" s="177">
        <f t="shared" si="121"/>
        <v>0.53947368421052622</v>
      </c>
      <c r="AE79" s="555">
        <f t="shared" si="122"/>
        <v>1672.813801308745</v>
      </c>
      <c r="AF79" s="538">
        <f t="shared" si="123"/>
        <v>0.15482894736842101</v>
      </c>
      <c r="AH79" s="177">
        <f t="shared" si="124"/>
        <v>1.9038092855951636</v>
      </c>
      <c r="AI79" s="177">
        <f t="shared" si="125"/>
        <v>1.9038092855951636</v>
      </c>
      <c r="AJ79" s="177">
        <f t="shared" si="126"/>
        <v>2.0028216930334546</v>
      </c>
      <c r="AL79" s="555">
        <f t="shared" si="127"/>
        <v>740</v>
      </c>
      <c r="AM79" s="469">
        <f t="shared" si="128"/>
        <v>350</v>
      </c>
      <c r="AO79">
        <f t="shared" si="159"/>
        <v>740</v>
      </c>
      <c r="AP79">
        <f t="shared" si="129"/>
        <v>350</v>
      </c>
      <c r="AR79" s="5">
        <f t="shared" si="160"/>
        <v>2.8571428571428572</v>
      </c>
      <c r="AS79" s="5">
        <f t="shared" si="130"/>
        <v>0.55527770829858947</v>
      </c>
      <c r="AT79" s="5">
        <f t="shared" si="161"/>
        <v>2.3018651488442678</v>
      </c>
      <c r="AU79" s="177">
        <f t="shared" si="162"/>
        <v>0.1943471979045063</v>
      </c>
      <c r="AW79" s="5">
        <f t="shared" si="131"/>
        <v>12.458288888888889</v>
      </c>
      <c r="AX79" s="5">
        <f t="shared" si="132"/>
        <v>5.6310794977777778</v>
      </c>
      <c r="AY79" s="5">
        <f t="shared" si="133"/>
        <v>0.49833155555555569</v>
      </c>
      <c r="AZ79" s="5">
        <f t="shared" si="134"/>
        <v>0.9161962723232322</v>
      </c>
      <c r="BA79" s="5">
        <f t="shared" si="135"/>
        <v>0.39430097457054586</v>
      </c>
      <c r="BB79" s="469">
        <f t="shared" si="136"/>
        <v>47.932783615132173</v>
      </c>
      <c r="BC79" s="5"/>
      <c r="BD79" s="177">
        <f t="shared" si="163"/>
        <v>0.48456490300413163</v>
      </c>
      <c r="BE79" s="177">
        <f t="shared" si="137"/>
        <v>1.9731802959514051</v>
      </c>
      <c r="BF79" s="177">
        <f t="shared" si="138"/>
        <v>0.39463605919028105</v>
      </c>
      <c r="BG79" s="177"/>
      <c r="BH79" s="538">
        <f t="shared" si="139"/>
        <v>2.5828345974574386E-2</v>
      </c>
      <c r="BI79" s="538">
        <f t="shared" si="140"/>
        <v>0.11540891889277884</v>
      </c>
      <c r="BJ79" s="538">
        <f t="shared" si="141"/>
        <v>1.7499999999999998E-2</v>
      </c>
      <c r="BK79" s="538">
        <f t="shared" si="142"/>
        <v>9.4494456000000004E-2</v>
      </c>
      <c r="BL79">
        <f t="shared" si="143"/>
        <v>6.96E-3</v>
      </c>
      <c r="BM79">
        <f t="shared" si="144"/>
        <v>6.6500000000000004E-5</v>
      </c>
      <c r="BN79">
        <f t="shared" si="145"/>
        <v>0.26500789761421928</v>
      </c>
      <c r="BO79" s="469">
        <f t="shared" si="164"/>
        <v>265.0078976142193</v>
      </c>
      <c r="BP79" s="177">
        <f t="shared" si="146"/>
        <v>0.58013885269727883</v>
      </c>
      <c r="BQ79" s="177">
        <f t="shared" si="147"/>
        <v>6.8434354107891157E-2</v>
      </c>
      <c r="BR79" s="538"/>
      <c r="BT79" s="469">
        <f t="shared" si="165"/>
        <v>648.57320680516989</v>
      </c>
      <c r="BU79" s="538">
        <f t="shared" si="148"/>
        <v>2.3480314522340354E-2</v>
      </c>
      <c r="BV79" s="538">
        <f t="shared" si="149"/>
        <v>0.11680321440992623</v>
      </c>
      <c r="BW79" s="538">
        <f t="shared" si="150"/>
        <v>7.786880960661751E-3</v>
      </c>
      <c r="BX79" s="538">
        <f t="shared" si="151"/>
        <v>0</v>
      </c>
      <c r="BY79" s="538">
        <f t="shared" si="152"/>
        <v>0.16782687460923482</v>
      </c>
      <c r="BZ79" s="538">
        <f t="shared" si="166"/>
        <v>0.14807040989292833</v>
      </c>
      <c r="CA79" s="641">
        <f t="shared" si="153"/>
        <v>6.3428571428571431E-2</v>
      </c>
      <c r="CB79" s="469">
        <f t="shared" si="167"/>
        <v>231.25544603780622</v>
      </c>
      <c r="CC79" s="177">
        <f t="shared" si="168"/>
        <v>1.1448365504571953</v>
      </c>
      <c r="CD79" s="5">
        <f t="shared" si="169"/>
        <v>4.4400000000000004</v>
      </c>
      <c r="CE79" s="177">
        <f t="shared" si="170"/>
        <v>0.79500983777878431</v>
      </c>
      <c r="CF79" s="5">
        <f t="shared" si="171"/>
        <v>79.500983777878432</v>
      </c>
      <c r="CG79">
        <f t="shared" si="172"/>
        <v>74</v>
      </c>
      <c r="CI79" s="571">
        <f t="shared" si="154"/>
        <v>-50</v>
      </c>
      <c r="CJ79">
        <f t="shared" si="155"/>
        <v>-50</v>
      </c>
    </row>
    <row r="80" spans="5:88" x14ac:dyDescent="0.2">
      <c r="E80" s="174">
        <v>75</v>
      </c>
      <c r="F80" s="221">
        <f t="shared" si="173"/>
        <v>0.75</v>
      </c>
      <c r="G80" s="221">
        <f t="shared" si="156"/>
        <v>0.15000000000000002</v>
      </c>
      <c r="H80" s="221">
        <f t="shared" si="105"/>
        <v>3.75</v>
      </c>
      <c r="I80" s="221">
        <f t="shared" si="174"/>
        <v>0.75000000000000011</v>
      </c>
      <c r="J80" s="551">
        <f t="shared" si="106"/>
        <v>24</v>
      </c>
      <c r="K80" s="451">
        <f t="shared" si="107"/>
        <v>10.64</v>
      </c>
      <c r="L80" s="451">
        <f t="shared" si="108"/>
        <v>34.64</v>
      </c>
      <c r="M80" s="451"/>
      <c r="N80" s="221">
        <f t="shared" si="109"/>
        <v>0.30715935334872979</v>
      </c>
      <c r="O80" s="176">
        <f t="shared" si="157"/>
        <v>11.334180138568129</v>
      </c>
      <c r="P80" s="176">
        <f t="shared" si="110"/>
        <v>2.7202032332563508</v>
      </c>
      <c r="Q80" s="221">
        <f t="shared" si="111"/>
        <v>2.2668360277136257</v>
      </c>
      <c r="R80" s="221">
        <f t="shared" si="112"/>
        <v>2.2668360277136257</v>
      </c>
      <c r="S80" s="451">
        <f t="shared" si="113"/>
        <v>5</v>
      </c>
      <c r="T80" s="221">
        <f t="shared" si="114"/>
        <v>1.3565162907268171</v>
      </c>
      <c r="U80" s="221">
        <f t="shared" si="115"/>
        <v>0.39565058479532161</v>
      </c>
      <c r="V80" s="221">
        <f t="shared" si="116"/>
        <v>0.89244492810974796</v>
      </c>
      <c r="W80" s="201">
        <f t="shared" si="117"/>
        <v>350</v>
      </c>
      <c r="X80" s="451">
        <f t="shared" si="158"/>
        <v>350</v>
      </c>
      <c r="Z80" s="221">
        <f t="shared" si="118"/>
        <v>3.0089079511712309</v>
      </c>
      <c r="AA80" s="177">
        <f t="shared" si="119"/>
        <v>1.9795447047179149</v>
      </c>
      <c r="AB80" s="177">
        <f t="shared" si="120"/>
        <v>2.0846937306036244</v>
      </c>
      <c r="AC80" s="177"/>
      <c r="AD80" s="177">
        <f t="shared" si="121"/>
        <v>0.53947368421052622</v>
      </c>
      <c r="AE80" s="555">
        <f t="shared" si="122"/>
        <v>1695.419393218323</v>
      </c>
      <c r="AF80" s="538">
        <f t="shared" si="123"/>
        <v>0.15482894736842101</v>
      </c>
      <c r="AH80" s="177">
        <f t="shared" si="124"/>
        <v>1.9166296949998196</v>
      </c>
      <c r="AI80" s="177">
        <f t="shared" si="125"/>
        <v>1.9166296949998196</v>
      </c>
      <c r="AJ80" s="177">
        <f t="shared" si="126"/>
        <v>2.0123182925924588</v>
      </c>
      <c r="AL80" s="555">
        <f t="shared" si="127"/>
        <v>750</v>
      </c>
      <c r="AM80" s="469">
        <f t="shared" si="128"/>
        <v>350</v>
      </c>
      <c r="AO80">
        <f t="shared" si="159"/>
        <v>750</v>
      </c>
      <c r="AP80">
        <f t="shared" si="129"/>
        <v>350</v>
      </c>
      <c r="AR80" s="5">
        <f t="shared" si="160"/>
        <v>2.8571428571428572</v>
      </c>
      <c r="AS80" s="5">
        <f t="shared" si="130"/>
        <v>0.55901699437494734</v>
      </c>
      <c r="AT80" s="5">
        <f t="shared" si="161"/>
        <v>2.2981258627679098</v>
      </c>
      <c r="AU80" s="177">
        <f t="shared" si="162"/>
        <v>0.19565594803123157</v>
      </c>
      <c r="AW80" s="5">
        <f t="shared" si="131"/>
        <v>12.458288888888889</v>
      </c>
      <c r="AX80" s="5">
        <f t="shared" si="132"/>
        <v>5.7538937499999996</v>
      </c>
      <c r="AY80" s="5">
        <f t="shared" si="133"/>
        <v>0.49833155555555569</v>
      </c>
      <c r="AZ80" s="5">
        <f t="shared" si="134"/>
        <v>0.93707159090909109</v>
      </c>
      <c r="BA80" s="5">
        <f t="shared" si="135"/>
        <v>0.39898018450831763</v>
      </c>
      <c r="BB80" s="469">
        <f t="shared" si="136"/>
        <v>48.50262214099812</v>
      </c>
      <c r="BC80" s="5"/>
      <c r="BD80" s="177">
        <f t="shared" si="163"/>
        <v>0.48946778430758586</v>
      </c>
      <c r="BE80" s="177">
        <f t="shared" si="137"/>
        <v>1.9848537316824026</v>
      </c>
      <c r="BF80" s="177">
        <f t="shared" si="138"/>
        <v>0.39697074633648055</v>
      </c>
      <c r="BG80" s="177"/>
      <c r="BH80" s="538">
        <f t="shared" si="139"/>
        <v>2.6353658306247512E-2</v>
      </c>
      <c r="BI80" s="538">
        <f t="shared" si="140"/>
        <v>0.11618609211088907</v>
      </c>
      <c r="BJ80" s="538">
        <f t="shared" si="141"/>
        <v>1.7499999999999998E-2</v>
      </c>
      <c r="BK80" s="538">
        <f t="shared" si="142"/>
        <v>9.4494456000000004E-2</v>
      </c>
      <c r="BL80">
        <f t="shared" si="143"/>
        <v>6.96E-3</v>
      </c>
      <c r="BM80">
        <f t="shared" si="144"/>
        <v>6.6500000000000004E-5</v>
      </c>
      <c r="BN80">
        <f t="shared" si="145"/>
        <v>0.26641382087772075</v>
      </c>
      <c r="BO80" s="469">
        <f t="shared" si="164"/>
        <v>266.41382087772075</v>
      </c>
      <c r="BP80" s="177">
        <f t="shared" si="146"/>
        <v>0.58748882728365992</v>
      </c>
      <c r="BQ80" s="177">
        <f t="shared" si="147"/>
        <v>6.9339553091346415E-2</v>
      </c>
      <c r="BR80" s="538"/>
      <c r="BT80" s="469">
        <f t="shared" si="165"/>
        <v>656.8283803750063</v>
      </c>
      <c r="BU80" s="538">
        <f t="shared" si="148"/>
        <v>2.3957871187497742E-2</v>
      </c>
      <c r="BV80" s="538">
        <f t="shared" si="149"/>
        <v>0.11818933008520677</v>
      </c>
      <c r="BW80" s="538">
        <f t="shared" si="150"/>
        <v>7.8792886723471189E-3</v>
      </c>
      <c r="BX80" s="538">
        <f t="shared" si="151"/>
        <v>0</v>
      </c>
      <c r="BY80" s="538">
        <f t="shared" si="152"/>
        <v>0.17007087970841953</v>
      </c>
      <c r="BZ80" s="538">
        <f t="shared" si="166"/>
        <v>0.15002648994505161</v>
      </c>
      <c r="CA80" s="641">
        <f t="shared" si="153"/>
        <v>6.4285714285714293E-2</v>
      </c>
      <c r="CB80" s="469">
        <f t="shared" si="167"/>
        <v>234.35659399413385</v>
      </c>
      <c r="CC80" s="177">
        <f t="shared" si="168"/>
        <v>1.1575987952468609</v>
      </c>
      <c r="CD80" s="5">
        <f t="shared" si="169"/>
        <v>4.5</v>
      </c>
      <c r="CE80" s="177">
        <f t="shared" si="170"/>
        <v>0.7953904408669985</v>
      </c>
      <c r="CF80" s="5">
        <f t="shared" si="171"/>
        <v>79.539044086699846</v>
      </c>
      <c r="CG80">
        <f t="shared" si="172"/>
        <v>75</v>
      </c>
      <c r="CI80" s="571">
        <f t="shared" si="154"/>
        <v>-50</v>
      </c>
      <c r="CJ80">
        <f t="shared" si="155"/>
        <v>-50</v>
      </c>
    </row>
    <row r="81" spans="5:88" x14ac:dyDescent="0.2">
      <c r="E81" s="174">
        <v>76</v>
      </c>
      <c r="F81" s="221">
        <f t="shared" si="173"/>
        <v>0.76</v>
      </c>
      <c r="G81" s="221">
        <f t="shared" si="156"/>
        <v>0.15200000000000002</v>
      </c>
      <c r="H81" s="221">
        <f t="shared" si="105"/>
        <v>3.8</v>
      </c>
      <c r="I81" s="221">
        <f t="shared" si="174"/>
        <v>0.76000000000000012</v>
      </c>
      <c r="J81" s="551">
        <f t="shared" si="106"/>
        <v>24</v>
      </c>
      <c r="K81" s="451">
        <f t="shared" si="107"/>
        <v>10.64</v>
      </c>
      <c r="L81" s="451">
        <f t="shared" si="108"/>
        <v>34.64</v>
      </c>
      <c r="M81" s="451"/>
      <c r="N81" s="221">
        <f t="shared" si="109"/>
        <v>0.30715935334872979</v>
      </c>
      <c r="O81" s="176">
        <f t="shared" si="157"/>
        <v>11.334180138568129</v>
      </c>
      <c r="P81" s="176">
        <f t="shared" si="110"/>
        <v>2.7202032332563508</v>
      </c>
      <c r="Q81" s="221">
        <f t="shared" si="111"/>
        <v>2.2668360277136257</v>
      </c>
      <c r="R81" s="221">
        <f t="shared" si="112"/>
        <v>2.2668360277136257</v>
      </c>
      <c r="S81" s="451">
        <f t="shared" si="113"/>
        <v>5</v>
      </c>
      <c r="T81" s="221">
        <f t="shared" si="114"/>
        <v>1.3746031746031744</v>
      </c>
      <c r="U81" s="221">
        <f t="shared" si="115"/>
        <v>0.40092592592592585</v>
      </c>
      <c r="V81" s="221">
        <f t="shared" si="116"/>
        <v>0.90434419381787778</v>
      </c>
      <c r="W81" s="201">
        <f t="shared" si="117"/>
        <v>350</v>
      </c>
      <c r="X81" s="451">
        <f t="shared" si="158"/>
        <v>350</v>
      </c>
      <c r="Z81" s="221">
        <f t="shared" si="118"/>
        <v>3.0089079511712309</v>
      </c>
      <c r="AA81" s="177">
        <f t="shared" si="119"/>
        <v>1.9795447047179149</v>
      </c>
      <c r="AB81" s="177">
        <f t="shared" si="120"/>
        <v>2.0846937306036244</v>
      </c>
      <c r="AC81" s="177"/>
      <c r="AD81" s="177">
        <f t="shared" si="121"/>
        <v>0.53947368421052622</v>
      </c>
      <c r="AE81" s="555">
        <f t="shared" si="122"/>
        <v>1718.0249851279</v>
      </c>
      <c r="AF81" s="538">
        <f t="shared" si="123"/>
        <v>0.15482894736842101</v>
      </c>
      <c r="AH81" s="177">
        <f t="shared" si="124"/>
        <v>1.9293649161296149</v>
      </c>
      <c r="AI81" s="177">
        <f t="shared" si="125"/>
        <v>1.9293649161296149</v>
      </c>
      <c r="AJ81" s="177">
        <f t="shared" si="126"/>
        <v>2.0217517897256405</v>
      </c>
      <c r="AL81" s="555">
        <f t="shared" si="127"/>
        <v>760</v>
      </c>
      <c r="AM81" s="469">
        <f t="shared" si="128"/>
        <v>350</v>
      </c>
      <c r="AO81">
        <f t="shared" si="159"/>
        <v>760</v>
      </c>
      <c r="AP81">
        <f t="shared" si="129"/>
        <v>350</v>
      </c>
      <c r="AR81" s="5">
        <f t="shared" si="160"/>
        <v>2.8571428571428572</v>
      </c>
      <c r="AS81" s="5">
        <f t="shared" si="130"/>
        <v>0.56273143387113767</v>
      </c>
      <c r="AT81" s="5">
        <f t="shared" si="161"/>
        <v>2.2944114232717197</v>
      </c>
      <c r="AU81" s="177">
        <f t="shared" si="162"/>
        <v>0.19695600185489817</v>
      </c>
      <c r="AW81" s="5">
        <f t="shared" si="131"/>
        <v>12.458288888888889</v>
      </c>
      <c r="AX81" s="5">
        <f t="shared" si="132"/>
        <v>5.8779538311111112</v>
      </c>
      <c r="AY81" s="5">
        <f t="shared" si="133"/>
        <v>0.49833155555555569</v>
      </c>
      <c r="AZ81" s="5">
        <f t="shared" si="134"/>
        <v>0.958173423838384</v>
      </c>
      <c r="BA81" s="5">
        <f t="shared" si="135"/>
        <v>0.40364645409409877</v>
      </c>
      <c r="BB81" s="469">
        <f t="shared" si="136"/>
        <v>49.070907824625188</v>
      </c>
      <c r="BC81" s="5"/>
      <c r="BD81" s="177">
        <f t="shared" si="163"/>
        <v>0.49435434933835781</v>
      </c>
      <c r="BE81" s="177">
        <f t="shared" si="137"/>
        <v>1.9964269120815425</v>
      </c>
      <c r="BF81" s="177">
        <f t="shared" si="138"/>
        <v>0.39928538241630851</v>
      </c>
      <c r="BG81" s="177"/>
      <c r="BH81" s="538">
        <f t="shared" si="139"/>
        <v>2.6882484498072623E-2</v>
      </c>
      <c r="BI81" s="538">
        <f t="shared" si="140"/>
        <v>0.11695810121577727</v>
      </c>
      <c r="BJ81" s="538">
        <f t="shared" si="141"/>
        <v>1.7499999999999998E-2</v>
      </c>
      <c r="BK81" s="538">
        <f t="shared" si="142"/>
        <v>9.4494456000000004E-2</v>
      </c>
      <c r="BL81">
        <f t="shared" si="143"/>
        <v>6.96E-3</v>
      </c>
      <c r="BM81">
        <f t="shared" si="144"/>
        <v>6.6500000000000004E-5</v>
      </c>
      <c r="BN81">
        <f t="shared" si="145"/>
        <v>0.26781901077589926</v>
      </c>
      <c r="BO81" s="469">
        <f t="shared" si="164"/>
        <v>267.81901077589924</v>
      </c>
      <c r="BP81" s="177">
        <f t="shared" si="146"/>
        <v>0.59482903972765522</v>
      </c>
      <c r="BQ81" s="177">
        <f t="shared" si="147"/>
        <v>7.0244361589106213E-2</v>
      </c>
      <c r="BR81" s="538"/>
      <c r="BT81" s="469">
        <f t="shared" si="165"/>
        <v>665.07340131676142</v>
      </c>
      <c r="BU81" s="538">
        <f t="shared" si="148"/>
        <v>2.4438622270975111E-2</v>
      </c>
      <c r="BV81" s="538">
        <f t="shared" si="149"/>
        <v>0.1195716124585033</v>
      </c>
      <c r="BW81" s="538">
        <f t="shared" si="150"/>
        <v>7.9714408305668876E-3</v>
      </c>
      <c r="BX81" s="538">
        <f t="shared" si="151"/>
        <v>0</v>
      </c>
      <c r="BY81" s="538">
        <f t="shared" si="152"/>
        <v>0.17231456918307889</v>
      </c>
      <c r="BZ81" s="538">
        <f t="shared" si="166"/>
        <v>0.1519816755600453</v>
      </c>
      <c r="CA81" s="641">
        <f t="shared" si="153"/>
        <v>6.5142857142857127E-2</v>
      </c>
      <c r="CB81" s="469">
        <f t="shared" si="167"/>
        <v>237.45742632593604</v>
      </c>
      <c r="CC81" s="177">
        <f t="shared" si="168"/>
        <v>1.1703498384185969</v>
      </c>
      <c r="CD81" s="5">
        <f t="shared" si="169"/>
        <v>4.5599999999999996</v>
      </c>
      <c r="CE81" s="177">
        <f t="shared" si="170"/>
        <v>0.79576293395350917</v>
      </c>
      <c r="CF81" s="5">
        <f t="shared" si="171"/>
        <v>79.576293395350916</v>
      </c>
      <c r="CG81">
        <f t="shared" si="172"/>
        <v>76</v>
      </c>
      <c r="CI81" s="571">
        <f t="shared" si="154"/>
        <v>-50</v>
      </c>
      <c r="CJ81">
        <f t="shared" si="155"/>
        <v>-50</v>
      </c>
    </row>
    <row r="82" spans="5:88" x14ac:dyDescent="0.2">
      <c r="E82" s="174">
        <v>77</v>
      </c>
      <c r="F82" s="221">
        <f t="shared" si="173"/>
        <v>0.77</v>
      </c>
      <c r="G82" s="221">
        <f t="shared" si="156"/>
        <v>0.15400000000000003</v>
      </c>
      <c r="H82" s="221">
        <f t="shared" si="105"/>
        <v>3.85</v>
      </c>
      <c r="I82" s="221">
        <f t="shared" si="174"/>
        <v>0.77000000000000013</v>
      </c>
      <c r="J82" s="551">
        <f t="shared" si="106"/>
        <v>24</v>
      </c>
      <c r="K82" s="451">
        <f t="shared" si="107"/>
        <v>10.64</v>
      </c>
      <c r="L82" s="451">
        <f t="shared" si="108"/>
        <v>34.64</v>
      </c>
      <c r="M82" s="451"/>
      <c r="N82" s="221">
        <f t="shared" si="109"/>
        <v>0.30715935334872979</v>
      </c>
      <c r="O82" s="176">
        <f t="shared" si="157"/>
        <v>11.334180138568129</v>
      </c>
      <c r="P82" s="176">
        <f t="shared" si="110"/>
        <v>2.7202032332563508</v>
      </c>
      <c r="Q82" s="221">
        <f t="shared" si="111"/>
        <v>2.2668360277136257</v>
      </c>
      <c r="R82" s="221">
        <f t="shared" si="112"/>
        <v>2.2668360277136257</v>
      </c>
      <c r="S82" s="451">
        <f t="shared" si="113"/>
        <v>5</v>
      </c>
      <c r="T82" s="221">
        <f t="shared" si="114"/>
        <v>1.3926900584795321</v>
      </c>
      <c r="U82" s="221">
        <f t="shared" si="115"/>
        <v>0.4062012670565302</v>
      </c>
      <c r="V82" s="221">
        <f t="shared" si="116"/>
        <v>0.91624345952600794</v>
      </c>
      <c r="W82" s="201">
        <f t="shared" si="117"/>
        <v>350</v>
      </c>
      <c r="X82" s="451">
        <f t="shared" si="158"/>
        <v>350</v>
      </c>
      <c r="Z82" s="221">
        <f t="shared" si="118"/>
        <v>3.0089079511712309</v>
      </c>
      <c r="AA82" s="177">
        <f t="shared" si="119"/>
        <v>1.9795447047179149</v>
      </c>
      <c r="AB82" s="177">
        <f t="shared" si="120"/>
        <v>2.0846937306036244</v>
      </c>
      <c r="AC82" s="177"/>
      <c r="AD82" s="177">
        <f t="shared" si="121"/>
        <v>0.53947368421052622</v>
      </c>
      <c r="AE82" s="555">
        <f t="shared" si="122"/>
        <v>1740.6305770374779</v>
      </c>
      <c r="AF82" s="538">
        <f t="shared" si="123"/>
        <v>0.15482894736842101</v>
      </c>
      <c r="AH82" s="177">
        <f t="shared" si="124"/>
        <v>1.9420166249104489</v>
      </c>
      <c r="AI82" s="177">
        <f t="shared" si="125"/>
        <v>1.9420166249104489</v>
      </c>
      <c r="AJ82" s="177">
        <f t="shared" si="126"/>
        <v>2.031123425859592</v>
      </c>
      <c r="AL82" s="555">
        <f t="shared" si="127"/>
        <v>770</v>
      </c>
      <c r="AM82" s="469">
        <f t="shared" si="128"/>
        <v>350</v>
      </c>
      <c r="AO82">
        <f t="shared" si="159"/>
        <v>770</v>
      </c>
      <c r="AP82">
        <f t="shared" si="129"/>
        <v>350</v>
      </c>
      <c r="AR82" s="5">
        <f t="shared" si="160"/>
        <v>2.8571428571428572</v>
      </c>
      <c r="AS82" s="5">
        <f t="shared" si="130"/>
        <v>0.56642151559888099</v>
      </c>
      <c r="AT82" s="5">
        <f t="shared" si="161"/>
        <v>2.2907213415439762</v>
      </c>
      <c r="AU82" s="177">
        <f t="shared" si="162"/>
        <v>0.19824753045960833</v>
      </c>
      <c r="AW82" s="5">
        <f t="shared" si="131"/>
        <v>12.458288888888889</v>
      </c>
      <c r="AX82" s="5">
        <f t="shared" si="132"/>
        <v>6.0032597411111102</v>
      </c>
      <c r="AY82" s="5">
        <f t="shared" si="133"/>
        <v>0.49833155555555569</v>
      </c>
      <c r="AZ82" s="5">
        <f t="shared" si="134"/>
        <v>0.97950177111111125</v>
      </c>
      <c r="BA82" s="5">
        <f t="shared" si="135"/>
        <v>0.40829986874742163</v>
      </c>
      <c r="BB82" s="469">
        <f t="shared" si="136"/>
        <v>49.637650916357266</v>
      </c>
      <c r="BC82" s="5"/>
      <c r="BD82" s="177">
        <f t="shared" si="163"/>
        <v>0.49922486603083743</v>
      </c>
      <c r="BE82" s="177">
        <f t="shared" si="137"/>
        <v>2.0079017807446151</v>
      </c>
      <c r="BF82" s="177">
        <f t="shared" si="138"/>
        <v>0.40158035614892307</v>
      </c>
      <c r="BG82" s="177"/>
      <c r="BH82" s="538">
        <f t="shared" si="139"/>
        <v>2.7414801354985835E-2</v>
      </c>
      <c r="BI82" s="538">
        <f t="shared" si="140"/>
        <v>0.11772504780207142</v>
      </c>
      <c r="BJ82" s="538">
        <f t="shared" si="141"/>
        <v>1.7499999999999998E-2</v>
      </c>
      <c r="BK82" s="538">
        <f t="shared" si="142"/>
        <v>9.4494456000000004E-2</v>
      </c>
      <c r="BL82">
        <f t="shared" si="143"/>
        <v>6.96E-3</v>
      </c>
      <c r="BM82">
        <f t="shared" si="144"/>
        <v>6.6500000000000004E-5</v>
      </c>
      <c r="BN82">
        <f t="shared" si="145"/>
        <v>0.26922354433276041</v>
      </c>
      <c r="BO82" s="469">
        <f t="shared" si="164"/>
        <v>269.22354433276041</v>
      </c>
      <c r="BP82" s="177">
        <f t="shared" si="146"/>
        <v>0.60215955446936908</v>
      </c>
      <c r="BQ82" s="177">
        <f t="shared" si="147"/>
        <v>7.114878217877478E-2</v>
      </c>
      <c r="BR82" s="538"/>
      <c r="BT82" s="469">
        <f t="shared" si="165"/>
        <v>673.30833664814384</v>
      </c>
      <c r="BU82" s="538">
        <f t="shared" si="148"/>
        <v>2.4922546686350758E-2</v>
      </c>
      <c r="BV82" s="538">
        <f t="shared" si="149"/>
        <v>0.12095008683352187</v>
      </c>
      <c r="BW82" s="538">
        <f t="shared" si="150"/>
        <v>8.0633391222347944E-3</v>
      </c>
      <c r="BX82" s="538">
        <f t="shared" si="151"/>
        <v>0</v>
      </c>
      <c r="BY82" s="538">
        <f t="shared" si="152"/>
        <v>0.17455794917424422</v>
      </c>
      <c r="BZ82" s="538">
        <f t="shared" si="166"/>
        <v>0.1539359726421074</v>
      </c>
      <c r="CA82" s="641">
        <f t="shared" si="153"/>
        <v>6.6000000000000003E-2</v>
      </c>
      <c r="CB82" s="469">
        <f t="shared" si="167"/>
        <v>240.55794917424421</v>
      </c>
      <c r="CC82" s="177">
        <f t="shared" si="168"/>
        <v>1.1830898301551485</v>
      </c>
      <c r="CD82" s="5">
        <f t="shared" si="169"/>
        <v>4.62</v>
      </c>
      <c r="CE82" s="177">
        <f t="shared" si="170"/>
        <v>0.79612760360741863</v>
      </c>
      <c r="CF82" s="5">
        <f t="shared" si="171"/>
        <v>79.612760360741859</v>
      </c>
      <c r="CG82">
        <f t="shared" si="172"/>
        <v>77</v>
      </c>
      <c r="CI82" s="571">
        <f t="shared" si="154"/>
        <v>-50</v>
      </c>
      <c r="CJ82">
        <f t="shared" si="155"/>
        <v>-50</v>
      </c>
    </row>
    <row r="83" spans="5:88" x14ac:dyDescent="0.2">
      <c r="E83" s="174">
        <v>78</v>
      </c>
      <c r="F83" s="221">
        <f t="shared" si="173"/>
        <v>0.78</v>
      </c>
      <c r="G83" s="221">
        <f t="shared" si="156"/>
        <v>0.15600000000000003</v>
      </c>
      <c r="H83" s="221">
        <f t="shared" si="105"/>
        <v>3.9000000000000004</v>
      </c>
      <c r="I83" s="221">
        <f t="shared" si="174"/>
        <v>0.78000000000000014</v>
      </c>
      <c r="J83" s="551">
        <f t="shared" si="106"/>
        <v>24</v>
      </c>
      <c r="K83" s="451">
        <f t="shared" si="107"/>
        <v>10.64</v>
      </c>
      <c r="L83" s="451">
        <f t="shared" si="108"/>
        <v>34.64</v>
      </c>
      <c r="M83" s="451"/>
      <c r="N83" s="221">
        <f t="shared" si="109"/>
        <v>0.30715935334872979</v>
      </c>
      <c r="O83" s="176">
        <f t="shared" si="157"/>
        <v>11.334180138568129</v>
      </c>
      <c r="P83" s="176">
        <f t="shared" si="110"/>
        <v>2.7202032332563508</v>
      </c>
      <c r="Q83" s="221">
        <f t="shared" si="111"/>
        <v>2.2668360277136257</v>
      </c>
      <c r="R83" s="221">
        <f t="shared" si="112"/>
        <v>2.2668360277136257</v>
      </c>
      <c r="S83" s="451">
        <f t="shared" si="113"/>
        <v>5</v>
      </c>
      <c r="T83" s="221">
        <f t="shared" si="114"/>
        <v>1.4107769423558898</v>
      </c>
      <c r="U83" s="221">
        <f t="shared" si="115"/>
        <v>0.41147660818713444</v>
      </c>
      <c r="V83" s="221">
        <f t="shared" si="116"/>
        <v>0.92814272523413788</v>
      </c>
      <c r="W83" s="201">
        <f t="shared" si="117"/>
        <v>350</v>
      </c>
      <c r="X83" s="451">
        <f t="shared" si="158"/>
        <v>350</v>
      </c>
      <c r="Z83" s="221">
        <f t="shared" si="118"/>
        <v>3.0089079511712309</v>
      </c>
      <c r="AA83" s="177">
        <f t="shared" si="119"/>
        <v>1.9795447047179149</v>
      </c>
      <c r="AB83" s="177">
        <f t="shared" si="120"/>
        <v>2.0846937306036244</v>
      </c>
      <c r="AC83" s="177"/>
      <c r="AD83" s="177">
        <f t="shared" si="121"/>
        <v>0.53947368421052622</v>
      </c>
      <c r="AE83" s="555">
        <f t="shared" si="122"/>
        <v>1763.2361689470556</v>
      </c>
      <c r="AF83" s="538">
        <f t="shared" si="123"/>
        <v>0.15482894736842101</v>
      </c>
      <c r="AH83" s="177">
        <f t="shared" si="124"/>
        <v>1.9545864430270936</v>
      </c>
      <c r="AI83" s="177">
        <f t="shared" si="125"/>
        <v>1.9545864430270936</v>
      </c>
      <c r="AJ83" s="177">
        <f t="shared" si="126"/>
        <v>2.0404344022422918</v>
      </c>
      <c r="AL83" s="555">
        <f t="shared" si="127"/>
        <v>780</v>
      </c>
      <c r="AM83" s="469">
        <f t="shared" si="128"/>
        <v>350</v>
      </c>
      <c r="AO83">
        <f t="shared" si="159"/>
        <v>780</v>
      </c>
      <c r="AP83">
        <f t="shared" si="129"/>
        <v>350</v>
      </c>
      <c r="AR83" s="5">
        <f t="shared" si="160"/>
        <v>2.8571428571428572</v>
      </c>
      <c r="AS83" s="5">
        <f t="shared" si="130"/>
        <v>0.57008771254956903</v>
      </c>
      <c r="AT83" s="5">
        <f t="shared" si="161"/>
        <v>2.2870551445932881</v>
      </c>
      <c r="AU83" s="177">
        <f t="shared" si="162"/>
        <v>0.19953069939234916</v>
      </c>
      <c r="AW83" s="5">
        <f t="shared" si="131"/>
        <v>12.458288888888889</v>
      </c>
      <c r="AX83" s="5">
        <f t="shared" si="132"/>
        <v>6.1298114799999999</v>
      </c>
      <c r="AY83" s="5">
        <f t="shared" si="133"/>
        <v>0.49833155555555569</v>
      </c>
      <c r="AZ83" s="5">
        <f t="shared" si="134"/>
        <v>1.001056632727273</v>
      </c>
      <c r="BA83" s="5">
        <f t="shared" si="135"/>
        <v>0.41294051221823252</v>
      </c>
      <c r="BB83" s="469">
        <f t="shared" si="136"/>
        <v>50.202861466187912</v>
      </c>
      <c r="BC83" s="5"/>
      <c r="BD83" s="177">
        <f t="shared" si="163"/>
        <v>0.50407959450221973</v>
      </c>
      <c r="BE83" s="177">
        <f t="shared" si="137"/>
        <v>2.0192802184556555</v>
      </c>
      <c r="BF83" s="177">
        <f t="shared" si="138"/>
        <v>0.40385604369113115</v>
      </c>
      <c r="BG83" s="177"/>
      <c r="BH83" s="538">
        <f t="shared" si="139"/>
        <v>2.7950586135287451E-2</v>
      </c>
      <c r="BI83" s="538">
        <f t="shared" si="140"/>
        <v>0.11848703017630242</v>
      </c>
      <c r="BJ83" s="538">
        <f t="shared" si="141"/>
        <v>1.7499999999999998E-2</v>
      </c>
      <c r="BK83" s="538">
        <f t="shared" si="142"/>
        <v>9.4494456000000004E-2</v>
      </c>
      <c r="BL83">
        <f t="shared" si="143"/>
        <v>6.96E-3</v>
      </c>
      <c r="BM83">
        <f t="shared" si="144"/>
        <v>6.6500000000000004E-5</v>
      </c>
      <c r="BN83">
        <f t="shared" si="145"/>
        <v>0.27062749581075107</v>
      </c>
      <c r="BO83" s="469">
        <f t="shared" si="164"/>
        <v>270.6274958107511</v>
      </c>
      <c r="BP83" s="177">
        <f t="shared" si="146"/>
        <v>0.60948043468937896</v>
      </c>
      <c r="BQ83" s="177">
        <f t="shared" si="147"/>
        <v>7.2052817387575158E-2</v>
      </c>
      <c r="BR83" s="538"/>
      <c r="BT83" s="469">
        <f t="shared" si="165"/>
        <v>681.53325207695411</v>
      </c>
      <c r="BU83" s="538">
        <f t="shared" si="148"/>
        <v>2.540962375935223E-2</v>
      </c>
      <c r="BV83" s="538">
        <f t="shared" si="149"/>
        <v>0.12232477801938958</v>
      </c>
      <c r="BW83" s="538">
        <f t="shared" si="150"/>
        <v>8.1549852012926423E-3</v>
      </c>
      <c r="BX83" s="538">
        <f t="shared" si="151"/>
        <v>0</v>
      </c>
      <c r="BY83" s="538">
        <f t="shared" si="152"/>
        <v>0.17680102569872791</v>
      </c>
      <c r="BZ83" s="538">
        <f t="shared" si="166"/>
        <v>0.15588938698003446</v>
      </c>
      <c r="CA83" s="641">
        <f t="shared" si="153"/>
        <v>6.6857142857142865E-2</v>
      </c>
      <c r="CB83" s="469">
        <f t="shared" si="167"/>
        <v>243.65816855587079</v>
      </c>
      <c r="CC83" s="177">
        <f t="shared" si="168"/>
        <v>1.195818916443576</v>
      </c>
      <c r="CD83" s="5">
        <f t="shared" si="169"/>
        <v>4.6800000000000006</v>
      </c>
      <c r="CE83" s="177">
        <f t="shared" si="170"/>
        <v>0.79648472264911752</v>
      </c>
      <c r="CF83" s="5">
        <f t="shared" si="171"/>
        <v>79.648472264911746</v>
      </c>
      <c r="CG83">
        <f t="shared" si="172"/>
        <v>78</v>
      </c>
      <c r="CI83" s="571">
        <f t="shared" si="154"/>
        <v>-50</v>
      </c>
      <c r="CJ83">
        <f t="shared" si="155"/>
        <v>-50</v>
      </c>
    </row>
    <row r="84" spans="5:88" x14ac:dyDescent="0.2">
      <c r="E84" s="174">
        <v>79</v>
      </c>
      <c r="F84" s="221">
        <f t="shared" si="173"/>
        <v>0.79</v>
      </c>
      <c r="G84" s="221">
        <f t="shared" si="156"/>
        <v>0.15800000000000003</v>
      </c>
      <c r="H84" s="221">
        <f t="shared" si="105"/>
        <v>3.95</v>
      </c>
      <c r="I84" s="221">
        <f t="shared" si="174"/>
        <v>0.79000000000000015</v>
      </c>
      <c r="J84" s="551">
        <f t="shared" si="106"/>
        <v>24</v>
      </c>
      <c r="K84" s="451">
        <f t="shared" si="107"/>
        <v>10.64</v>
      </c>
      <c r="L84" s="451">
        <f t="shared" si="108"/>
        <v>34.64</v>
      </c>
      <c r="M84" s="451"/>
      <c r="N84" s="221">
        <f t="shared" si="109"/>
        <v>0.30715935334872979</v>
      </c>
      <c r="O84" s="176">
        <f t="shared" si="157"/>
        <v>11.334180138568129</v>
      </c>
      <c r="P84" s="176">
        <f t="shared" si="110"/>
        <v>2.7202032332563508</v>
      </c>
      <c r="Q84" s="221">
        <f t="shared" si="111"/>
        <v>2.2668360277136257</v>
      </c>
      <c r="R84" s="221">
        <f t="shared" si="112"/>
        <v>2.2668360277136257</v>
      </c>
      <c r="S84" s="451">
        <f t="shared" si="113"/>
        <v>5</v>
      </c>
      <c r="T84" s="221">
        <f t="shared" si="114"/>
        <v>1.4288638262322473</v>
      </c>
      <c r="U84" s="221">
        <f t="shared" si="115"/>
        <v>0.41675194931773879</v>
      </c>
      <c r="V84" s="221">
        <f t="shared" si="116"/>
        <v>0.94004199094226792</v>
      </c>
      <c r="W84" s="201">
        <f t="shared" si="117"/>
        <v>350</v>
      </c>
      <c r="X84" s="451">
        <f t="shared" si="158"/>
        <v>350</v>
      </c>
      <c r="Z84" s="221">
        <f t="shared" si="118"/>
        <v>3.0089079511712309</v>
      </c>
      <c r="AA84" s="177">
        <f t="shared" si="119"/>
        <v>1.9795447047179149</v>
      </c>
      <c r="AB84" s="177">
        <f t="shared" si="120"/>
        <v>2.0846937306036244</v>
      </c>
      <c r="AC84" s="177"/>
      <c r="AD84" s="177">
        <f t="shared" si="121"/>
        <v>0.53947368421052622</v>
      </c>
      <c r="AE84" s="555">
        <f t="shared" si="122"/>
        <v>1785.8417608566335</v>
      </c>
      <c r="AF84" s="538">
        <f t="shared" si="123"/>
        <v>0.15482894736842101</v>
      </c>
      <c r="AH84" s="177">
        <f t="shared" si="124"/>
        <v>1.9670759403495435</v>
      </c>
      <c r="AI84" s="177">
        <f t="shared" si="125"/>
        <v>1.9670759403495435</v>
      </c>
      <c r="AJ84" s="177">
        <f t="shared" si="126"/>
        <v>2.0496858817404027</v>
      </c>
      <c r="AL84" s="555">
        <f t="shared" si="127"/>
        <v>790</v>
      </c>
      <c r="AM84" s="469">
        <f t="shared" si="128"/>
        <v>350</v>
      </c>
      <c r="AO84">
        <f t="shared" si="159"/>
        <v>790</v>
      </c>
      <c r="AP84">
        <f t="shared" si="129"/>
        <v>350</v>
      </c>
      <c r="AR84" s="5">
        <f t="shared" si="160"/>
        <v>2.8571428571428572</v>
      </c>
      <c r="AS84" s="5">
        <f t="shared" si="130"/>
        <v>0.57373048260195014</v>
      </c>
      <c r="AT84" s="5">
        <f t="shared" si="161"/>
        <v>2.283412374540907</v>
      </c>
      <c r="AU84" s="177">
        <f t="shared" si="162"/>
        <v>0.20080566891068255</v>
      </c>
      <c r="AW84" s="5">
        <f t="shared" si="131"/>
        <v>12.458288888888889</v>
      </c>
      <c r="AX84" s="5">
        <f t="shared" si="132"/>
        <v>6.2576090477777786</v>
      </c>
      <c r="AY84" s="5">
        <f t="shared" si="133"/>
        <v>0.49833155555555569</v>
      </c>
      <c r="AZ84" s="5">
        <f t="shared" si="134"/>
        <v>1.0228380086868691</v>
      </c>
      <c r="BA84" s="5">
        <f t="shared" si="135"/>
        <v>0.41756846664058245</v>
      </c>
      <c r="BB84" s="469">
        <f t="shared" si="136"/>
        <v>50.766549330203226</v>
      </c>
      <c r="BC84" s="5"/>
      <c r="BD84" s="177">
        <f t="shared" si="163"/>
        <v>0.50891878737773399</v>
      </c>
      <c r="BE84" s="177">
        <f t="shared" si="137"/>
        <v>2.0305640459944363</v>
      </c>
      <c r="BF84" s="177">
        <f t="shared" si="138"/>
        <v>0.40611280919888726</v>
      </c>
      <c r="BG84" s="177"/>
      <c r="BH84" s="538">
        <f t="shared" si="139"/>
        <v>2.8489816536062557E-2</v>
      </c>
      <c r="BI84" s="538">
        <f t="shared" si="140"/>
        <v>0.11924414350398933</v>
      </c>
      <c r="BJ84" s="538">
        <f t="shared" si="141"/>
        <v>1.7499999999999998E-2</v>
      </c>
      <c r="BK84" s="538">
        <f t="shared" si="142"/>
        <v>9.4494456000000004E-2</v>
      </c>
      <c r="BL84">
        <f t="shared" si="143"/>
        <v>6.96E-3</v>
      </c>
      <c r="BM84">
        <f t="shared" si="144"/>
        <v>6.6500000000000004E-5</v>
      </c>
      <c r="BN84">
        <f t="shared" si="145"/>
        <v>0.27203093684098456</v>
      </c>
      <c r="BO84" s="469">
        <f t="shared" si="164"/>
        <v>272.03093684098457</v>
      </c>
      <c r="BP84" s="177">
        <f t="shared" si="146"/>
        <v>0.61679174234923673</v>
      </c>
      <c r="BQ84" s="177">
        <f t="shared" si="147"/>
        <v>7.2956469693969475E-2</v>
      </c>
      <c r="BR84" s="538"/>
      <c r="BT84" s="469">
        <f t="shared" si="165"/>
        <v>689.74821204320619</v>
      </c>
      <c r="BU84" s="538">
        <f t="shared" si="148"/>
        <v>2.5899833214602326E-2</v>
      </c>
      <c r="BV84" s="538">
        <f t="shared" si="149"/>
        <v>0.12369571034655887</v>
      </c>
      <c r="BW84" s="538">
        <f t="shared" si="150"/>
        <v>8.2463806897705907E-3</v>
      </c>
      <c r="BX84" s="538">
        <f t="shared" si="151"/>
        <v>0</v>
      </c>
      <c r="BY84" s="538">
        <f t="shared" si="152"/>
        <v>0.17904380465317687</v>
      </c>
      <c r="BZ84" s="538">
        <f t="shared" si="166"/>
        <v>0.1578419242509318</v>
      </c>
      <c r="CA84" s="641">
        <f t="shared" si="153"/>
        <v>6.7714285714285727E-2</v>
      </c>
      <c r="CB84" s="469">
        <f t="shared" si="167"/>
        <v>246.75809036746261</v>
      </c>
      <c r="CC84" s="177">
        <f t="shared" si="168"/>
        <v>1.2085372392516534</v>
      </c>
      <c r="CD84" s="5">
        <f t="shared" si="169"/>
        <v>4.74</v>
      </c>
      <c r="CE84" s="177">
        <f t="shared" si="170"/>
        <v>0.79683455097547795</v>
      </c>
      <c r="CF84" s="5">
        <f t="shared" si="171"/>
        <v>79.683455097547792</v>
      </c>
      <c r="CG84">
        <f t="shared" si="172"/>
        <v>79</v>
      </c>
      <c r="CI84" s="571">
        <f t="shared" si="154"/>
        <v>-50</v>
      </c>
      <c r="CJ84">
        <f t="shared" si="155"/>
        <v>-50</v>
      </c>
    </row>
    <row r="85" spans="5:88" x14ac:dyDescent="0.2">
      <c r="E85" s="174">
        <v>80</v>
      </c>
      <c r="F85" s="221">
        <f t="shared" si="173"/>
        <v>0.8</v>
      </c>
      <c r="G85" s="221">
        <f t="shared" si="156"/>
        <v>0.16000000000000003</v>
      </c>
      <c r="H85" s="221">
        <f t="shared" si="105"/>
        <v>4</v>
      </c>
      <c r="I85" s="221">
        <f t="shared" si="174"/>
        <v>0.80000000000000016</v>
      </c>
      <c r="J85" s="551">
        <f t="shared" si="106"/>
        <v>24</v>
      </c>
      <c r="K85" s="451">
        <f t="shared" si="107"/>
        <v>10.64</v>
      </c>
      <c r="L85" s="451">
        <f t="shared" si="108"/>
        <v>34.64</v>
      </c>
      <c r="M85" s="451"/>
      <c r="N85" s="221">
        <f t="shared" si="109"/>
        <v>0.30715935334872979</v>
      </c>
      <c r="O85" s="176">
        <f t="shared" si="157"/>
        <v>11.334180138568129</v>
      </c>
      <c r="P85" s="176">
        <f t="shared" si="110"/>
        <v>2.7202032332563508</v>
      </c>
      <c r="Q85" s="221">
        <f t="shared" si="111"/>
        <v>2.2668360277136257</v>
      </c>
      <c r="R85" s="221">
        <f t="shared" si="112"/>
        <v>2.2668360277136257</v>
      </c>
      <c r="S85" s="451">
        <f t="shared" si="113"/>
        <v>5</v>
      </c>
      <c r="T85" s="221">
        <f t="shared" si="114"/>
        <v>1.4469507101086048</v>
      </c>
      <c r="U85" s="221">
        <f t="shared" si="115"/>
        <v>0.42202729044834303</v>
      </c>
      <c r="V85" s="221">
        <f t="shared" si="116"/>
        <v>0.95194125665039786</v>
      </c>
      <c r="W85" s="201">
        <f t="shared" si="117"/>
        <v>350</v>
      </c>
      <c r="X85" s="451">
        <f t="shared" si="158"/>
        <v>350</v>
      </c>
      <c r="Z85" s="221">
        <f t="shared" si="118"/>
        <v>3.0089079511712309</v>
      </c>
      <c r="AA85" s="177">
        <f t="shared" si="119"/>
        <v>1.9795447047179149</v>
      </c>
      <c r="AB85" s="177">
        <f t="shared" si="120"/>
        <v>2.0846937306036244</v>
      </c>
      <c r="AC85" s="177"/>
      <c r="AD85" s="177">
        <f t="shared" si="121"/>
        <v>0.53947368421052622</v>
      </c>
      <c r="AE85" s="555">
        <f t="shared" si="122"/>
        <v>1808.447352766211</v>
      </c>
      <c r="AF85" s="538">
        <f t="shared" si="123"/>
        <v>0.15482894736842101</v>
      </c>
      <c r="AH85" s="177">
        <f t="shared" si="124"/>
        <v>1.9794866372215738</v>
      </c>
      <c r="AI85" s="177">
        <f t="shared" si="125"/>
        <v>1.9794866372215738</v>
      </c>
      <c r="AJ85" s="177">
        <f t="shared" si="126"/>
        <v>2.0588789905344993</v>
      </c>
      <c r="AL85" s="555">
        <f t="shared" si="127"/>
        <v>800</v>
      </c>
      <c r="AM85" s="469">
        <f t="shared" si="128"/>
        <v>350</v>
      </c>
      <c r="AO85">
        <f t="shared" si="159"/>
        <v>800</v>
      </c>
      <c r="AP85">
        <f t="shared" si="129"/>
        <v>350</v>
      </c>
      <c r="AR85" s="5">
        <f t="shared" si="160"/>
        <v>2.8571428571428572</v>
      </c>
      <c r="AS85" s="5">
        <f t="shared" si="130"/>
        <v>0.57735026918962573</v>
      </c>
      <c r="AT85" s="5">
        <f t="shared" si="161"/>
        <v>2.2797925879532315</v>
      </c>
      <c r="AU85" s="177">
        <f t="shared" si="162"/>
        <v>0.202072594216369</v>
      </c>
      <c r="AW85" s="5">
        <f t="shared" si="131"/>
        <v>12.458288888888889</v>
      </c>
      <c r="AX85" s="5">
        <f t="shared" si="132"/>
        <v>6.3866524444444455</v>
      </c>
      <c r="AY85" s="5">
        <f t="shared" si="133"/>
        <v>0.49833155555555569</v>
      </c>
      <c r="AZ85" s="5">
        <f t="shared" si="134"/>
        <v>1.0448458989898994</v>
      </c>
      <c r="BA85" s="5">
        <f t="shared" si="135"/>
        <v>0.42218381258393173</v>
      </c>
      <c r="BB85" s="469">
        <f t="shared" si="136"/>
        <v>51.328724176738483</v>
      </c>
      <c r="BC85" s="5"/>
      <c r="BD85" s="177">
        <f t="shared" si="163"/>
        <v>0.51374269009840245</v>
      </c>
      <c r="BE85" s="177">
        <f t="shared" si="137"/>
        <v>2.0417550267846027</v>
      </c>
      <c r="BF85" s="177">
        <f t="shared" si="138"/>
        <v>0.40835100535692059</v>
      </c>
      <c r="BG85" s="177"/>
      <c r="BH85" s="538">
        <f t="shared" si="139"/>
        <v>2.9032470679249751E-2</v>
      </c>
      <c r="BI85" s="538">
        <f t="shared" si="140"/>
        <v>0.1199964799483718</v>
      </c>
      <c r="BJ85" s="538">
        <f t="shared" si="141"/>
        <v>1.7499999999999998E-2</v>
      </c>
      <c r="BK85" s="538">
        <f t="shared" si="142"/>
        <v>9.4494456000000004E-2</v>
      </c>
      <c r="BL85">
        <f t="shared" si="143"/>
        <v>6.96E-3</v>
      </c>
      <c r="BM85">
        <f t="shared" si="144"/>
        <v>6.6500000000000004E-5</v>
      </c>
      <c r="BN85">
        <f t="shared" si="145"/>
        <v>0.27343393654586123</v>
      </c>
      <c r="BO85" s="469">
        <f t="shared" si="164"/>
        <v>273.43393654586123</v>
      </c>
      <c r="BP85" s="177">
        <f t="shared" si="146"/>
        <v>0.62409353823017488</v>
      </c>
      <c r="BQ85" s="177">
        <f t="shared" si="147"/>
        <v>7.3859741529207018E-2</v>
      </c>
      <c r="BR85" s="538"/>
      <c r="BT85" s="469">
        <f t="shared" si="165"/>
        <v>697.95327975938199</v>
      </c>
      <c r="BU85" s="538">
        <f t="shared" si="148"/>
        <v>2.6393155162954318E-2</v>
      </c>
      <c r="BV85" s="538">
        <f t="shared" si="149"/>
        <v>0.12506290768200581</v>
      </c>
      <c r="BW85" s="538">
        <f t="shared" si="150"/>
        <v>8.3375271788003903E-3</v>
      </c>
      <c r="BX85" s="538">
        <f t="shared" si="151"/>
        <v>0</v>
      </c>
      <c r="BY85" s="538">
        <f t="shared" si="152"/>
        <v>0.18128629181794659</v>
      </c>
      <c r="BZ85" s="538">
        <f t="shared" si="166"/>
        <v>0.15979359002376053</v>
      </c>
      <c r="CA85" s="641">
        <f t="shared" si="153"/>
        <v>6.8571428571428547E-2</v>
      </c>
      <c r="CB85" s="469">
        <f t="shared" si="167"/>
        <v>249.85772038937515</v>
      </c>
      <c r="CC85" s="177">
        <f t="shared" si="168"/>
        <v>1.2212449366946183</v>
      </c>
      <c r="CD85" s="5">
        <f t="shared" si="169"/>
        <v>4.8</v>
      </c>
      <c r="CE85" s="177">
        <f t="shared" si="170"/>
        <v>0.79717733632589527</v>
      </c>
      <c r="CF85" s="5">
        <f t="shared" si="171"/>
        <v>79.717733632589528</v>
      </c>
      <c r="CG85">
        <f t="shared" si="172"/>
        <v>80</v>
      </c>
      <c r="CI85" s="571">
        <f t="shared" si="154"/>
        <v>-50</v>
      </c>
      <c r="CJ85">
        <f t="shared" si="155"/>
        <v>-50</v>
      </c>
    </row>
    <row r="86" spans="5:88" x14ac:dyDescent="0.2">
      <c r="E86" s="174">
        <v>81</v>
      </c>
      <c r="F86" s="221">
        <f t="shared" si="173"/>
        <v>0.81</v>
      </c>
      <c r="G86" s="221">
        <f t="shared" si="156"/>
        <v>0.16200000000000003</v>
      </c>
      <c r="H86" s="221">
        <f t="shared" si="105"/>
        <v>4.0500000000000007</v>
      </c>
      <c r="I86" s="221">
        <f t="shared" si="174"/>
        <v>0.81000000000000016</v>
      </c>
      <c r="J86" s="551">
        <f t="shared" si="106"/>
        <v>24</v>
      </c>
      <c r="K86" s="451">
        <f t="shared" si="107"/>
        <v>10.64</v>
      </c>
      <c r="L86" s="451">
        <f t="shared" si="108"/>
        <v>34.64</v>
      </c>
      <c r="M86" s="451"/>
      <c r="N86" s="221">
        <f t="shared" si="109"/>
        <v>0.30715935334872979</v>
      </c>
      <c r="O86" s="176">
        <f t="shared" si="157"/>
        <v>11.334180138568129</v>
      </c>
      <c r="P86" s="176">
        <f t="shared" si="110"/>
        <v>2.7202032332563508</v>
      </c>
      <c r="Q86" s="221">
        <f t="shared" si="111"/>
        <v>2.2668360277136257</v>
      </c>
      <c r="R86" s="221">
        <f t="shared" si="112"/>
        <v>2.2668360277136257</v>
      </c>
      <c r="S86" s="451">
        <f t="shared" si="113"/>
        <v>5</v>
      </c>
      <c r="T86" s="221">
        <f t="shared" si="114"/>
        <v>1.4650375939849627</v>
      </c>
      <c r="U86" s="221">
        <f t="shared" si="115"/>
        <v>0.42730263157894749</v>
      </c>
      <c r="V86" s="221">
        <f t="shared" si="116"/>
        <v>0.96384052235852813</v>
      </c>
      <c r="W86" s="201">
        <f t="shared" si="117"/>
        <v>350</v>
      </c>
      <c r="X86" s="451">
        <f t="shared" si="158"/>
        <v>350</v>
      </c>
      <c r="Z86" s="221">
        <f t="shared" si="118"/>
        <v>3.0089079511712309</v>
      </c>
      <c r="AA86" s="177">
        <f t="shared" si="119"/>
        <v>1.9795447047179149</v>
      </c>
      <c r="AB86" s="177">
        <f t="shared" si="120"/>
        <v>2.0846937306036244</v>
      </c>
      <c r="AC86" s="177"/>
      <c r="AD86" s="177">
        <f t="shared" si="121"/>
        <v>0.53947368421052622</v>
      </c>
      <c r="AE86" s="555">
        <f t="shared" si="122"/>
        <v>1831.0529446757887</v>
      </c>
      <c r="AF86" s="538">
        <f t="shared" si="123"/>
        <v>0.15482894736842101</v>
      </c>
      <c r="AH86" s="177">
        <f t="shared" si="124"/>
        <v>1.9918200066209575</v>
      </c>
      <c r="AI86" s="177">
        <f t="shared" si="125"/>
        <v>1.9918200066209575</v>
      </c>
      <c r="AJ86" s="177">
        <f t="shared" si="126"/>
        <v>2.0680148197192274</v>
      </c>
      <c r="AL86" s="555">
        <f t="shared" si="127"/>
        <v>810</v>
      </c>
      <c r="AM86" s="469">
        <f t="shared" si="128"/>
        <v>350</v>
      </c>
      <c r="AO86">
        <f t="shared" si="159"/>
        <v>810</v>
      </c>
      <c r="AP86">
        <f t="shared" si="129"/>
        <v>350</v>
      </c>
      <c r="AR86" s="5">
        <f t="shared" si="160"/>
        <v>2.8571428571428572</v>
      </c>
      <c r="AS86" s="5">
        <f t="shared" si="130"/>
        <v>0.58094750193111255</v>
      </c>
      <c r="AT86" s="5">
        <f t="shared" si="161"/>
        <v>2.2761953552117449</v>
      </c>
      <c r="AU86" s="177">
        <f t="shared" si="162"/>
        <v>0.20333162567588939</v>
      </c>
      <c r="AW86" s="5">
        <f t="shared" si="131"/>
        <v>12.458288888888889</v>
      </c>
      <c r="AX86" s="5">
        <f t="shared" si="132"/>
        <v>6.5169416700000014</v>
      </c>
      <c r="AY86" s="5">
        <f t="shared" si="133"/>
        <v>0.49833155555555569</v>
      </c>
      <c r="AZ86" s="5">
        <f t="shared" si="134"/>
        <v>1.0670803036363641</v>
      </c>
      <c r="BA86" s="5">
        <f t="shared" si="135"/>
        <v>0.42678662910220222</v>
      </c>
      <c r="BB86" s="469">
        <f t="shared" si="136"/>
        <v>51.889395492264271</v>
      </c>
      <c r="BC86" s="5"/>
      <c r="BD86" s="177">
        <f t="shared" si="163"/>
        <v>0.51855154121247138</v>
      </c>
      <c r="BE86" s="177">
        <f t="shared" si="137"/>
        <v>2.0528548693933604</v>
      </c>
      <c r="BF86" s="177">
        <f t="shared" si="138"/>
        <v>0.41057097387867209</v>
      </c>
      <c r="BG86" s="177"/>
      <c r="BH86" s="538">
        <f t="shared" si="139"/>
        <v>2.9578527098321237E-2</v>
      </c>
      <c r="BI86" s="538">
        <f t="shared" si="140"/>
        <v>0.12074412880136244</v>
      </c>
      <c r="BJ86" s="538">
        <f t="shared" si="141"/>
        <v>1.7499999999999998E-2</v>
      </c>
      <c r="BK86" s="538">
        <f t="shared" si="142"/>
        <v>9.4494456000000004E-2</v>
      </c>
      <c r="BL86">
        <f t="shared" si="143"/>
        <v>6.96E-3</v>
      </c>
      <c r="BM86">
        <f t="shared" si="144"/>
        <v>6.6500000000000004E-5</v>
      </c>
      <c r="BN86">
        <f t="shared" si="145"/>
        <v>0.27483656165461823</v>
      </c>
      <c r="BO86" s="469">
        <f t="shared" si="164"/>
        <v>274.83656165461821</v>
      </c>
      <c r="BP86" s="177">
        <f t="shared" si="146"/>
        <v>0.63138588197011125</v>
      </c>
      <c r="BQ86" s="177">
        <f t="shared" si="147"/>
        <v>7.4762635278804446E-2</v>
      </c>
      <c r="BR86" s="538"/>
      <c r="BT86" s="469">
        <f t="shared" si="165"/>
        <v>706.14851724891571</v>
      </c>
      <c r="BU86" s="538">
        <f t="shared" si="148"/>
        <v>2.6889570089382944E-2</v>
      </c>
      <c r="BV86" s="538">
        <f t="shared" si="149"/>
        <v>0.12642639344376091</v>
      </c>
      <c r="BW86" s="538">
        <f t="shared" si="150"/>
        <v>8.4284262295840611E-3</v>
      </c>
      <c r="BX86" s="538">
        <f t="shared" si="151"/>
        <v>0</v>
      </c>
      <c r="BY86" s="538">
        <f t="shared" si="152"/>
        <v>0.18352849286080278</v>
      </c>
      <c r="BZ86" s="538">
        <f t="shared" si="166"/>
        <v>0.16174438976272792</v>
      </c>
      <c r="CA86" s="641">
        <f t="shared" si="153"/>
        <v>6.9428571428571451E-2</v>
      </c>
      <c r="CB86" s="469">
        <f t="shared" si="167"/>
        <v>252.95706428937424</v>
      </c>
      <c r="CC86" s="177">
        <f t="shared" si="168"/>
        <v>1.2339421431929081</v>
      </c>
      <c r="CD86" s="5">
        <f t="shared" si="169"/>
        <v>4.8600000000000012</v>
      </c>
      <c r="CE86" s="177">
        <f t="shared" si="170"/>
        <v>0.79751331499409572</v>
      </c>
      <c r="CF86" s="5">
        <f t="shared" si="171"/>
        <v>79.751331499409574</v>
      </c>
      <c r="CG86">
        <f t="shared" si="172"/>
        <v>81</v>
      </c>
      <c r="CI86" s="571">
        <f t="shared" si="154"/>
        <v>-50</v>
      </c>
      <c r="CJ86">
        <f t="shared" si="155"/>
        <v>-50</v>
      </c>
    </row>
    <row r="87" spans="5:88" x14ac:dyDescent="0.2">
      <c r="E87" s="174">
        <v>82</v>
      </c>
      <c r="F87" s="221">
        <f t="shared" si="173"/>
        <v>0.82</v>
      </c>
      <c r="G87" s="221">
        <f t="shared" si="156"/>
        <v>0.16400000000000001</v>
      </c>
      <c r="H87" s="221">
        <f t="shared" si="105"/>
        <v>4.0999999999999996</v>
      </c>
      <c r="I87" s="221">
        <f t="shared" si="174"/>
        <v>0.82000000000000006</v>
      </c>
      <c r="J87" s="551">
        <f t="shared" si="106"/>
        <v>24</v>
      </c>
      <c r="K87" s="451">
        <f t="shared" si="107"/>
        <v>10.64</v>
      </c>
      <c r="L87" s="451">
        <f t="shared" si="108"/>
        <v>34.64</v>
      </c>
      <c r="M87" s="451"/>
      <c r="N87" s="221">
        <f t="shared" si="109"/>
        <v>0.30715935334872979</v>
      </c>
      <c r="O87" s="176">
        <f t="shared" si="157"/>
        <v>11.334180138568129</v>
      </c>
      <c r="P87" s="176">
        <f t="shared" si="110"/>
        <v>2.7202032332563508</v>
      </c>
      <c r="Q87" s="221">
        <f t="shared" si="111"/>
        <v>2.2668360277136257</v>
      </c>
      <c r="R87" s="221">
        <f t="shared" si="112"/>
        <v>2.2668360277136257</v>
      </c>
      <c r="S87" s="451">
        <f t="shared" si="113"/>
        <v>5</v>
      </c>
      <c r="T87" s="221">
        <f t="shared" si="114"/>
        <v>1.48312447786132</v>
      </c>
      <c r="U87" s="221">
        <f t="shared" si="115"/>
        <v>0.43257797270955162</v>
      </c>
      <c r="V87" s="221">
        <f t="shared" si="116"/>
        <v>0.97573978806665784</v>
      </c>
      <c r="W87" s="201">
        <f t="shared" si="117"/>
        <v>350</v>
      </c>
      <c r="X87" s="451">
        <f t="shared" si="158"/>
        <v>350</v>
      </c>
      <c r="Z87" s="221">
        <f t="shared" si="118"/>
        <v>3.0089079511712309</v>
      </c>
      <c r="AA87" s="177">
        <f t="shared" si="119"/>
        <v>1.9795447047179149</v>
      </c>
      <c r="AB87" s="177">
        <f t="shared" si="120"/>
        <v>2.0846937306036244</v>
      </c>
      <c r="AC87" s="177"/>
      <c r="AD87" s="177">
        <f t="shared" si="121"/>
        <v>0.53947368421052622</v>
      </c>
      <c r="AE87" s="555">
        <f t="shared" si="122"/>
        <v>1853.6585365853662</v>
      </c>
      <c r="AF87" s="538">
        <f t="shared" si="123"/>
        <v>0.15482894736842101</v>
      </c>
      <c r="AH87" s="177">
        <f t="shared" si="124"/>
        <v>2.0040774762000204</v>
      </c>
      <c r="AI87" s="177">
        <f t="shared" si="125"/>
        <v>2.0040774762000204</v>
      </c>
      <c r="AJ87" s="177">
        <f t="shared" si="126"/>
        <v>2.0770944268148299</v>
      </c>
      <c r="AL87" s="555">
        <f t="shared" si="127"/>
        <v>820</v>
      </c>
      <c r="AM87" s="469">
        <f t="shared" si="128"/>
        <v>350</v>
      </c>
      <c r="AO87">
        <f t="shared" si="159"/>
        <v>820</v>
      </c>
      <c r="AP87">
        <f t="shared" si="129"/>
        <v>350</v>
      </c>
      <c r="AR87" s="5">
        <f t="shared" si="160"/>
        <v>2.8571428571428572</v>
      </c>
      <c r="AS87" s="5">
        <f t="shared" si="130"/>
        <v>0.58452259722500588</v>
      </c>
      <c r="AT87" s="5">
        <f t="shared" si="161"/>
        <v>2.2726202599178515</v>
      </c>
      <c r="AU87" s="177">
        <f t="shared" si="162"/>
        <v>0.20458290902875206</v>
      </c>
      <c r="AW87" s="5">
        <f t="shared" si="131"/>
        <v>12.458288888888889</v>
      </c>
      <c r="AX87" s="5">
        <f t="shared" si="132"/>
        <v>6.6484767244444436</v>
      </c>
      <c r="AY87" s="5">
        <f t="shared" si="133"/>
        <v>0.49833155555555569</v>
      </c>
      <c r="AZ87" s="5">
        <f t="shared" si="134"/>
        <v>1.0895412226262626</v>
      </c>
      <c r="BA87" s="5">
        <f t="shared" si="135"/>
        <v>0.43137699378070321</v>
      </c>
      <c r="BB87" s="469">
        <f t="shared" si="136"/>
        <v>52.448572587017722</v>
      </c>
      <c r="BC87" s="5"/>
      <c r="BD87" s="177">
        <f t="shared" si="163"/>
        <v>0.52334557265157289</v>
      </c>
      <c r="BE87" s="177">
        <f t="shared" si="137"/>
        <v>2.0638652298927642</v>
      </c>
      <c r="BF87" s="177">
        <f t="shared" si="138"/>
        <v>0.41277304597855285</v>
      </c>
      <c r="BG87" s="177"/>
      <c r="BH87" s="538">
        <f t="shared" si="139"/>
        <v>3.0127964725540305E-2</v>
      </c>
      <c r="BI87" s="538">
        <f t="shared" si="140"/>
        <v>0.12148717660724524</v>
      </c>
      <c r="BJ87" s="538">
        <f t="shared" si="141"/>
        <v>1.7499999999999998E-2</v>
      </c>
      <c r="BK87" s="538">
        <f t="shared" si="142"/>
        <v>9.4494456000000004E-2</v>
      </c>
      <c r="BL87">
        <f t="shared" si="143"/>
        <v>6.96E-3</v>
      </c>
      <c r="BM87">
        <f t="shared" si="144"/>
        <v>6.6500000000000004E-5</v>
      </c>
      <c r="BN87">
        <f t="shared" si="145"/>
        <v>0.27623887661229196</v>
      </c>
      <c r="BO87" s="469">
        <f t="shared" si="164"/>
        <v>276.23887661229196</v>
      </c>
      <c r="BP87" s="177">
        <f t="shared" si="146"/>
        <v>0.63866883209904801</v>
      </c>
      <c r="BQ87" s="177">
        <f t="shared" si="147"/>
        <v>7.5665153283961908E-2</v>
      </c>
      <c r="BR87" s="538"/>
      <c r="BT87" s="469">
        <f t="shared" si="165"/>
        <v>714.33398538300992</v>
      </c>
      <c r="BU87" s="538">
        <f t="shared" si="148"/>
        <v>2.7389058841400277E-2</v>
      </c>
      <c r="BV87" s="538">
        <f t="shared" si="149"/>
        <v>0.12778619061480939</v>
      </c>
      <c r="BW87" s="538">
        <f t="shared" si="150"/>
        <v>8.5190793743206272E-3</v>
      </c>
      <c r="BX87" s="538">
        <f t="shared" si="151"/>
        <v>0</v>
      </c>
      <c r="BY87" s="538">
        <f t="shared" si="152"/>
        <v>0.1857704133404609</v>
      </c>
      <c r="BZ87" s="538">
        <f t="shared" si="166"/>
        <v>0.16369432883053028</v>
      </c>
      <c r="CA87" s="641">
        <f t="shared" si="153"/>
        <v>7.0285714285714257E-2</v>
      </c>
      <c r="CB87" s="469">
        <f t="shared" si="167"/>
        <v>256.05612762617511</v>
      </c>
      <c r="CC87" s="177">
        <f t="shared" si="168"/>
        <v>1.2466289896214771</v>
      </c>
      <c r="CD87" s="5">
        <f t="shared" si="169"/>
        <v>4.92</v>
      </c>
      <c r="CE87" s="177">
        <f t="shared" si="170"/>
        <v>0.79784271249015115</v>
      </c>
      <c r="CF87" s="5">
        <f t="shared" si="171"/>
        <v>79.78427124901512</v>
      </c>
      <c r="CG87">
        <f t="shared" si="172"/>
        <v>82</v>
      </c>
      <c r="CI87" s="571">
        <f t="shared" si="154"/>
        <v>-50</v>
      </c>
      <c r="CJ87">
        <f t="shared" si="155"/>
        <v>-50</v>
      </c>
    </row>
    <row r="88" spans="5:88" x14ac:dyDescent="0.2">
      <c r="E88" s="174">
        <v>83</v>
      </c>
      <c r="F88" s="221">
        <f t="shared" si="173"/>
        <v>0.83</v>
      </c>
      <c r="G88" s="221">
        <f t="shared" si="156"/>
        <v>0.16600000000000001</v>
      </c>
      <c r="H88" s="221">
        <f t="shared" si="105"/>
        <v>4.1499999999999995</v>
      </c>
      <c r="I88" s="221">
        <f t="shared" si="174"/>
        <v>0.83000000000000007</v>
      </c>
      <c r="J88" s="551">
        <f t="shared" si="106"/>
        <v>24</v>
      </c>
      <c r="K88" s="451">
        <f t="shared" si="107"/>
        <v>10.64</v>
      </c>
      <c r="L88" s="451">
        <f t="shared" si="108"/>
        <v>34.64</v>
      </c>
      <c r="M88" s="451"/>
      <c r="N88" s="221">
        <f t="shared" si="109"/>
        <v>0.30715935334872979</v>
      </c>
      <c r="O88" s="176">
        <f t="shared" si="157"/>
        <v>11.334180138568129</v>
      </c>
      <c r="P88" s="176">
        <f t="shared" si="110"/>
        <v>2.7202032332563508</v>
      </c>
      <c r="Q88" s="221">
        <f t="shared" si="111"/>
        <v>2.2668360277136257</v>
      </c>
      <c r="R88" s="221">
        <f t="shared" si="112"/>
        <v>2.2668360277136257</v>
      </c>
      <c r="S88" s="451">
        <f t="shared" si="113"/>
        <v>5</v>
      </c>
      <c r="T88" s="221">
        <f t="shared" si="114"/>
        <v>1.5012113617376774</v>
      </c>
      <c r="U88" s="221">
        <f t="shared" si="115"/>
        <v>0.43785331384015591</v>
      </c>
      <c r="V88" s="221">
        <f t="shared" si="116"/>
        <v>0.98763905377478778</v>
      </c>
      <c r="W88" s="201">
        <f t="shared" si="117"/>
        <v>350</v>
      </c>
      <c r="X88" s="451">
        <f t="shared" si="158"/>
        <v>350</v>
      </c>
      <c r="Z88" s="221">
        <f t="shared" si="118"/>
        <v>3.0089079511712309</v>
      </c>
      <c r="AA88" s="177">
        <f t="shared" si="119"/>
        <v>1.9795447047179149</v>
      </c>
      <c r="AB88" s="177">
        <f t="shared" si="120"/>
        <v>2.0846937306036244</v>
      </c>
      <c r="AC88" s="177"/>
      <c r="AD88" s="177">
        <f t="shared" si="121"/>
        <v>0.53947368421052622</v>
      </c>
      <c r="AE88" s="555">
        <f t="shared" si="122"/>
        <v>1876.2641284949436</v>
      </c>
      <c r="AF88" s="538">
        <f t="shared" si="123"/>
        <v>0.15482894736842101</v>
      </c>
      <c r="AH88" s="177">
        <f t="shared" si="124"/>
        <v>2.0162604302145541</v>
      </c>
      <c r="AI88" s="177">
        <f t="shared" si="125"/>
        <v>2.0162604302145541</v>
      </c>
      <c r="AJ88" s="177">
        <f t="shared" si="126"/>
        <v>2.0861188371959662</v>
      </c>
      <c r="AL88" s="555">
        <f t="shared" si="127"/>
        <v>830</v>
      </c>
      <c r="AM88" s="469">
        <f t="shared" si="128"/>
        <v>350</v>
      </c>
      <c r="AO88">
        <f t="shared" si="159"/>
        <v>830</v>
      </c>
      <c r="AP88">
        <f t="shared" si="129"/>
        <v>350</v>
      </c>
      <c r="AR88" s="5">
        <f t="shared" si="160"/>
        <v>2.8571428571428572</v>
      </c>
      <c r="AS88" s="5">
        <f t="shared" si="130"/>
        <v>0.58807595881257824</v>
      </c>
      <c r="AT88" s="5">
        <f t="shared" si="161"/>
        <v>2.2690668983302791</v>
      </c>
      <c r="AU88" s="177">
        <f t="shared" si="162"/>
        <v>0.20582658558440237</v>
      </c>
      <c r="AW88" s="5">
        <f t="shared" si="131"/>
        <v>12.458288888888889</v>
      </c>
      <c r="AX88" s="5">
        <f t="shared" si="132"/>
        <v>6.7812576077777766</v>
      </c>
      <c r="AY88" s="5">
        <f t="shared" si="133"/>
        <v>0.49833155555555569</v>
      </c>
      <c r="AZ88" s="5">
        <f t="shared" si="134"/>
        <v>1.1122286559595962</v>
      </c>
      <c r="BA88" s="5">
        <f t="shared" si="135"/>
        <v>0.43595498278104888</v>
      </c>
      <c r="BB88" s="469">
        <f t="shared" si="136"/>
        <v>53.006264600392541</v>
      </c>
      <c r="BC88" s="5"/>
      <c r="BD88" s="177">
        <f t="shared" si="163"/>
        <v>0.52812500999259626</v>
      </c>
      <c r="BE88" s="177">
        <f t="shared" si="137"/>
        <v>2.0747877140918742</v>
      </c>
      <c r="BF88" s="177">
        <f t="shared" si="138"/>
        <v>0.41495754281837488</v>
      </c>
      <c r="BG88" s="177"/>
      <c r="BH88" s="538">
        <f t="shared" si="139"/>
        <v>3.0680762879764793E-2</v>
      </c>
      <c r="BI88" s="538">
        <f t="shared" si="140"/>
        <v>0.12222570727960627</v>
      </c>
      <c r="BJ88" s="538">
        <f t="shared" si="141"/>
        <v>1.7499999999999998E-2</v>
      </c>
      <c r="BK88" s="538">
        <f t="shared" si="142"/>
        <v>9.4494456000000004E-2</v>
      </c>
      <c r="BL88">
        <f t="shared" si="143"/>
        <v>6.96E-3</v>
      </c>
      <c r="BM88">
        <f t="shared" si="144"/>
        <v>6.6500000000000004E-5</v>
      </c>
      <c r="BN88">
        <f t="shared" si="145"/>
        <v>0.27764094368254499</v>
      </c>
      <c r="BO88" s="469">
        <f t="shared" si="164"/>
        <v>277.64094368254501</v>
      </c>
      <c r="BP88" s="177">
        <f t="shared" si="146"/>
        <v>0.64594244607295914</v>
      </c>
      <c r="BQ88" s="177">
        <f t="shared" si="147"/>
        <v>7.6567297842918366E-2</v>
      </c>
      <c r="BR88" s="538"/>
      <c r="BT88" s="469">
        <f t="shared" si="165"/>
        <v>722.50974391587749</v>
      </c>
      <c r="BU88" s="538">
        <f t="shared" si="148"/>
        <v>2.7891602617967994E-2</v>
      </c>
      <c r="BV88" s="538">
        <f t="shared" si="149"/>
        <v>0.12914232175639753</v>
      </c>
      <c r="BW88" s="538">
        <f t="shared" si="150"/>
        <v>8.6094881170931722E-3</v>
      </c>
      <c r="BX88" s="538">
        <f t="shared" si="151"/>
        <v>0</v>
      </c>
      <c r="BY88" s="538">
        <f t="shared" si="152"/>
        <v>0.18801205870997495</v>
      </c>
      <c r="BZ88" s="538">
        <f t="shared" si="166"/>
        <v>0.1656434124914587</v>
      </c>
      <c r="CA88" s="641">
        <f t="shared" si="153"/>
        <v>7.1142857142857133E-2</v>
      </c>
      <c r="CB88" s="469">
        <f t="shared" si="167"/>
        <v>259.15491585283206</v>
      </c>
      <c r="CC88" s="177">
        <f t="shared" si="168"/>
        <v>1.2593056034512546</v>
      </c>
      <c r="CD88" s="5">
        <f t="shared" si="169"/>
        <v>4.9799999999999995</v>
      </c>
      <c r="CE88" s="177">
        <f t="shared" si="170"/>
        <v>0.7981657441567418</v>
      </c>
      <c r="CF88" s="5">
        <f t="shared" si="171"/>
        <v>79.816574415674182</v>
      </c>
      <c r="CG88">
        <f t="shared" si="172"/>
        <v>83</v>
      </c>
      <c r="CI88" s="571">
        <f t="shared" si="154"/>
        <v>-50</v>
      </c>
      <c r="CJ88">
        <f t="shared" si="155"/>
        <v>-50</v>
      </c>
    </row>
    <row r="89" spans="5:88" x14ac:dyDescent="0.2">
      <c r="E89" s="174">
        <v>84</v>
      </c>
      <c r="F89" s="221">
        <f t="shared" si="173"/>
        <v>0.84</v>
      </c>
      <c r="G89" s="221">
        <f t="shared" si="156"/>
        <v>0.16800000000000001</v>
      </c>
      <c r="H89" s="221">
        <f t="shared" si="105"/>
        <v>4.2</v>
      </c>
      <c r="I89" s="221">
        <f t="shared" si="174"/>
        <v>0.84000000000000008</v>
      </c>
      <c r="J89" s="551">
        <f t="shared" si="106"/>
        <v>24</v>
      </c>
      <c r="K89" s="451">
        <f t="shared" si="107"/>
        <v>10.64</v>
      </c>
      <c r="L89" s="451">
        <f t="shared" si="108"/>
        <v>34.64</v>
      </c>
      <c r="M89" s="451"/>
      <c r="N89" s="221">
        <f t="shared" si="109"/>
        <v>0.30715935334872979</v>
      </c>
      <c r="O89" s="176">
        <f t="shared" si="157"/>
        <v>11.334180138568129</v>
      </c>
      <c r="P89" s="176">
        <f t="shared" si="110"/>
        <v>2.7202032332563508</v>
      </c>
      <c r="Q89" s="221">
        <f t="shared" si="111"/>
        <v>2.2668360277136257</v>
      </c>
      <c r="R89" s="221">
        <f t="shared" si="112"/>
        <v>2.2668360277136257</v>
      </c>
      <c r="S89" s="451">
        <f t="shared" si="113"/>
        <v>5</v>
      </c>
      <c r="T89" s="221">
        <f t="shared" si="114"/>
        <v>1.5192982456140351</v>
      </c>
      <c r="U89" s="221">
        <f t="shared" si="115"/>
        <v>0.44312865497076026</v>
      </c>
      <c r="V89" s="221">
        <f t="shared" si="116"/>
        <v>0.99953831948291771</v>
      </c>
      <c r="W89" s="201">
        <f t="shared" si="117"/>
        <v>350</v>
      </c>
      <c r="X89" s="451">
        <f t="shared" si="158"/>
        <v>350</v>
      </c>
      <c r="Z89" s="221">
        <f t="shared" si="118"/>
        <v>3.0089079511712309</v>
      </c>
      <c r="AA89" s="177">
        <f t="shared" si="119"/>
        <v>1.9795447047179149</v>
      </c>
      <c r="AB89" s="177">
        <f t="shared" si="120"/>
        <v>2.0846937306036244</v>
      </c>
      <c r="AC89" s="177"/>
      <c r="AD89" s="177">
        <f t="shared" si="121"/>
        <v>0.53947368421052622</v>
      </c>
      <c r="AE89" s="555">
        <f t="shared" si="122"/>
        <v>1898.8697204045213</v>
      </c>
      <c r="AF89" s="538">
        <f t="shared" si="123"/>
        <v>0.15482894736842101</v>
      </c>
      <c r="AH89" s="177">
        <f t="shared" si="124"/>
        <v>2.0283702113484399</v>
      </c>
      <c r="AI89" s="177">
        <f t="shared" si="125"/>
        <v>2.0283702113484399</v>
      </c>
      <c r="AJ89" s="177">
        <f t="shared" si="126"/>
        <v>2.0950890454432889</v>
      </c>
      <c r="AL89" s="555">
        <f t="shared" si="127"/>
        <v>840</v>
      </c>
      <c r="AM89" s="469">
        <f t="shared" si="128"/>
        <v>350</v>
      </c>
      <c r="AO89">
        <f t="shared" si="159"/>
        <v>840</v>
      </c>
      <c r="AP89">
        <f t="shared" si="129"/>
        <v>350</v>
      </c>
      <c r="AR89" s="5">
        <f t="shared" si="160"/>
        <v>2.8571428571428572</v>
      </c>
      <c r="AS89" s="5">
        <f t="shared" si="130"/>
        <v>0.59160797830996159</v>
      </c>
      <c r="AT89" s="5">
        <f t="shared" si="161"/>
        <v>2.2655348788328955</v>
      </c>
      <c r="AU89" s="177">
        <f t="shared" si="162"/>
        <v>0.20706279240848655</v>
      </c>
      <c r="AW89" s="5">
        <f t="shared" si="131"/>
        <v>12.458288888888889</v>
      </c>
      <c r="AX89" s="5">
        <f t="shared" si="132"/>
        <v>6.9152843199999996</v>
      </c>
      <c r="AY89" s="5">
        <f t="shared" si="133"/>
        <v>0.49833155555555569</v>
      </c>
      <c r="AZ89" s="5">
        <f t="shared" si="134"/>
        <v>1.1351426036363637</v>
      </c>
      <c r="BA89" s="5">
        <f t="shared" si="135"/>
        <v>0.44052067088417407</v>
      </c>
      <c r="BB89" s="469">
        <f t="shared" si="136"/>
        <v>53.56248050610089</v>
      </c>
      <c r="BC89" s="5"/>
      <c r="BD89" s="177">
        <f t="shared" si="163"/>
        <v>0.53289007270616473</v>
      </c>
      <c r="BE89" s="177">
        <f t="shared" si="137"/>
        <v>2.085623879648284</v>
      </c>
      <c r="BF89" s="177">
        <f t="shared" si="138"/>
        <v>0.4171247759296568</v>
      </c>
      <c r="BG89" s="177"/>
      <c r="BH89" s="538">
        <f t="shared" si="139"/>
        <v>3.123690125476597E-2</v>
      </c>
      <c r="BI89" s="538">
        <f t="shared" si="140"/>
        <v>0.12295980221194243</v>
      </c>
      <c r="BJ89" s="538">
        <f t="shared" si="141"/>
        <v>1.7499999999999998E-2</v>
      </c>
      <c r="BK89" s="538">
        <f t="shared" si="142"/>
        <v>9.4494456000000004E-2</v>
      </c>
      <c r="BL89">
        <f t="shared" si="143"/>
        <v>6.96E-3</v>
      </c>
      <c r="BM89">
        <f t="shared" si="144"/>
        <v>6.6500000000000004E-5</v>
      </c>
      <c r="BN89">
        <f t="shared" si="145"/>
        <v>0.27904282304476774</v>
      </c>
      <c r="BO89" s="469">
        <f t="shared" si="164"/>
        <v>279.04282304476772</v>
      </c>
      <c r="BP89" s="177">
        <f t="shared" si="146"/>
        <v>0.65320678030623991</v>
      </c>
      <c r="BQ89" s="177">
        <f t="shared" si="147"/>
        <v>7.7469071212249593E-2</v>
      </c>
      <c r="BR89" s="538"/>
      <c r="BT89" s="469">
        <f t="shared" si="165"/>
        <v>730.67585151848948</v>
      </c>
      <c r="BU89" s="538">
        <f t="shared" si="148"/>
        <v>2.8397182958878154E-2</v>
      </c>
      <c r="BV89" s="538">
        <f t="shared" si="149"/>
        <v>0.13049480902077479</v>
      </c>
      <c r="BW89" s="538">
        <f t="shared" si="150"/>
        <v>8.69965393471832E-3</v>
      </c>
      <c r="BX89" s="538">
        <f t="shared" si="151"/>
        <v>0</v>
      </c>
      <c r="BY89" s="538">
        <f t="shared" si="152"/>
        <v>0.1902534343199796</v>
      </c>
      <c r="BZ89" s="538">
        <f t="shared" si="166"/>
        <v>0.16759164591437128</v>
      </c>
      <c r="CA89" s="641">
        <f t="shared" si="153"/>
        <v>7.2000000000000008E-2</v>
      </c>
      <c r="CB89" s="469">
        <f t="shared" si="167"/>
        <v>262.25343431997959</v>
      </c>
      <c r="CC89" s="177">
        <f t="shared" si="168"/>
        <v>1.271972108883237</v>
      </c>
      <c r="CD89" s="5">
        <f t="shared" si="169"/>
        <v>5.04</v>
      </c>
      <c r="CE89" s="177">
        <f t="shared" si="170"/>
        <v>0.79848261574332524</v>
      </c>
      <c r="CF89" s="5">
        <f t="shared" si="171"/>
        <v>79.848261574332525</v>
      </c>
      <c r="CG89">
        <f t="shared" si="172"/>
        <v>84</v>
      </c>
      <c r="CI89" s="571">
        <f t="shared" si="154"/>
        <v>-50</v>
      </c>
      <c r="CJ89">
        <f t="shared" si="155"/>
        <v>-50</v>
      </c>
    </row>
    <row r="90" spans="5:88" x14ac:dyDescent="0.2">
      <c r="E90" s="174">
        <v>85</v>
      </c>
      <c r="F90" s="221">
        <f t="shared" si="173"/>
        <v>0.85</v>
      </c>
      <c r="G90" s="221">
        <f t="shared" si="156"/>
        <v>0.17</v>
      </c>
      <c r="H90" s="221">
        <f t="shared" si="105"/>
        <v>4.25</v>
      </c>
      <c r="I90" s="221">
        <f t="shared" si="174"/>
        <v>0.85000000000000009</v>
      </c>
      <c r="J90" s="551">
        <f t="shared" si="106"/>
        <v>24</v>
      </c>
      <c r="K90" s="451">
        <f t="shared" si="107"/>
        <v>10.64</v>
      </c>
      <c r="L90" s="451">
        <f t="shared" si="108"/>
        <v>34.64</v>
      </c>
      <c r="M90" s="451"/>
      <c r="N90" s="221">
        <f t="shared" si="109"/>
        <v>0.30715935334872979</v>
      </c>
      <c r="O90" s="176">
        <f t="shared" si="157"/>
        <v>11.334180138568129</v>
      </c>
      <c r="P90" s="176">
        <f t="shared" si="110"/>
        <v>2.7202032332563508</v>
      </c>
      <c r="Q90" s="221">
        <f t="shared" si="111"/>
        <v>2.2668360277136257</v>
      </c>
      <c r="R90" s="221">
        <f t="shared" si="112"/>
        <v>2.2668360277136257</v>
      </c>
      <c r="S90" s="451">
        <f t="shared" si="113"/>
        <v>5</v>
      </c>
      <c r="T90" s="221">
        <f t="shared" si="114"/>
        <v>1.5373851294903924</v>
      </c>
      <c r="U90" s="221">
        <f t="shared" si="115"/>
        <v>0.4484039961013645</v>
      </c>
      <c r="V90" s="221">
        <f t="shared" si="116"/>
        <v>1.0114375851910478</v>
      </c>
      <c r="W90" s="201">
        <f t="shared" si="117"/>
        <v>350</v>
      </c>
      <c r="X90" s="451">
        <f t="shared" si="158"/>
        <v>350</v>
      </c>
      <c r="Z90" s="221">
        <f t="shared" si="118"/>
        <v>3.0089079511712309</v>
      </c>
      <c r="AA90" s="177">
        <f t="shared" si="119"/>
        <v>1.9795447047179149</v>
      </c>
      <c r="AB90" s="177">
        <f t="shared" si="120"/>
        <v>2.0846937306036244</v>
      </c>
      <c r="AC90" s="177"/>
      <c r="AD90" s="177">
        <f t="shared" si="121"/>
        <v>0.53947368421052622</v>
      </c>
      <c r="AE90" s="555">
        <f t="shared" si="122"/>
        <v>1921.4753123140988</v>
      </c>
      <c r="AF90" s="538">
        <f t="shared" si="123"/>
        <v>0.15482894736842101</v>
      </c>
      <c r="AH90" s="177">
        <f t="shared" si="124"/>
        <v>2.0404081224408142</v>
      </c>
      <c r="AI90" s="177">
        <f t="shared" si="125"/>
        <v>2.0404081224408142</v>
      </c>
      <c r="AJ90" s="177">
        <f t="shared" si="126"/>
        <v>2.1040060166228254</v>
      </c>
      <c r="AL90" s="555">
        <f t="shared" si="127"/>
        <v>850</v>
      </c>
      <c r="AM90" s="469">
        <f t="shared" si="128"/>
        <v>350</v>
      </c>
      <c r="AO90">
        <f t="shared" si="159"/>
        <v>850</v>
      </c>
      <c r="AP90">
        <f t="shared" si="129"/>
        <v>350</v>
      </c>
      <c r="AR90" s="5">
        <f t="shared" si="160"/>
        <v>2.8571428571428572</v>
      </c>
      <c r="AS90" s="5">
        <f t="shared" si="130"/>
        <v>0.59511903571190417</v>
      </c>
      <c r="AT90" s="5">
        <f t="shared" si="161"/>
        <v>2.2620238214309532</v>
      </c>
      <c r="AU90" s="177">
        <f t="shared" si="162"/>
        <v>0.20829166249916645</v>
      </c>
      <c r="AW90" s="5">
        <f t="shared" si="131"/>
        <v>12.458288888888889</v>
      </c>
      <c r="AX90" s="5">
        <f t="shared" si="132"/>
        <v>7.0505568611111098</v>
      </c>
      <c r="AY90" s="5">
        <f t="shared" si="133"/>
        <v>0.49833155555555569</v>
      </c>
      <c r="AZ90" s="5">
        <f t="shared" si="134"/>
        <v>1.1582830656565657</v>
      </c>
      <c r="BA90" s="5">
        <f t="shared" si="135"/>
        <v>0.44507413153155312</v>
      </c>
      <c r="BB90" s="469">
        <f t="shared" si="136"/>
        <v>54.117229117119727</v>
      </c>
      <c r="BC90" s="5"/>
      <c r="BD90" s="177">
        <f t="shared" si="163"/>
        <v>0.53764097439256053</v>
      </c>
      <c r="BE90" s="177">
        <f t="shared" si="137"/>
        <v>2.0963752380669201</v>
      </c>
      <c r="BF90" s="177">
        <f t="shared" si="138"/>
        <v>0.41927504761338402</v>
      </c>
      <c r="BG90" s="177"/>
      <c r="BH90" s="538">
        <f t="shared" si="139"/>
        <v>3.1796359908036018E-2</v>
      </c>
      <c r="BI90" s="538">
        <f t="shared" si="140"/>
        <v>0.12368954038236216</v>
      </c>
      <c r="BJ90" s="538">
        <f t="shared" si="141"/>
        <v>1.7499999999999998E-2</v>
      </c>
      <c r="BK90" s="538">
        <f t="shared" si="142"/>
        <v>9.4494456000000004E-2</v>
      </c>
      <c r="BL90">
        <f t="shared" si="143"/>
        <v>6.96E-3</v>
      </c>
      <c r="BM90">
        <f t="shared" si="144"/>
        <v>6.6500000000000004E-5</v>
      </c>
      <c r="BN90">
        <f t="shared" si="145"/>
        <v>0.28044457288583685</v>
      </c>
      <c r="BO90" s="469">
        <f t="shared" si="164"/>
        <v>280.44457288583686</v>
      </c>
      <c r="BP90" s="177">
        <f t="shared" si="146"/>
        <v>0.66046189020280244</v>
      </c>
      <c r="BQ90" s="177">
        <f t="shared" si="147"/>
        <v>7.8370475608112097E-2</v>
      </c>
      <c r="BR90" s="538"/>
      <c r="BT90" s="469">
        <f t="shared" si="165"/>
        <v>738.83236581091444</v>
      </c>
      <c r="BU90" s="538">
        <f t="shared" si="148"/>
        <v>2.8905781734578195E-2</v>
      </c>
      <c r="BV90" s="538">
        <f t="shared" si="149"/>
        <v>0.13184367416340409</v>
      </c>
      <c r="BW90" s="538">
        <f t="shared" si="150"/>
        <v>8.7895782775602709E-3</v>
      </c>
      <c r="BX90" s="538">
        <f t="shared" si="151"/>
        <v>0</v>
      </c>
      <c r="BY90" s="538">
        <f t="shared" si="152"/>
        <v>0.19249454542179742</v>
      </c>
      <c r="BZ90" s="538">
        <f t="shared" si="166"/>
        <v>0.16953903417554256</v>
      </c>
      <c r="CA90" s="641">
        <f t="shared" si="153"/>
        <v>7.2857142857142843E-2</v>
      </c>
      <c r="CB90" s="469">
        <f t="shared" si="167"/>
        <v>265.35168827894029</v>
      </c>
      <c r="CC90" s="177">
        <f t="shared" si="168"/>
        <v>1.2846286269756915</v>
      </c>
      <c r="CD90" s="5">
        <f t="shared" si="169"/>
        <v>5.0999999999999996</v>
      </c>
      <c r="CE90" s="177">
        <f t="shared" si="170"/>
        <v>0.79879352394154801</v>
      </c>
      <c r="CF90" s="5">
        <f t="shared" si="171"/>
        <v>79.879352394154807</v>
      </c>
      <c r="CG90">
        <f t="shared" si="172"/>
        <v>85</v>
      </c>
      <c r="CI90" s="571">
        <f t="shared" si="154"/>
        <v>-50</v>
      </c>
      <c r="CJ90">
        <f t="shared" si="155"/>
        <v>-50</v>
      </c>
    </row>
    <row r="91" spans="5:88" x14ac:dyDescent="0.2">
      <c r="E91" s="174">
        <v>86</v>
      </c>
      <c r="F91" s="221">
        <f t="shared" si="173"/>
        <v>0.86</v>
      </c>
      <c r="G91" s="221">
        <f t="shared" si="156"/>
        <v>0.17200000000000001</v>
      </c>
      <c r="H91" s="221">
        <f t="shared" si="105"/>
        <v>4.3</v>
      </c>
      <c r="I91" s="221">
        <f t="shared" si="174"/>
        <v>0.8600000000000001</v>
      </c>
      <c r="J91" s="551">
        <f t="shared" si="106"/>
        <v>24</v>
      </c>
      <c r="K91" s="451">
        <f t="shared" si="107"/>
        <v>10.64</v>
      </c>
      <c r="L91" s="451">
        <f t="shared" si="108"/>
        <v>34.64</v>
      </c>
      <c r="M91" s="451"/>
      <c r="N91" s="221">
        <f t="shared" si="109"/>
        <v>0.30715935334872979</v>
      </c>
      <c r="O91" s="176">
        <f t="shared" si="157"/>
        <v>11.334180138568129</v>
      </c>
      <c r="P91" s="176">
        <f t="shared" si="110"/>
        <v>2.7202032332563508</v>
      </c>
      <c r="Q91" s="221">
        <f t="shared" si="111"/>
        <v>2.2668360277136257</v>
      </c>
      <c r="R91" s="221">
        <f t="shared" si="112"/>
        <v>2.2668360277136257</v>
      </c>
      <c r="S91" s="451">
        <f t="shared" si="113"/>
        <v>5</v>
      </c>
      <c r="T91" s="221">
        <f t="shared" si="114"/>
        <v>1.5554720133667501</v>
      </c>
      <c r="U91" s="221">
        <f t="shared" si="115"/>
        <v>0.45367933723196874</v>
      </c>
      <c r="V91" s="221">
        <f t="shared" si="116"/>
        <v>1.0233368508991776</v>
      </c>
      <c r="W91" s="201">
        <f t="shared" si="117"/>
        <v>350</v>
      </c>
      <c r="X91" s="451">
        <f t="shared" si="158"/>
        <v>350</v>
      </c>
      <c r="Z91" s="221">
        <f t="shared" si="118"/>
        <v>3.0089079511712309</v>
      </c>
      <c r="AA91" s="177">
        <f t="shared" si="119"/>
        <v>1.9795447047179149</v>
      </c>
      <c r="AB91" s="177">
        <f t="shared" si="120"/>
        <v>2.0846937306036244</v>
      </c>
      <c r="AC91" s="177"/>
      <c r="AD91" s="177">
        <f t="shared" si="121"/>
        <v>0.53947368421052622</v>
      </c>
      <c r="AE91" s="555">
        <f t="shared" si="122"/>
        <v>1944.0809042236767</v>
      </c>
      <c r="AF91" s="538">
        <f t="shared" si="123"/>
        <v>0.15482894736842101</v>
      </c>
      <c r="AH91" s="177">
        <f t="shared" si="124"/>
        <v>2.0523754281220539</v>
      </c>
      <c r="AI91" s="177">
        <f t="shared" si="125"/>
        <v>2.0523754281220539</v>
      </c>
      <c r="AJ91" s="177">
        <f t="shared" si="126"/>
        <v>2.1128706874978178</v>
      </c>
      <c r="AL91" s="555">
        <f t="shared" si="127"/>
        <v>860</v>
      </c>
      <c r="AM91" s="469">
        <f t="shared" si="128"/>
        <v>350</v>
      </c>
      <c r="AO91">
        <f t="shared" si="159"/>
        <v>860</v>
      </c>
      <c r="AP91">
        <f t="shared" si="129"/>
        <v>350</v>
      </c>
      <c r="AR91" s="5">
        <f t="shared" si="160"/>
        <v>2.8571428571428572</v>
      </c>
      <c r="AS91" s="5">
        <f t="shared" si="130"/>
        <v>0.59860949986893242</v>
      </c>
      <c r="AT91" s="5">
        <f t="shared" si="161"/>
        <v>2.258533357273925</v>
      </c>
      <c r="AU91" s="177">
        <f t="shared" si="162"/>
        <v>0.20951332495412633</v>
      </c>
      <c r="AW91" s="5">
        <f t="shared" si="131"/>
        <v>12.458288888888889</v>
      </c>
      <c r="AX91" s="5">
        <f t="shared" si="132"/>
        <v>7.1870752311111108</v>
      </c>
      <c r="AY91" s="5">
        <f t="shared" si="133"/>
        <v>0.49833155555555569</v>
      </c>
      <c r="AZ91" s="5">
        <f t="shared" si="134"/>
        <v>1.1816500420202023</v>
      </c>
      <c r="BA91" s="5">
        <f t="shared" si="135"/>
        <v>0.4496154368647165</v>
      </c>
      <c r="BB91" s="469">
        <f t="shared" si="136"/>
        <v>54.670519090432641</v>
      </c>
      <c r="BC91" s="5"/>
      <c r="BD91" s="177">
        <f t="shared" si="163"/>
        <v>0.54237792300586962</v>
      </c>
      <c r="BE91" s="177">
        <f t="shared" si="137"/>
        <v>2.1070432565933714</v>
      </c>
      <c r="BF91" s="177">
        <f t="shared" si="138"/>
        <v>0.42140865131867433</v>
      </c>
      <c r="BG91" s="177"/>
      <c r="BH91" s="538">
        <f t="shared" si="139"/>
        <v>3.2359119250057716E-2</v>
      </c>
      <c r="BI91" s="538">
        <f t="shared" si="140"/>
        <v>0.1244149984527589</v>
      </c>
      <c r="BJ91" s="538">
        <f t="shared" si="141"/>
        <v>1.7499999999999998E-2</v>
      </c>
      <c r="BK91" s="538">
        <f t="shared" si="142"/>
        <v>9.4494456000000004E-2</v>
      </c>
      <c r="BL91">
        <f t="shared" si="143"/>
        <v>6.96E-3</v>
      </c>
      <c r="BM91">
        <f t="shared" si="144"/>
        <v>6.6500000000000004E-5</v>
      </c>
      <c r="BN91">
        <f t="shared" si="145"/>
        <v>0.28184624948688131</v>
      </c>
      <c r="BO91" s="469">
        <f t="shared" si="164"/>
        <v>281.84624948688133</v>
      </c>
      <c r="BP91" s="177">
        <f t="shared" si="146"/>
        <v>0.66770783018588786</v>
      </c>
      <c r="BQ91" s="177">
        <f t="shared" si="147"/>
        <v>7.9271513207435529E-2</v>
      </c>
      <c r="BR91" s="538"/>
      <c r="BT91" s="469">
        <f t="shared" si="165"/>
        <v>746.97934339332335</v>
      </c>
      <c r="BU91" s="538">
        <f t="shared" si="148"/>
        <v>2.9417381136416107E-2</v>
      </c>
      <c r="BV91" s="538">
        <f t="shared" si="149"/>
        <v>0.13318893855466798</v>
      </c>
      <c r="BW91" s="538">
        <f t="shared" si="150"/>
        <v>8.8792625703112034E-3</v>
      </c>
      <c r="BX91" s="538">
        <f t="shared" si="151"/>
        <v>0</v>
      </c>
      <c r="BY91" s="538">
        <f t="shared" si="152"/>
        <v>0.19473539717041657</v>
      </c>
      <c r="BZ91" s="538">
        <f t="shared" si="166"/>
        <v>0.17148558226139529</v>
      </c>
      <c r="CA91" s="641">
        <f t="shared" si="153"/>
        <v>7.3714285714285718E-2</v>
      </c>
      <c r="CB91" s="469">
        <f t="shared" si="167"/>
        <v>268.44968288470227</v>
      </c>
      <c r="CC91" s="177">
        <f t="shared" si="168"/>
        <v>1.2972752757649071</v>
      </c>
      <c r="CD91" s="5">
        <f t="shared" si="169"/>
        <v>5.16</v>
      </c>
      <c r="CE91" s="177">
        <f t="shared" si="170"/>
        <v>0.79909865688492954</v>
      </c>
      <c r="CF91" s="5">
        <f t="shared" si="171"/>
        <v>79.909865688492957</v>
      </c>
      <c r="CG91">
        <f t="shared" si="172"/>
        <v>86</v>
      </c>
      <c r="CI91" s="571">
        <f t="shared" si="154"/>
        <v>-50</v>
      </c>
      <c r="CJ91">
        <f t="shared" si="155"/>
        <v>-50</v>
      </c>
    </row>
    <row r="92" spans="5:88" x14ac:dyDescent="0.2">
      <c r="E92" s="174">
        <v>87</v>
      </c>
      <c r="F92" s="221">
        <f t="shared" si="173"/>
        <v>0.87</v>
      </c>
      <c r="G92" s="221">
        <f t="shared" si="156"/>
        <v>0.17400000000000002</v>
      </c>
      <c r="H92" s="221">
        <f t="shared" si="105"/>
        <v>4.3499999999999996</v>
      </c>
      <c r="I92" s="221">
        <f t="shared" si="174"/>
        <v>0.87000000000000011</v>
      </c>
      <c r="J92" s="551">
        <f t="shared" si="106"/>
        <v>24</v>
      </c>
      <c r="K92" s="451">
        <f t="shared" si="107"/>
        <v>10.64</v>
      </c>
      <c r="L92" s="451">
        <f t="shared" si="108"/>
        <v>34.64</v>
      </c>
      <c r="M92" s="451"/>
      <c r="N92" s="221">
        <f t="shared" si="109"/>
        <v>0.30715935334872979</v>
      </c>
      <c r="O92" s="176">
        <f t="shared" si="157"/>
        <v>11.334180138568129</v>
      </c>
      <c r="P92" s="176">
        <f t="shared" si="110"/>
        <v>2.7202032332563508</v>
      </c>
      <c r="Q92" s="221">
        <f t="shared" si="111"/>
        <v>2.2668360277136257</v>
      </c>
      <c r="R92" s="221">
        <f t="shared" si="112"/>
        <v>2.2668360277136257</v>
      </c>
      <c r="S92" s="451">
        <f t="shared" si="113"/>
        <v>5</v>
      </c>
      <c r="T92" s="221">
        <f t="shared" si="114"/>
        <v>1.5735588972431076</v>
      </c>
      <c r="U92" s="221">
        <f t="shared" si="115"/>
        <v>0.45895467836257303</v>
      </c>
      <c r="V92" s="221">
        <f t="shared" si="116"/>
        <v>1.0352361166073076</v>
      </c>
      <c r="W92" s="201">
        <f t="shared" si="117"/>
        <v>350</v>
      </c>
      <c r="X92" s="451">
        <f t="shared" si="158"/>
        <v>350</v>
      </c>
      <c r="Z92" s="221">
        <f t="shared" si="118"/>
        <v>3.0089079511712309</v>
      </c>
      <c r="AA92" s="177">
        <f t="shared" si="119"/>
        <v>1.9795447047179149</v>
      </c>
      <c r="AB92" s="177">
        <f t="shared" si="120"/>
        <v>2.0846937306036244</v>
      </c>
      <c r="AC92" s="177"/>
      <c r="AD92" s="177">
        <f t="shared" si="121"/>
        <v>0.53947368421052622</v>
      </c>
      <c r="AE92" s="555">
        <f t="shared" si="122"/>
        <v>1966.6864961332544</v>
      </c>
      <c r="AF92" s="538">
        <f t="shared" si="123"/>
        <v>0.15482894736842101</v>
      </c>
      <c r="AH92" s="177">
        <f t="shared" si="124"/>
        <v>2.0642733563643936</v>
      </c>
      <c r="AI92" s="177">
        <f t="shared" si="125"/>
        <v>2.0642733563643936</v>
      </c>
      <c r="AJ92" s="177">
        <f t="shared" si="126"/>
        <v>2.1216839676773285</v>
      </c>
      <c r="AL92" s="555">
        <f t="shared" si="127"/>
        <v>870</v>
      </c>
      <c r="AM92" s="469">
        <f t="shared" si="128"/>
        <v>350</v>
      </c>
      <c r="AO92">
        <f t="shared" si="159"/>
        <v>870</v>
      </c>
      <c r="AP92">
        <f t="shared" si="129"/>
        <v>350</v>
      </c>
      <c r="AR92" s="5">
        <f t="shared" si="160"/>
        <v>2.8571428571428572</v>
      </c>
      <c r="AS92" s="5">
        <f t="shared" si="130"/>
        <v>0.60207972893961481</v>
      </c>
      <c r="AT92" s="5">
        <f t="shared" si="161"/>
        <v>2.2550631282032425</v>
      </c>
      <c r="AU92" s="177">
        <f t="shared" si="162"/>
        <v>0.21072790512886519</v>
      </c>
      <c r="AW92" s="5">
        <f t="shared" si="131"/>
        <v>12.458288888888889</v>
      </c>
      <c r="AX92" s="5">
        <f t="shared" si="132"/>
        <v>7.324839429999999</v>
      </c>
      <c r="AY92" s="5">
        <f t="shared" si="133"/>
        <v>0.49833155555555569</v>
      </c>
      <c r="AZ92" s="5">
        <f t="shared" si="134"/>
        <v>1.2052435327272728</v>
      </c>
      <c r="BA92" s="5">
        <f t="shared" si="135"/>
        <v>0.45414465776315299</v>
      </c>
      <c r="BB92" s="469">
        <f t="shared" si="136"/>
        <v>55.22235893157837</v>
      </c>
      <c r="BC92" s="5"/>
      <c r="BD92" s="177">
        <f t="shared" si="163"/>
        <v>0.54710112106706299</v>
      </c>
      <c r="BE92" s="177">
        <f t="shared" si="137"/>
        <v>2.1176293600084688</v>
      </c>
      <c r="BF92" s="177">
        <f t="shared" si="138"/>
        <v>0.42352587200169378</v>
      </c>
      <c r="BG92" s="177"/>
      <c r="BH92" s="538">
        <f t="shared" si="139"/>
        <v>3.2925160034012087E-2</v>
      </c>
      <c r="BI92" s="538">
        <f t="shared" si="140"/>
        <v>0.12513625086280952</v>
      </c>
      <c r="BJ92" s="538">
        <f t="shared" si="141"/>
        <v>1.7499999999999998E-2</v>
      </c>
      <c r="BK92" s="538">
        <f t="shared" si="142"/>
        <v>9.4494456000000004E-2</v>
      </c>
      <c r="BL92">
        <f t="shared" si="143"/>
        <v>6.96E-3</v>
      </c>
      <c r="BM92">
        <f t="shared" si="144"/>
        <v>6.6500000000000004E-5</v>
      </c>
      <c r="BN92">
        <f t="shared" si="145"/>
        <v>0.28324790730538035</v>
      </c>
      <c r="BO92" s="469">
        <f t="shared" si="164"/>
        <v>283.24790730538035</v>
      </c>
      <c r="BP92" s="177">
        <f t="shared" si="146"/>
        <v>0.67494465372665868</v>
      </c>
      <c r="BQ92" s="177">
        <f t="shared" si="147"/>
        <v>8.0172186149066363E-2</v>
      </c>
      <c r="BR92" s="538"/>
      <c r="BT92" s="469">
        <f t="shared" si="165"/>
        <v>755.11683987572508</v>
      </c>
      <c r="BU92" s="538">
        <f t="shared" si="148"/>
        <v>2.9931963667283713E-2</v>
      </c>
      <c r="BV92" s="538">
        <f t="shared" si="149"/>
        <v>0.13453062319109632</v>
      </c>
      <c r="BW92" s="538">
        <f t="shared" si="150"/>
        <v>8.9687082127397552E-3</v>
      </c>
      <c r="BX92" s="538">
        <f t="shared" si="151"/>
        <v>0</v>
      </c>
      <c r="BY92" s="538">
        <f t="shared" si="152"/>
        <v>0.19697599462734558</v>
      </c>
      <c r="BZ92" s="538">
        <f t="shared" si="166"/>
        <v>0.17343129507111979</v>
      </c>
      <c r="CA92" s="641">
        <f t="shared" si="153"/>
        <v>7.457142857142858E-2</v>
      </c>
      <c r="CB92" s="469">
        <f t="shared" si="167"/>
        <v>271.5474231987742</v>
      </c>
      <c r="CC92" s="177">
        <f t="shared" si="168"/>
        <v>1.3099121703798793</v>
      </c>
      <c r="CD92" s="5">
        <f t="shared" si="169"/>
        <v>5.22</v>
      </c>
      <c r="CE92" s="177">
        <f t="shared" si="170"/>
        <v>0.79939819461558326</v>
      </c>
      <c r="CF92" s="5">
        <f t="shared" si="171"/>
        <v>79.939819461558329</v>
      </c>
      <c r="CG92">
        <f t="shared" si="172"/>
        <v>87</v>
      </c>
      <c r="CI92" s="571">
        <f t="shared" si="154"/>
        <v>-50</v>
      </c>
      <c r="CJ92">
        <f t="shared" si="155"/>
        <v>-50</v>
      </c>
    </row>
    <row r="93" spans="5:88" x14ac:dyDescent="0.2">
      <c r="E93" s="174">
        <v>88</v>
      </c>
      <c r="F93" s="221">
        <f t="shared" si="173"/>
        <v>0.88</v>
      </c>
      <c r="G93" s="221">
        <f t="shared" si="156"/>
        <v>0.17600000000000002</v>
      </c>
      <c r="H93" s="221">
        <f t="shared" si="105"/>
        <v>4.4000000000000004</v>
      </c>
      <c r="I93" s="221">
        <f t="shared" si="174"/>
        <v>0.88000000000000012</v>
      </c>
      <c r="J93" s="551">
        <f t="shared" si="106"/>
        <v>24</v>
      </c>
      <c r="K93" s="451">
        <f t="shared" si="107"/>
        <v>10.64</v>
      </c>
      <c r="L93" s="451">
        <f t="shared" si="108"/>
        <v>34.64</v>
      </c>
      <c r="M93" s="451"/>
      <c r="N93" s="221">
        <f t="shared" si="109"/>
        <v>0.30715935334872979</v>
      </c>
      <c r="O93" s="176">
        <f t="shared" si="157"/>
        <v>11.334180138568129</v>
      </c>
      <c r="P93" s="176">
        <f t="shared" si="110"/>
        <v>2.7202032332563508</v>
      </c>
      <c r="Q93" s="221">
        <f t="shared" si="111"/>
        <v>2.2668360277136257</v>
      </c>
      <c r="R93" s="221">
        <f t="shared" si="112"/>
        <v>2.2668360277136257</v>
      </c>
      <c r="S93" s="451">
        <f t="shared" si="113"/>
        <v>5</v>
      </c>
      <c r="T93" s="221">
        <f t="shared" si="114"/>
        <v>1.5916457811194653</v>
      </c>
      <c r="U93" s="221">
        <f t="shared" si="115"/>
        <v>0.46423001949317738</v>
      </c>
      <c r="V93" s="221">
        <f t="shared" si="116"/>
        <v>1.0471353823154377</v>
      </c>
      <c r="W93" s="201">
        <f t="shared" si="117"/>
        <v>350</v>
      </c>
      <c r="X93" s="451">
        <f t="shared" si="158"/>
        <v>350</v>
      </c>
      <c r="Z93" s="221">
        <f t="shared" si="118"/>
        <v>3.0089079511712309</v>
      </c>
      <c r="AA93" s="177">
        <f t="shared" si="119"/>
        <v>1.9795447047179149</v>
      </c>
      <c r="AB93" s="177">
        <f t="shared" si="120"/>
        <v>2.0846937306036244</v>
      </c>
      <c r="AC93" s="177"/>
      <c r="AD93" s="177">
        <f t="shared" si="121"/>
        <v>0.53947368421052622</v>
      </c>
      <c r="AE93" s="555">
        <f t="shared" si="122"/>
        <v>1989.2920880428319</v>
      </c>
      <c r="AF93" s="538">
        <f t="shared" si="123"/>
        <v>0.15482894736842101</v>
      </c>
      <c r="AH93" s="177">
        <f t="shared" si="124"/>
        <v>2.0761030999525656</v>
      </c>
      <c r="AI93" s="177">
        <f t="shared" si="125"/>
        <v>2.0761030999525656</v>
      </c>
      <c r="AJ93" s="177">
        <f t="shared" si="126"/>
        <v>2.130446740705604</v>
      </c>
      <c r="AL93" s="555">
        <f t="shared" si="127"/>
        <v>880</v>
      </c>
      <c r="AM93" s="469">
        <f t="shared" si="128"/>
        <v>350</v>
      </c>
      <c r="AO93">
        <f t="shared" si="159"/>
        <v>880</v>
      </c>
      <c r="AP93">
        <f t="shared" si="129"/>
        <v>350</v>
      </c>
      <c r="AR93" s="5">
        <f t="shared" si="160"/>
        <v>2.8571428571428572</v>
      </c>
      <c r="AS93" s="5">
        <f t="shared" si="130"/>
        <v>0.60553007081949828</v>
      </c>
      <c r="AT93" s="5">
        <f t="shared" si="161"/>
        <v>2.251612786323359</v>
      </c>
      <c r="AU93" s="177">
        <f t="shared" si="162"/>
        <v>0.2119355247868244</v>
      </c>
      <c r="AW93" s="5">
        <f t="shared" si="131"/>
        <v>12.458288888888889</v>
      </c>
      <c r="AX93" s="5">
        <f t="shared" si="132"/>
        <v>7.4638494577777781</v>
      </c>
      <c r="AY93" s="5">
        <f t="shared" si="133"/>
        <v>0.49833155555555569</v>
      </c>
      <c r="AZ93" s="5">
        <f t="shared" si="134"/>
        <v>1.2290635377777779</v>
      </c>
      <c r="BA93" s="5">
        <f t="shared" si="135"/>
        <v>0.45866186388068425</v>
      </c>
      <c r="BB93" s="469">
        <f t="shared" si="136"/>
        <v>55.772756999015449</v>
      </c>
      <c r="BC93" s="5"/>
      <c r="BD93" s="177">
        <f t="shared" si="163"/>
        <v>0.55181076586668387</v>
      </c>
      <c r="BE93" s="177">
        <f t="shared" si="137"/>
        <v>2.1281349323303487</v>
      </c>
      <c r="BF93" s="177">
        <f t="shared" si="138"/>
        <v>0.42562698646606978</v>
      </c>
      <c r="BG93" s="177"/>
      <c r="BH93" s="538">
        <f t="shared" si="139"/>
        <v>3.3494463345901379E-2</v>
      </c>
      <c r="BI93" s="538">
        <f t="shared" si="140"/>
        <v>0.12585336991912455</v>
      </c>
      <c r="BJ93" s="538">
        <f t="shared" si="141"/>
        <v>1.7499999999999998E-2</v>
      </c>
      <c r="BK93" s="538">
        <f t="shared" si="142"/>
        <v>9.4494456000000004E-2</v>
      </c>
      <c r="BL93">
        <f t="shared" si="143"/>
        <v>6.96E-3</v>
      </c>
      <c r="BM93">
        <f t="shared" si="144"/>
        <v>6.6500000000000004E-5</v>
      </c>
      <c r="BN93">
        <f t="shared" si="145"/>
        <v>0.28464959905289361</v>
      </c>
      <c r="BO93" s="469">
        <f t="shared" si="164"/>
        <v>284.64959905289362</v>
      </c>
      <c r="BP93" s="177">
        <f t="shared" si="146"/>
        <v>0.68217241337163903</v>
      </c>
      <c r="BQ93" s="177">
        <f t="shared" si="147"/>
        <v>8.1072496534865562E-2</v>
      </c>
      <c r="BR93" s="538"/>
      <c r="BT93" s="469">
        <f t="shared" si="165"/>
        <v>763.24490990650463</v>
      </c>
      <c r="BU93" s="538">
        <f t="shared" si="148"/>
        <v>3.0449512132637621E-2</v>
      </c>
      <c r="BV93" s="538">
        <f t="shared" si="149"/>
        <v>0.13586874870614093</v>
      </c>
      <c r="BW93" s="538">
        <f t="shared" si="150"/>
        <v>9.0579165804093986E-3</v>
      </c>
      <c r="BX93" s="538">
        <f t="shared" si="151"/>
        <v>0</v>
      </c>
      <c r="BY93" s="538">
        <f t="shared" si="152"/>
        <v>0.1992163427633519</v>
      </c>
      <c r="BZ93" s="538">
        <f t="shared" si="166"/>
        <v>0.17537617741918793</v>
      </c>
      <c r="CA93" s="641">
        <f t="shared" si="153"/>
        <v>7.5428571428571428E-2</v>
      </c>
      <c r="CB93" s="469">
        <f t="shared" si="167"/>
        <v>274.64491419192331</v>
      </c>
      <c r="CC93" s="177">
        <f t="shared" si="168"/>
        <v>1.3225394231513214</v>
      </c>
      <c r="CD93" s="5">
        <f t="shared" si="169"/>
        <v>5.28</v>
      </c>
      <c r="CE93" s="177">
        <f t="shared" si="170"/>
        <v>0.79969230952049541</v>
      </c>
      <c r="CF93" s="5">
        <f t="shared" si="171"/>
        <v>79.969230952049543</v>
      </c>
      <c r="CG93">
        <f t="shared" si="172"/>
        <v>88</v>
      </c>
      <c r="CI93" s="571">
        <f t="shared" si="154"/>
        <v>-50</v>
      </c>
      <c r="CJ93">
        <f t="shared" si="155"/>
        <v>-50</v>
      </c>
    </row>
    <row r="94" spans="5:88" x14ac:dyDescent="0.2">
      <c r="E94" s="174">
        <v>89</v>
      </c>
      <c r="F94" s="221">
        <f t="shared" si="173"/>
        <v>0.89</v>
      </c>
      <c r="G94" s="221">
        <f t="shared" si="156"/>
        <v>0.17800000000000002</v>
      </c>
      <c r="H94" s="221">
        <f t="shared" si="105"/>
        <v>4.45</v>
      </c>
      <c r="I94" s="221">
        <f t="shared" si="174"/>
        <v>0.89000000000000012</v>
      </c>
      <c r="J94" s="551">
        <f t="shared" si="106"/>
        <v>24</v>
      </c>
      <c r="K94" s="451">
        <f t="shared" si="107"/>
        <v>10.64</v>
      </c>
      <c r="L94" s="451">
        <f t="shared" si="108"/>
        <v>34.64</v>
      </c>
      <c r="M94" s="451"/>
      <c r="N94" s="221">
        <f t="shared" si="109"/>
        <v>0.30715935334872979</v>
      </c>
      <c r="O94" s="176">
        <f t="shared" si="157"/>
        <v>11.334180138568129</v>
      </c>
      <c r="P94" s="176">
        <f t="shared" si="110"/>
        <v>2.7202032332563508</v>
      </c>
      <c r="Q94" s="221">
        <f t="shared" si="111"/>
        <v>2.2668360277136257</v>
      </c>
      <c r="R94" s="221">
        <f t="shared" si="112"/>
        <v>2.2668360277136257</v>
      </c>
      <c r="S94" s="451">
        <f t="shared" si="113"/>
        <v>5</v>
      </c>
      <c r="T94" s="221">
        <f t="shared" si="114"/>
        <v>1.6097326649958228</v>
      </c>
      <c r="U94" s="221">
        <f t="shared" si="115"/>
        <v>0.46950536062378162</v>
      </c>
      <c r="V94" s="221">
        <f t="shared" si="116"/>
        <v>1.0590346480235675</v>
      </c>
      <c r="W94" s="201">
        <f t="shared" si="117"/>
        <v>350</v>
      </c>
      <c r="X94" s="451">
        <f t="shared" si="158"/>
        <v>350</v>
      </c>
      <c r="Z94" s="221">
        <f t="shared" si="118"/>
        <v>3.0089079511712309</v>
      </c>
      <c r="AA94" s="177">
        <f t="shared" si="119"/>
        <v>1.9795447047179149</v>
      </c>
      <c r="AB94" s="177">
        <f t="shared" si="120"/>
        <v>2.0846937306036244</v>
      </c>
      <c r="AC94" s="177"/>
      <c r="AD94" s="177">
        <f t="shared" si="121"/>
        <v>0.53947368421052622</v>
      </c>
      <c r="AE94" s="555">
        <f t="shared" si="122"/>
        <v>2011.8976799524094</v>
      </c>
      <c r="AF94" s="538">
        <f t="shared" si="123"/>
        <v>0.15482894736842101</v>
      </c>
      <c r="AH94" s="177">
        <f t="shared" si="124"/>
        <v>2.0878658178794409</v>
      </c>
      <c r="AI94" s="177">
        <f t="shared" si="125"/>
        <v>2.0878658178794409</v>
      </c>
      <c r="AJ94" s="177">
        <f t="shared" si="126"/>
        <v>2.1391598650958823</v>
      </c>
      <c r="AL94" s="555">
        <f t="shared" si="127"/>
        <v>890</v>
      </c>
      <c r="AM94" s="469">
        <f t="shared" si="128"/>
        <v>350</v>
      </c>
      <c r="AO94">
        <f t="shared" si="159"/>
        <v>890</v>
      </c>
      <c r="AP94">
        <f t="shared" si="129"/>
        <v>350</v>
      </c>
      <c r="AR94" s="5">
        <f t="shared" si="160"/>
        <v>2.8571428571428572</v>
      </c>
      <c r="AS94" s="5">
        <f t="shared" si="130"/>
        <v>0.60896086354817025</v>
      </c>
      <c r="AT94" s="5">
        <f t="shared" si="161"/>
        <v>2.2481819935946872</v>
      </c>
      <c r="AU94" s="177">
        <f t="shared" si="162"/>
        <v>0.21313630224185959</v>
      </c>
      <c r="AW94" s="5">
        <f t="shared" si="131"/>
        <v>12.458288888888889</v>
      </c>
      <c r="AX94" s="5">
        <f t="shared" si="132"/>
        <v>7.6041053144444453</v>
      </c>
      <c r="AY94" s="5">
        <f t="shared" si="133"/>
        <v>0.49833155555555569</v>
      </c>
      <c r="AZ94" s="5">
        <f t="shared" si="134"/>
        <v>1.2531100571717175</v>
      </c>
      <c r="BA94" s="5">
        <f t="shared" si="135"/>
        <v>0.46316712368038687</v>
      </c>
      <c r="BB94" s="469">
        <f t="shared" si="136"/>
        <v>56.321721508313097</v>
      </c>
      <c r="BC94" s="5"/>
      <c r="BD94" s="177">
        <f t="shared" si="163"/>
        <v>0.55650704965775921</v>
      </c>
      <c r="BE94" s="177">
        <f t="shared" si="137"/>
        <v>2.1385613184297636</v>
      </c>
      <c r="BF94" s="177">
        <f t="shared" si="138"/>
        <v>0.42771226368595272</v>
      </c>
      <c r="BG94" s="177"/>
      <c r="BH94" s="538">
        <f t="shared" si="139"/>
        <v>3.4067010595066206E-2</v>
      </c>
      <c r="BI94" s="538">
        <f t="shared" si="140"/>
        <v>0.12656642587985173</v>
      </c>
      <c r="BJ94" s="538">
        <f t="shared" si="141"/>
        <v>1.7499999999999998E-2</v>
      </c>
      <c r="BK94" s="538">
        <f t="shared" si="142"/>
        <v>9.4494456000000004E-2</v>
      </c>
      <c r="BL94">
        <f t="shared" si="143"/>
        <v>6.96E-3</v>
      </c>
      <c r="BM94">
        <f t="shared" si="144"/>
        <v>6.6500000000000004E-5</v>
      </c>
      <c r="BN94">
        <f t="shared" si="145"/>
        <v>0.28605137576870077</v>
      </c>
      <c r="BO94" s="469">
        <f t="shared" si="164"/>
        <v>286.05137576870078</v>
      </c>
      <c r="BP94" s="177">
        <f t="shared" si="146"/>
        <v>0.68939116076906148</v>
      </c>
      <c r="BQ94" s="177">
        <f t="shared" si="147"/>
        <v>8.1972446430762458E-2</v>
      </c>
      <c r="BR94" s="538"/>
      <c r="BT94" s="469">
        <f t="shared" si="165"/>
        <v>771.36360719982395</v>
      </c>
      <c r="BU94" s="538">
        <f t="shared" si="148"/>
        <v>3.0970009631878372E-2</v>
      </c>
      <c r="BV94" s="538">
        <f t="shared" si="149"/>
        <v>0.13720333538052146</v>
      </c>
      <c r="BW94" s="538">
        <f t="shared" si="150"/>
        <v>9.1468890253680983E-3</v>
      </c>
      <c r="BX94" s="538">
        <f t="shared" si="151"/>
        <v>0</v>
      </c>
      <c r="BY94" s="538">
        <f t="shared" si="152"/>
        <v>0.20145644646109193</v>
      </c>
      <c r="BZ94" s="538">
        <f t="shared" si="166"/>
        <v>0.17732023403776792</v>
      </c>
      <c r="CA94" s="641">
        <f t="shared" si="153"/>
        <v>7.6285714285714276E-2</v>
      </c>
      <c r="CB94" s="469">
        <f t="shared" si="167"/>
        <v>277.74216074680618</v>
      </c>
      <c r="CC94" s="177">
        <f t="shared" si="168"/>
        <v>1.3351571437153309</v>
      </c>
      <c r="CD94" s="5">
        <f t="shared" si="169"/>
        <v>5.34</v>
      </c>
      <c r="CE94" s="177">
        <f t="shared" si="170"/>
        <v>0.79998116673966502</v>
      </c>
      <c r="CF94" s="5">
        <f t="shared" si="171"/>
        <v>79.998116673966507</v>
      </c>
      <c r="CG94">
        <f t="shared" si="172"/>
        <v>89</v>
      </c>
      <c r="CI94" s="571">
        <f t="shared" si="154"/>
        <v>-50</v>
      </c>
      <c r="CJ94">
        <f t="shared" si="155"/>
        <v>-50</v>
      </c>
    </row>
    <row r="95" spans="5:88" x14ac:dyDescent="0.2">
      <c r="E95" s="174">
        <v>90</v>
      </c>
      <c r="F95" s="221">
        <f t="shared" si="173"/>
        <v>0.9</v>
      </c>
      <c r="G95" s="221">
        <f t="shared" si="156"/>
        <v>0.18000000000000002</v>
      </c>
      <c r="H95" s="221">
        <f t="shared" si="105"/>
        <v>4.5</v>
      </c>
      <c r="I95" s="221">
        <f t="shared" si="174"/>
        <v>0.90000000000000013</v>
      </c>
      <c r="J95" s="551">
        <f t="shared" si="106"/>
        <v>24</v>
      </c>
      <c r="K95" s="451">
        <f t="shared" si="107"/>
        <v>10.64</v>
      </c>
      <c r="L95" s="451">
        <f t="shared" si="108"/>
        <v>34.64</v>
      </c>
      <c r="M95" s="451"/>
      <c r="N95" s="221">
        <f t="shared" si="109"/>
        <v>0.30715935334872979</v>
      </c>
      <c r="O95" s="176">
        <f t="shared" si="157"/>
        <v>11.334180138568129</v>
      </c>
      <c r="P95" s="176">
        <f t="shared" si="110"/>
        <v>2.7202032332563508</v>
      </c>
      <c r="Q95" s="221">
        <f t="shared" si="111"/>
        <v>2.2668360277136257</v>
      </c>
      <c r="R95" s="221">
        <f t="shared" si="112"/>
        <v>2.2668360277136257</v>
      </c>
      <c r="S95" s="451">
        <f t="shared" si="113"/>
        <v>5</v>
      </c>
      <c r="T95" s="221">
        <f t="shared" si="114"/>
        <v>1.6278195488721805</v>
      </c>
      <c r="U95" s="221">
        <f t="shared" si="115"/>
        <v>0.47478070175438597</v>
      </c>
      <c r="V95" s="221">
        <f t="shared" si="116"/>
        <v>1.0709339137316976</v>
      </c>
      <c r="W95" s="201">
        <f t="shared" si="117"/>
        <v>350</v>
      </c>
      <c r="X95" s="451">
        <f t="shared" si="158"/>
        <v>350</v>
      </c>
      <c r="Z95" s="221">
        <f t="shared" si="118"/>
        <v>3.0089079511712309</v>
      </c>
      <c r="AA95" s="177">
        <f t="shared" si="119"/>
        <v>1.9795447047179149</v>
      </c>
      <c r="AB95" s="177">
        <f t="shared" si="120"/>
        <v>2.0846937306036244</v>
      </c>
      <c r="AC95" s="177"/>
      <c r="AD95" s="177">
        <f t="shared" si="121"/>
        <v>0.53947368421052622</v>
      </c>
      <c r="AE95" s="555">
        <f t="shared" si="122"/>
        <v>2034.5032718619873</v>
      </c>
      <c r="AF95" s="538">
        <f t="shared" si="123"/>
        <v>0.15482894736842101</v>
      </c>
      <c r="AH95" s="177">
        <f t="shared" si="124"/>
        <v>2.0995626366712954</v>
      </c>
      <c r="AI95" s="177">
        <f t="shared" si="125"/>
        <v>2.0995626366712954</v>
      </c>
      <c r="AJ95" s="177">
        <f t="shared" si="126"/>
        <v>2.1478241753120706</v>
      </c>
      <c r="AL95" s="555">
        <f t="shared" si="127"/>
        <v>900</v>
      </c>
      <c r="AM95" s="469">
        <f t="shared" si="128"/>
        <v>350</v>
      </c>
      <c r="AO95">
        <f t="shared" si="159"/>
        <v>900</v>
      </c>
      <c r="AP95">
        <f t="shared" si="129"/>
        <v>350</v>
      </c>
      <c r="AR95" s="5">
        <f t="shared" si="160"/>
        <v>2.8571428571428572</v>
      </c>
      <c r="AS95" s="5">
        <f t="shared" si="130"/>
        <v>0.61237243569579447</v>
      </c>
      <c r="AT95" s="5">
        <f t="shared" si="161"/>
        <v>2.244770421447063</v>
      </c>
      <c r="AU95" s="177">
        <f t="shared" si="162"/>
        <v>0.21433035249352805</v>
      </c>
      <c r="AW95" s="5">
        <f t="shared" si="131"/>
        <v>12.458288888888889</v>
      </c>
      <c r="AX95" s="5">
        <f t="shared" si="132"/>
        <v>7.7456069999999997</v>
      </c>
      <c r="AY95" s="5">
        <f t="shared" si="133"/>
        <v>0.49833155555555569</v>
      </c>
      <c r="AZ95" s="5">
        <f t="shared" si="134"/>
        <v>1.2773830909090913</v>
      </c>
      <c r="BA95" s="5">
        <f t="shared" si="135"/>
        <v>0.46766050446813806</v>
      </c>
      <c r="BB95" s="469">
        <f t="shared" si="136"/>
        <v>56.869260536176576</v>
      </c>
      <c r="BC95" s="5"/>
      <c r="BD95" s="177">
        <f t="shared" si="163"/>
        <v>0.56119015983950959</v>
      </c>
      <c r="BE95" s="177">
        <f t="shared" si="137"/>
        <v>2.1489098255639729</v>
      </c>
      <c r="BF95" s="177">
        <f t="shared" si="138"/>
        <v>0.4297819651127946</v>
      </c>
      <c r="BG95" s="177"/>
      <c r="BH95" s="538">
        <f t="shared" si="139"/>
        <v>3.464278350507638E-2</v>
      </c>
      <c r="BI95" s="538">
        <f t="shared" si="140"/>
        <v>0.12727548703501396</v>
      </c>
      <c r="BJ95" s="538">
        <f t="shared" si="141"/>
        <v>1.7499999999999998E-2</v>
      </c>
      <c r="BK95" s="538">
        <f t="shared" si="142"/>
        <v>9.4494456000000004E-2</v>
      </c>
      <c r="BL95">
        <f t="shared" si="143"/>
        <v>6.96E-3</v>
      </c>
      <c r="BM95">
        <f t="shared" si="144"/>
        <v>6.6500000000000004E-5</v>
      </c>
      <c r="BN95">
        <f t="shared" si="145"/>
        <v>0.28745328688960764</v>
      </c>
      <c r="BO95" s="469">
        <f t="shared" si="164"/>
        <v>287.45328688960763</v>
      </c>
      <c r="BP95" s="177">
        <f t="shared" si="146"/>
        <v>0.6966009466941715</v>
      </c>
      <c r="BQ95" s="177">
        <f t="shared" si="147"/>
        <v>8.2872037867766868E-2</v>
      </c>
      <c r="BR95" s="538"/>
      <c r="BT95" s="469">
        <f t="shared" si="165"/>
        <v>779.47298456193835</v>
      </c>
      <c r="BU95" s="538">
        <f t="shared" si="148"/>
        <v>3.1493439550069439E-2</v>
      </c>
      <c r="BV95" s="538">
        <f t="shared" si="149"/>
        <v>0.13853440315216153</v>
      </c>
      <c r="BW95" s="538">
        <f t="shared" si="150"/>
        <v>9.2356268768107701E-3</v>
      </c>
      <c r="BX95" s="538">
        <f t="shared" si="151"/>
        <v>0</v>
      </c>
      <c r="BY95" s="538">
        <f t="shared" si="152"/>
        <v>0.20369631051763404</v>
      </c>
      <c r="BZ95" s="538">
        <f t="shared" si="166"/>
        <v>0.17926346957904174</v>
      </c>
      <c r="CA95" s="641">
        <f t="shared" si="153"/>
        <v>7.7142857142857138E-2</v>
      </c>
      <c r="CB95" s="469">
        <f t="shared" si="167"/>
        <v>280.83916766049117</v>
      </c>
      <c r="CC95" s="177">
        <f t="shared" si="168"/>
        <v>1.3477654391120375</v>
      </c>
      <c r="CD95" s="5">
        <f t="shared" si="169"/>
        <v>5.4</v>
      </c>
      <c r="CE95" s="177">
        <f t="shared" si="170"/>
        <v>0.80026492454820797</v>
      </c>
      <c r="CF95" s="5">
        <f t="shared" si="171"/>
        <v>80.026492454820797</v>
      </c>
      <c r="CG95">
        <f t="shared" si="172"/>
        <v>90</v>
      </c>
      <c r="CI95" s="571">
        <f t="shared" si="154"/>
        <v>-50</v>
      </c>
      <c r="CJ95">
        <f t="shared" si="155"/>
        <v>-50</v>
      </c>
    </row>
    <row r="96" spans="5:88" x14ac:dyDescent="0.2">
      <c r="E96" s="174">
        <v>91</v>
      </c>
      <c r="F96" s="221">
        <f t="shared" si="173"/>
        <v>0.91</v>
      </c>
      <c r="G96" s="221">
        <f t="shared" si="156"/>
        <v>0.18200000000000002</v>
      </c>
      <c r="H96" s="221">
        <f t="shared" si="105"/>
        <v>4.55</v>
      </c>
      <c r="I96" s="221">
        <f t="shared" si="174"/>
        <v>0.91000000000000014</v>
      </c>
      <c r="J96" s="551">
        <f t="shared" si="106"/>
        <v>24</v>
      </c>
      <c r="K96" s="451">
        <f t="shared" si="107"/>
        <v>10.64</v>
      </c>
      <c r="L96" s="451">
        <f t="shared" si="108"/>
        <v>34.64</v>
      </c>
      <c r="M96" s="451"/>
      <c r="N96" s="221">
        <f t="shared" si="109"/>
        <v>0.30715935334872979</v>
      </c>
      <c r="O96" s="176">
        <f t="shared" si="157"/>
        <v>11.334180138568129</v>
      </c>
      <c r="P96" s="176">
        <f t="shared" si="110"/>
        <v>2.7202032332563508</v>
      </c>
      <c r="Q96" s="221">
        <f t="shared" si="111"/>
        <v>2.2668360277136257</v>
      </c>
      <c r="R96" s="221">
        <f t="shared" si="112"/>
        <v>2.2668360277136257</v>
      </c>
      <c r="S96" s="451">
        <f t="shared" si="113"/>
        <v>5</v>
      </c>
      <c r="T96" s="221">
        <f t="shared" si="114"/>
        <v>1.645906432748538</v>
      </c>
      <c r="U96" s="221">
        <f t="shared" si="115"/>
        <v>0.48005604288499026</v>
      </c>
      <c r="V96" s="221">
        <f t="shared" si="116"/>
        <v>1.0828331794398276</v>
      </c>
      <c r="W96" s="201">
        <f t="shared" si="117"/>
        <v>350</v>
      </c>
      <c r="X96" s="451">
        <f t="shared" si="158"/>
        <v>350</v>
      </c>
      <c r="Z96" s="221">
        <f t="shared" si="118"/>
        <v>3.0089079511712309</v>
      </c>
      <c r="AA96" s="177">
        <f t="shared" si="119"/>
        <v>1.9795447047179149</v>
      </c>
      <c r="AB96" s="177">
        <f t="shared" si="120"/>
        <v>2.0846937306036244</v>
      </c>
      <c r="AC96" s="177"/>
      <c r="AD96" s="177">
        <f t="shared" si="121"/>
        <v>0.53947368421052622</v>
      </c>
      <c r="AE96" s="555">
        <f t="shared" si="122"/>
        <v>2057.1088637715652</v>
      </c>
      <c r="AF96" s="538">
        <f t="shared" si="123"/>
        <v>0.15482894736842101</v>
      </c>
      <c r="AH96" s="177">
        <f t="shared" si="124"/>
        <v>2.1111946516469904</v>
      </c>
      <c r="AI96" s="177">
        <f t="shared" si="125"/>
        <v>2.1111946516469904</v>
      </c>
      <c r="AJ96" s="177">
        <f t="shared" si="126"/>
        <v>2.1564404827014743</v>
      </c>
      <c r="AL96" s="555">
        <f t="shared" si="127"/>
        <v>910</v>
      </c>
      <c r="AM96" s="469">
        <f t="shared" si="128"/>
        <v>350</v>
      </c>
      <c r="AO96">
        <f t="shared" si="159"/>
        <v>910</v>
      </c>
      <c r="AP96">
        <f t="shared" si="129"/>
        <v>350</v>
      </c>
      <c r="AR96" s="5">
        <f t="shared" si="160"/>
        <v>2.8571428571428572</v>
      </c>
      <c r="AS96" s="5">
        <f t="shared" si="130"/>
        <v>0.61576510673037221</v>
      </c>
      <c r="AT96" s="5">
        <f t="shared" si="161"/>
        <v>2.241377750412485</v>
      </c>
      <c r="AU96" s="177">
        <f t="shared" si="162"/>
        <v>0.21551778735563026</v>
      </c>
      <c r="AW96" s="5">
        <f t="shared" si="131"/>
        <v>12.458288888888889</v>
      </c>
      <c r="AX96" s="5">
        <f t="shared" si="132"/>
        <v>7.888354514444444</v>
      </c>
      <c r="AY96" s="5">
        <f t="shared" si="133"/>
        <v>0.49833155555555569</v>
      </c>
      <c r="AZ96" s="5">
        <f t="shared" si="134"/>
        <v>1.3018826389898992</v>
      </c>
      <c r="BA96" s="5">
        <f t="shared" si="135"/>
        <v>0.47214207242485207</v>
      </c>
      <c r="BB96" s="469">
        <f t="shared" si="136"/>
        <v>57.415382024315591</v>
      </c>
      <c r="BC96" s="5"/>
      <c r="BD96" s="177">
        <f t="shared" si="163"/>
        <v>0.56586027913239634</v>
      </c>
      <c r="BE96" s="177">
        <f t="shared" si="137"/>
        <v>2.1591817248341947</v>
      </c>
      <c r="BF96" s="177">
        <f t="shared" si="138"/>
        <v>0.43183634496683898</v>
      </c>
      <c r="BG96" s="177"/>
      <c r="BH96" s="538">
        <f t="shared" si="139"/>
        <v>3.5221764104977286E-2</v>
      </c>
      <c r="BI96" s="538">
        <f t="shared" si="140"/>
        <v>0.12798061978284059</v>
      </c>
      <c r="BJ96" s="538">
        <f t="shared" si="141"/>
        <v>1.7499999999999998E-2</v>
      </c>
      <c r="BK96" s="538">
        <f t="shared" si="142"/>
        <v>9.4494456000000004E-2</v>
      </c>
      <c r="BL96">
        <f t="shared" si="143"/>
        <v>6.96E-3</v>
      </c>
      <c r="BM96">
        <f t="shared" si="144"/>
        <v>6.6500000000000004E-5</v>
      </c>
      <c r="BN96">
        <f t="shared" si="145"/>
        <v>0.28885538031615737</v>
      </c>
      <c r="BO96" s="469">
        <f t="shared" si="164"/>
        <v>288.85538031615738</v>
      </c>
      <c r="BP96" s="177">
        <f t="shared" si="146"/>
        <v>0.70380182107354894</v>
      </c>
      <c r="BQ96" s="177">
        <f t="shared" si="147"/>
        <v>8.3771272842941974E-2</v>
      </c>
      <c r="BR96" s="538"/>
      <c r="BT96" s="469">
        <f t="shared" si="165"/>
        <v>787.57309391649085</v>
      </c>
      <c r="BU96" s="538">
        <f t="shared" si="148"/>
        <v>3.2019785549979356E-2</v>
      </c>
      <c r="BV96" s="538">
        <f t="shared" si="149"/>
        <v>0.13986197162573905</v>
      </c>
      <c r="BW96" s="538">
        <f t="shared" si="150"/>
        <v>9.3241314417159393E-3</v>
      </c>
      <c r="BX96" s="538">
        <f t="shared" si="151"/>
        <v>0</v>
      </c>
      <c r="BY96" s="538">
        <f t="shared" si="152"/>
        <v>0.20593593964688489</v>
      </c>
      <c r="BZ96" s="538">
        <f t="shared" si="166"/>
        <v>0.18120588861743434</v>
      </c>
      <c r="CA96" s="641">
        <f t="shared" si="153"/>
        <v>7.8000000000000014E-2</v>
      </c>
      <c r="CB96" s="469">
        <f t="shared" si="167"/>
        <v>283.93593964688489</v>
      </c>
      <c r="CC96" s="177">
        <f t="shared" si="168"/>
        <v>1.3603644138795334</v>
      </c>
      <c r="CD96" s="5">
        <f t="shared" si="169"/>
        <v>5.46</v>
      </c>
      <c r="CE96" s="177">
        <f t="shared" si="170"/>
        <v>0.80054373471435436</v>
      </c>
      <c r="CF96" s="5">
        <f t="shared" si="171"/>
        <v>80.05437347143544</v>
      </c>
      <c r="CG96">
        <f t="shared" si="172"/>
        <v>91</v>
      </c>
      <c r="CI96" s="571">
        <f t="shared" si="154"/>
        <v>-50</v>
      </c>
      <c r="CJ96">
        <f t="shared" si="155"/>
        <v>-50</v>
      </c>
    </row>
    <row r="97" spans="5:88" x14ac:dyDescent="0.2">
      <c r="E97" s="174">
        <v>92</v>
      </c>
      <c r="F97" s="221">
        <f t="shared" si="173"/>
        <v>0.92</v>
      </c>
      <c r="G97" s="221">
        <f t="shared" si="156"/>
        <v>0.18400000000000002</v>
      </c>
      <c r="H97" s="221">
        <f t="shared" si="105"/>
        <v>4.6000000000000005</v>
      </c>
      <c r="I97" s="221">
        <f t="shared" si="174"/>
        <v>0.92000000000000015</v>
      </c>
      <c r="J97" s="551">
        <f t="shared" si="106"/>
        <v>24</v>
      </c>
      <c r="K97" s="451">
        <f t="shared" si="107"/>
        <v>10.64</v>
      </c>
      <c r="L97" s="451">
        <f t="shared" si="108"/>
        <v>34.64</v>
      </c>
      <c r="M97" s="451"/>
      <c r="N97" s="221">
        <f t="shared" si="109"/>
        <v>0.30715935334872979</v>
      </c>
      <c r="O97" s="176">
        <f t="shared" si="157"/>
        <v>11.334180138568129</v>
      </c>
      <c r="P97" s="176">
        <f t="shared" si="110"/>
        <v>2.7202032332563508</v>
      </c>
      <c r="Q97" s="221">
        <f t="shared" si="111"/>
        <v>2.2668360277136257</v>
      </c>
      <c r="R97" s="221">
        <f t="shared" si="112"/>
        <v>2.2668360277136257</v>
      </c>
      <c r="S97" s="451">
        <f t="shared" si="113"/>
        <v>5</v>
      </c>
      <c r="T97" s="221">
        <f t="shared" si="114"/>
        <v>1.6639933166248957</v>
      </c>
      <c r="U97" s="221">
        <f t="shared" si="115"/>
        <v>0.48533138401559456</v>
      </c>
      <c r="V97" s="221">
        <f t="shared" si="116"/>
        <v>1.0947324451479574</v>
      </c>
      <c r="W97" s="201">
        <f t="shared" si="117"/>
        <v>350</v>
      </c>
      <c r="X97" s="451">
        <f t="shared" si="158"/>
        <v>350</v>
      </c>
      <c r="Z97" s="221">
        <f t="shared" si="118"/>
        <v>3.0089079511712309</v>
      </c>
      <c r="AA97" s="177">
        <f t="shared" si="119"/>
        <v>1.9795447047179149</v>
      </c>
      <c r="AB97" s="177">
        <f t="shared" si="120"/>
        <v>2.0846937306036244</v>
      </c>
      <c r="AC97" s="177"/>
      <c r="AD97" s="177">
        <f t="shared" si="121"/>
        <v>0.53947368421052622</v>
      </c>
      <c r="AE97" s="555">
        <f t="shared" si="122"/>
        <v>2079.7144556811427</v>
      </c>
      <c r="AF97" s="538">
        <f t="shared" si="123"/>
        <v>0.15482894736842101</v>
      </c>
      <c r="AH97" s="177">
        <f t="shared" si="124"/>
        <v>2.1227629281150526</v>
      </c>
      <c r="AI97" s="177">
        <f t="shared" si="125"/>
        <v>2.1227629281150526</v>
      </c>
      <c r="AJ97" s="177">
        <f t="shared" si="126"/>
        <v>2.1650095763815207</v>
      </c>
      <c r="AL97" s="555">
        <f t="shared" si="127"/>
        <v>920</v>
      </c>
      <c r="AM97" s="469">
        <f t="shared" si="128"/>
        <v>350</v>
      </c>
      <c r="AO97">
        <f t="shared" si="159"/>
        <v>920</v>
      </c>
      <c r="AP97">
        <f t="shared" si="129"/>
        <v>350</v>
      </c>
      <c r="AR97" s="5">
        <f t="shared" si="160"/>
        <v>2.8571428571428572</v>
      </c>
      <c r="AS97" s="5">
        <f t="shared" si="130"/>
        <v>0.61913918736689044</v>
      </c>
      <c r="AT97" s="5">
        <f t="shared" si="161"/>
        <v>2.2380036697759667</v>
      </c>
      <c r="AU97" s="177">
        <f t="shared" si="162"/>
        <v>0.21669871557841164</v>
      </c>
      <c r="AW97" s="5">
        <f t="shared" si="131"/>
        <v>12.458288888888889</v>
      </c>
      <c r="AX97" s="5">
        <f t="shared" si="132"/>
        <v>8.0323478577777774</v>
      </c>
      <c r="AY97" s="5">
        <f t="shared" si="133"/>
        <v>0.49833155555555569</v>
      </c>
      <c r="AZ97" s="5">
        <f t="shared" si="134"/>
        <v>1.3266087014141417</v>
      </c>
      <c r="BA97" s="5">
        <f t="shared" si="135"/>
        <v>0.47661189263747433</v>
      </c>
      <c r="BB97" s="469">
        <f t="shared" si="136"/>
        <v>57.960093783163586</v>
      </c>
      <c r="BC97" s="5"/>
      <c r="BD97" s="177">
        <f t="shared" si="163"/>
        <v>0.57051758574500411</v>
      </c>
      <c r="BE97" s="177">
        <f t="shared" si="137"/>
        <v>2.1693782525712035</v>
      </c>
      <c r="BF97" s="177">
        <f t="shared" si="138"/>
        <v>0.43387565051424071</v>
      </c>
      <c r="BG97" s="177"/>
      <c r="BH97" s="538">
        <f t="shared" si="139"/>
        <v>3.5803934720873898E-2</v>
      </c>
      <c r="BI97" s="538">
        <f t="shared" si="140"/>
        <v>0.12868188870233449</v>
      </c>
      <c r="BJ97" s="538">
        <f t="shared" si="141"/>
        <v>1.7499999999999998E-2</v>
      </c>
      <c r="BK97" s="538">
        <f t="shared" si="142"/>
        <v>9.4494456000000004E-2</v>
      </c>
      <c r="BL97">
        <f t="shared" si="143"/>
        <v>6.96E-3</v>
      </c>
      <c r="BM97">
        <f t="shared" si="144"/>
        <v>6.6500000000000004E-5</v>
      </c>
      <c r="BN97">
        <f t="shared" si="145"/>
        <v>0.29025770247546806</v>
      </c>
      <c r="BO97" s="469">
        <f t="shared" si="164"/>
        <v>290.25770247546808</v>
      </c>
      <c r="BP97" s="177">
        <f t="shared" si="146"/>
        <v>0.71099383300848717</v>
      </c>
      <c r="BQ97" s="177">
        <f t="shared" si="147"/>
        <v>8.4670153320339489E-2</v>
      </c>
      <c r="BR97" s="538"/>
      <c r="BT97" s="469">
        <f t="shared" si="165"/>
        <v>795.66398632882658</v>
      </c>
      <c r="BU97" s="538">
        <f t="shared" si="148"/>
        <v>3.2549031564430814E-2</v>
      </c>
      <c r="BV97" s="538">
        <f t="shared" si="149"/>
        <v>0.14118606008186665</v>
      </c>
      <c r="BW97" s="538">
        <f t="shared" si="150"/>
        <v>9.4124040054577775E-3</v>
      </c>
      <c r="BX97" s="538">
        <f t="shared" si="151"/>
        <v>0</v>
      </c>
      <c r="BY97" s="538">
        <f t="shared" si="152"/>
        <v>0.20817533848191952</v>
      </c>
      <c r="BZ97" s="538">
        <f t="shared" si="166"/>
        <v>0.18314749565175525</v>
      </c>
      <c r="CA97" s="641">
        <f t="shared" si="153"/>
        <v>7.8857142857142862E-2</v>
      </c>
      <c r="CB97" s="469">
        <f t="shared" si="167"/>
        <v>287.03248133906237</v>
      </c>
      <c r="CC97" s="177">
        <f t="shared" si="168"/>
        <v>1.3729541701433574</v>
      </c>
      <c r="CD97" s="5">
        <f t="shared" si="169"/>
        <v>5.5200000000000005</v>
      </c>
      <c r="CE97" s="177">
        <f t="shared" si="170"/>
        <v>0.80081774283510099</v>
      </c>
      <c r="CF97" s="5">
        <f t="shared" si="171"/>
        <v>80.0817742835101</v>
      </c>
      <c r="CG97">
        <f t="shared" si="172"/>
        <v>92</v>
      </c>
      <c r="CI97" s="571">
        <f t="shared" si="154"/>
        <v>-50</v>
      </c>
      <c r="CJ97">
        <f t="shared" si="155"/>
        <v>-50</v>
      </c>
    </row>
    <row r="98" spans="5:88" x14ac:dyDescent="0.2">
      <c r="E98" s="174">
        <v>93</v>
      </c>
      <c r="F98" s="221">
        <f t="shared" si="173"/>
        <v>0.93</v>
      </c>
      <c r="G98" s="221">
        <f t="shared" si="156"/>
        <v>0.18600000000000003</v>
      </c>
      <c r="H98" s="221">
        <f t="shared" si="105"/>
        <v>4.6500000000000004</v>
      </c>
      <c r="I98" s="221">
        <f t="shared" si="174"/>
        <v>0.93000000000000016</v>
      </c>
      <c r="J98" s="551">
        <f t="shared" si="106"/>
        <v>24</v>
      </c>
      <c r="K98" s="451">
        <f t="shared" si="107"/>
        <v>10.64</v>
      </c>
      <c r="L98" s="451">
        <f t="shared" si="108"/>
        <v>34.64</v>
      </c>
      <c r="M98" s="451"/>
      <c r="N98" s="221">
        <f t="shared" si="109"/>
        <v>0.30715935334872979</v>
      </c>
      <c r="O98" s="176">
        <f t="shared" si="157"/>
        <v>11.334180138568129</v>
      </c>
      <c r="P98" s="176">
        <f t="shared" si="110"/>
        <v>2.7202032332563508</v>
      </c>
      <c r="Q98" s="221">
        <f t="shared" si="111"/>
        <v>2.2668360277136257</v>
      </c>
      <c r="R98" s="221">
        <f t="shared" si="112"/>
        <v>2.2668360277136257</v>
      </c>
      <c r="S98" s="451">
        <f t="shared" si="113"/>
        <v>5</v>
      </c>
      <c r="T98" s="221">
        <f t="shared" si="114"/>
        <v>1.6820802005012532</v>
      </c>
      <c r="U98" s="221">
        <f t="shared" si="115"/>
        <v>0.4906067251461988</v>
      </c>
      <c r="V98" s="221">
        <f t="shared" si="116"/>
        <v>1.1066317108560875</v>
      </c>
      <c r="W98" s="201">
        <f t="shared" si="117"/>
        <v>350</v>
      </c>
      <c r="X98" s="451">
        <f t="shared" si="158"/>
        <v>350</v>
      </c>
      <c r="Z98" s="221">
        <f t="shared" si="118"/>
        <v>3.0089079511712309</v>
      </c>
      <c r="AA98" s="177">
        <f t="shared" si="119"/>
        <v>1.9795447047179149</v>
      </c>
      <c r="AB98" s="177">
        <f t="shared" si="120"/>
        <v>2.0846937306036244</v>
      </c>
      <c r="AC98" s="177"/>
      <c r="AD98" s="177">
        <f t="shared" si="121"/>
        <v>0.53947368421052622</v>
      </c>
      <c r="AE98" s="555">
        <f t="shared" si="122"/>
        <v>2102.3200475907206</v>
      </c>
      <c r="AF98" s="538">
        <f t="shared" si="123"/>
        <v>0.15482894736842101</v>
      </c>
      <c r="AH98" s="177">
        <f t="shared" si="124"/>
        <v>2.134268502512354</v>
      </c>
      <c r="AI98" s="177">
        <f t="shared" si="125"/>
        <v>2.134268502512354</v>
      </c>
      <c r="AJ98" s="177">
        <f t="shared" si="126"/>
        <v>2.1735322240832251</v>
      </c>
      <c r="AL98" s="555">
        <f t="shared" si="127"/>
        <v>930</v>
      </c>
      <c r="AM98" s="469">
        <f t="shared" si="128"/>
        <v>350</v>
      </c>
      <c r="AO98">
        <f t="shared" si="159"/>
        <v>930</v>
      </c>
      <c r="AP98">
        <f t="shared" si="129"/>
        <v>350</v>
      </c>
      <c r="AR98" s="5">
        <f t="shared" si="160"/>
        <v>2.8571428571428572</v>
      </c>
      <c r="AS98" s="5">
        <f t="shared" si="130"/>
        <v>0.62249497989943647</v>
      </c>
      <c r="AT98" s="5">
        <f t="shared" si="161"/>
        <v>2.2346478772434208</v>
      </c>
      <c r="AU98" s="177">
        <f t="shared" si="162"/>
        <v>0.21787324296480276</v>
      </c>
      <c r="AW98" s="5">
        <f t="shared" si="131"/>
        <v>12.458288888888889</v>
      </c>
      <c r="AX98" s="5">
        <f t="shared" si="132"/>
        <v>8.1775870300000015</v>
      </c>
      <c r="AY98" s="5">
        <f t="shared" si="133"/>
        <v>0.49833155555555569</v>
      </c>
      <c r="AZ98" s="5">
        <f t="shared" si="134"/>
        <v>1.3515612781818183</v>
      </c>
      <c r="BA98" s="5">
        <f t="shared" si="135"/>
        <v>0.48107002912879199</v>
      </c>
      <c r="BB98" s="469">
        <f t="shared" si="136"/>
        <v>58.503403495455046</v>
      </c>
      <c r="BC98" s="5"/>
      <c r="BD98" s="177">
        <f t="shared" si="163"/>
        <v>0.57516225353322237</v>
      </c>
      <c r="BE98" s="177">
        <f t="shared" si="137"/>
        <v>2.1795006116533768</v>
      </c>
      <c r="BF98" s="177">
        <f t="shared" si="138"/>
        <v>0.43590012233067538</v>
      </c>
      <c r="BG98" s="177"/>
      <c r="BH98" s="538">
        <f t="shared" si="139"/>
        <v>3.6389277967835622E-2</v>
      </c>
      <c r="BI98" s="538">
        <f t="shared" si="140"/>
        <v>0.12937935662229891</v>
      </c>
      <c r="BJ98" s="538">
        <f t="shared" si="141"/>
        <v>1.7499999999999998E-2</v>
      </c>
      <c r="BK98" s="538">
        <f t="shared" si="142"/>
        <v>9.4494456000000004E-2</v>
      </c>
      <c r="BL98">
        <f t="shared" si="143"/>
        <v>6.96E-3</v>
      </c>
      <c r="BM98">
        <f t="shared" si="144"/>
        <v>6.6500000000000004E-5</v>
      </c>
      <c r="BN98">
        <f t="shared" si="145"/>
        <v>0.2916602983809008</v>
      </c>
      <c r="BO98" s="469">
        <f t="shared" si="164"/>
        <v>291.66029838090077</v>
      </c>
      <c r="BP98" s="177">
        <f t="shared" si="146"/>
        <v>0.71817703079748485</v>
      </c>
      <c r="BQ98" s="177">
        <f t="shared" si="147"/>
        <v>8.5568681231899396E-2</v>
      </c>
      <c r="BR98" s="538"/>
      <c r="BT98" s="469">
        <f t="shared" si="165"/>
        <v>803.74571202938432</v>
      </c>
      <c r="BU98" s="538">
        <f t="shared" si="148"/>
        <v>3.3081161788941479E-2</v>
      </c>
      <c r="BV98" s="538">
        <f t="shared" si="149"/>
        <v>0.14250668748592332</v>
      </c>
      <c r="BW98" s="538">
        <f t="shared" si="150"/>
        <v>9.5004458323948889E-3</v>
      </c>
      <c r="BX98" s="538">
        <f t="shared" si="151"/>
        <v>0</v>
      </c>
      <c r="BY98" s="538">
        <f t="shared" si="152"/>
        <v>0.2104145115772233</v>
      </c>
      <c r="BZ98" s="538">
        <f t="shared" si="166"/>
        <v>0.18508829510725971</v>
      </c>
      <c r="CA98" s="641">
        <f t="shared" si="153"/>
        <v>7.971428571428571E-2</v>
      </c>
      <c r="CB98" s="469">
        <f t="shared" si="167"/>
        <v>290.12879729150899</v>
      </c>
      <c r="CC98" s="177">
        <f t="shared" si="168"/>
        <v>1.3855348077017939</v>
      </c>
      <c r="CD98" s="5">
        <f t="shared" si="169"/>
        <v>5.58</v>
      </c>
      <c r="CE98" s="177">
        <f t="shared" si="170"/>
        <v>0.80108708865113876</v>
      </c>
      <c r="CF98" s="5">
        <f t="shared" si="171"/>
        <v>80.108708865113869</v>
      </c>
      <c r="CG98">
        <f t="shared" si="172"/>
        <v>93</v>
      </c>
      <c r="CI98" s="571">
        <f t="shared" si="154"/>
        <v>-50</v>
      </c>
      <c r="CJ98">
        <f t="shared" si="155"/>
        <v>-50</v>
      </c>
    </row>
    <row r="99" spans="5:88" x14ac:dyDescent="0.2">
      <c r="E99" s="174">
        <v>94</v>
      </c>
      <c r="F99" s="221">
        <f t="shared" si="173"/>
        <v>0.94</v>
      </c>
      <c r="G99" s="221">
        <f t="shared" si="156"/>
        <v>0.188</v>
      </c>
      <c r="H99" s="221">
        <f t="shared" si="105"/>
        <v>4.6999999999999993</v>
      </c>
      <c r="I99" s="221">
        <f t="shared" si="174"/>
        <v>0.94</v>
      </c>
      <c r="J99" s="551">
        <f t="shared" si="106"/>
        <v>24</v>
      </c>
      <c r="K99" s="451">
        <f t="shared" si="107"/>
        <v>10.64</v>
      </c>
      <c r="L99" s="451">
        <f t="shared" si="108"/>
        <v>34.64</v>
      </c>
      <c r="M99" s="451"/>
      <c r="N99" s="221">
        <f t="shared" si="109"/>
        <v>0.30715935334872979</v>
      </c>
      <c r="O99" s="176">
        <f t="shared" si="157"/>
        <v>11.334180138568129</v>
      </c>
      <c r="P99" s="176">
        <f t="shared" si="110"/>
        <v>2.7202032332563508</v>
      </c>
      <c r="Q99" s="221">
        <f t="shared" si="111"/>
        <v>2.2668360277136257</v>
      </c>
      <c r="R99" s="221">
        <f t="shared" si="112"/>
        <v>2.2668360277136257</v>
      </c>
      <c r="S99" s="451">
        <f t="shared" si="113"/>
        <v>5</v>
      </c>
      <c r="T99" s="221">
        <f t="shared" si="114"/>
        <v>1.7001670843776102</v>
      </c>
      <c r="U99" s="221">
        <f t="shared" si="115"/>
        <v>0.49588206627680298</v>
      </c>
      <c r="V99" s="221">
        <f t="shared" si="116"/>
        <v>1.1185309765642173</v>
      </c>
      <c r="W99" s="201">
        <f t="shared" si="117"/>
        <v>350</v>
      </c>
      <c r="X99" s="451">
        <f t="shared" si="158"/>
        <v>350</v>
      </c>
      <c r="Z99" s="221">
        <f t="shared" si="118"/>
        <v>3.0089079511712309</v>
      </c>
      <c r="AA99" s="177">
        <f t="shared" si="119"/>
        <v>1.9795447047179149</v>
      </c>
      <c r="AB99" s="177">
        <f t="shared" si="120"/>
        <v>2.0846937306036244</v>
      </c>
      <c r="AC99" s="177"/>
      <c r="AD99" s="177">
        <f t="shared" si="121"/>
        <v>0.53947368421052622</v>
      </c>
      <c r="AE99" s="555">
        <f t="shared" si="122"/>
        <v>2124.9256395002976</v>
      </c>
      <c r="AF99" s="538">
        <f t="shared" si="123"/>
        <v>0.15482894736842101</v>
      </c>
      <c r="AH99" s="177">
        <f t="shared" si="124"/>
        <v>2.145712383487838</v>
      </c>
      <c r="AI99" s="177">
        <f t="shared" si="125"/>
        <v>2.145712383487838</v>
      </c>
      <c r="AJ99" s="177">
        <f t="shared" si="126"/>
        <v>2.1820091729539541</v>
      </c>
      <c r="AL99" s="555">
        <f t="shared" si="127"/>
        <v>940</v>
      </c>
      <c r="AM99" s="469">
        <f t="shared" si="128"/>
        <v>350</v>
      </c>
      <c r="AO99">
        <f t="shared" si="159"/>
        <v>940</v>
      </c>
      <c r="AP99">
        <f t="shared" si="129"/>
        <v>350</v>
      </c>
      <c r="AR99" s="5">
        <f t="shared" si="160"/>
        <v>2.8571428571428572</v>
      </c>
      <c r="AS99" s="5">
        <f t="shared" si="130"/>
        <v>0.62583277851728614</v>
      </c>
      <c r="AT99" s="5">
        <f t="shared" si="161"/>
        <v>2.2313100786255711</v>
      </c>
      <c r="AU99" s="177">
        <f t="shared" si="162"/>
        <v>0.21904147248105013</v>
      </c>
      <c r="AW99" s="5">
        <f t="shared" si="131"/>
        <v>12.458288888888889</v>
      </c>
      <c r="AX99" s="5">
        <f t="shared" si="132"/>
        <v>8.3240720311111112</v>
      </c>
      <c r="AY99" s="5">
        <f t="shared" si="133"/>
        <v>0.49833155555555569</v>
      </c>
      <c r="AZ99" s="5">
        <f t="shared" si="134"/>
        <v>1.3767403692929294</v>
      </c>
      <c r="BA99" s="5">
        <f t="shared" si="135"/>
        <v>0.48551654488611939</v>
      </c>
      <c r="BB99" s="469">
        <f t="shared" si="136"/>
        <v>59.045318719667677</v>
      </c>
      <c r="BC99" s="5"/>
      <c r="BD99" s="177">
        <f t="shared" si="163"/>
        <v>0.57979445215216374</v>
      </c>
      <c r="BE99" s="177">
        <f t="shared" si="137"/>
        <v>2.1895499727611534</v>
      </c>
      <c r="BF99" s="177">
        <f t="shared" si="138"/>
        <v>0.43790999455223067</v>
      </c>
      <c r="BG99" s="177"/>
      <c r="BH99" s="538">
        <f t="shared" si="139"/>
        <v>3.6977776742107046E-2</v>
      </c>
      <c r="BI99" s="538">
        <f t="shared" si="140"/>
        <v>0.13007308468703277</v>
      </c>
      <c r="BJ99" s="538">
        <f t="shared" si="141"/>
        <v>1.7499999999999998E-2</v>
      </c>
      <c r="BK99" s="538">
        <f t="shared" si="142"/>
        <v>9.4494456000000004E-2</v>
      </c>
      <c r="BL99">
        <f t="shared" si="143"/>
        <v>6.96E-3</v>
      </c>
      <c r="BM99">
        <f t="shared" si="144"/>
        <v>6.6500000000000004E-5</v>
      </c>
      <c r="BN99">
        <f t="shared" si="145"/>
        <v>0.29306321168875066</v>
      </c>
      <c r="BO99" s="469">
        <f t="shared" si="164"/>
        <v>293.06321168875064</v>
      </c>
      <c r="BP99" s="177">
        <f t="shared" si="146"/>
        <v>0.72535146195788325</v>
      </c>
      <c r="BQ99" s="177">
        <f t="shared" si="147"/>
        <v>8.6466858478315339E-2</v>
      </c>
      <c r="BR99" s="538"/>
      <c r="BT99" s="469">
        <f t="shared" si="165"/>
        <v>811.81832043619863</v>
      </c>
      <c r="BU99" s="538">
        <f t="shared" si="148"/>
        <v>3.3616160674642771E-2</v>
      </c>
      <c r="BV99" s="538">
        <f t="shared" si="149"/>
        <v>0.14382387249655101</v>
      </c>
      <c r="BW99" s="538">
        <f t="shared" si="150"/>
        <v>9.5882581664367347E-3</v>
      </c>
      <c r="BX99" s="538">
        <f t="shared" si="151"/>
        <v>0</v>
      </c>
      <c r="BY99" s="538">
        <f t="shared" si="152"/>
        <v>0.21265346341084701</v>
      </c>
      <c r="BZ99" s="538">
        <f t="shared" si="166"/>
        <v>0.18702829133763052</v>
      </c>
      <c r="CA99" s="641">
        <f t="shared" si="153"/>
        <v>8.057142857142853E-2</v>
      </c>
      <c r="CB99" s="469">
        <f t="shared" si="167"/>
        <v>293.22489198227555</v>
      </c>
      <c r="CC99" s="177">
        <f t="shared" si="168"/>
        <v>1.3981064241072247</v>
      </c>
      <c r="CD99" s="5">
        <f t="shared" si="169"/>
        <v>5.6399999999999988</v>
      </c>
      <c r="CE99" s="177">
        <f t="shared" si="170"/>
        <v>0.80135190634253972</v>
      </c>
      <c r="CF99" s="5">
        <f t="shared" si="171"/>
        <v>80.135190634253973</v>
      </c>
      <c r="CG99">
        <f t="shared" si="172"/>
        <v>94</v>
      </c>
      <c r="CI99" s="571">
        <f t="shared" si="154"/>
        <v>-50</v>
      </c>
      <c r="CJ99">
        <f t="shared" si="155"/>
        <v>-50</v>
      </c>
    </row>
    <row r="100" spans="5:88" x14ac:dyDescent="0.2">
      <c r="E100" s="174">
        <v>95</v>
      </c>
      <c r="F100" s="221">
        <f t="shared" si="173"/>
        <v>0.95</v>
      </c>
      <c r="G100" s="221">
        <f t="shared" si="156"/>
        <v>0.19</v>
      </c>
      <c r="H100" s="221">
        <f t="shared" si="105"/>
        <v>4.75</v>
      </c>
      <c r="I100" s="221">
        <f t="shared" si="174"/>
        <v>0.95</v>
      </c>
      <c r="J100" s="551">
        <f t="shared" si="106"/>
        <v>24</v>
      </c>
      <c r="K100" s="451">
        <f t="shared" si="107"/>
        <v>10.64</v>
      </c>
      <c r="L100" s="451">
        <f t="shared" si="108"/>
        <v>34.64</v>
      </c>
      <c r="M100" s="451"/>
      <c r="N100" s="221">
        <f t="shared" si="109"/>
        <v>0.30715935334872979</v>
      </c>
      <c r="O100" s="176">
        <f t="shared" si="157"/>
        <v>11.334180138568129</v>
      </c>
      <c r="P100" s="176">
        <f t="shared" si="110"/>
        <v>2.7202032332563508</v>
      </c>
      <c r="Q100" s="221">
        <f t="shared" si="111"/>
        <v>2.2668360277136257</v>
      </c>
      <c r="R100" s="221">
        <f t="shared" si="112"/>
        <v>2.2668360277136257</v>
      </c>
      <c r="S100" s="451">
        <f t="shared" si="113"/>
        <v>5</v>
      </c>
      <c r="T100" s="221">
        <f t="shared" si="114"/>
        <v>1.7182539682539684</v>
      </c>
      <c r="U100" s="221">
        <f t="shared" si="115"/>
        <v>0.50115740740740744</v>
      </c>
      <c r="V100" s="221">
        <f t="shared" si="116"/>
        <v>1.1304302422723476</v>
      </c>
      <c r="W100" s="201">
        <f t="shared" si="117"/>
        <v>350</v>
      </c>
      <c r="X100" s="451">
        <f t="shared" si="158"/>
        <v>350</v>
      </c>
      <c r="Z100" s="221">
        <f t="shared" si="118"/>
        <v>3.0089079511712309</v>
      </c>
      <c r="AA100" s="177">
        <f t="shared" si="119"/>
        <v>1.9795447047179149</v>
      </c>
      <c r="AB100" s="177">
        <f t="shared" si="120"/>
        <v>2.0846937306036244</v>
      </c>
      <c r="AC100" s="177"/>
      <c r="AD100" s="177">
        <f t="shared" si="121"/>
        <v>0.53947368421052622</v>
      </c>
      <c r="AE100" s="555">
        <f t="shared" si="122"/>
        <v>2147.5312314098751</v>
      </c>
      <c r="AF100" s="538">
        <f t="shared" si="123"/>
        <v>0.15482894736842101</v>
      </c>
      <c r="AH100" s="177">
        <f t="shared" si="124"/>
        <v>2.1570955529344999</v>
      </c>
      <c r="AI100" s="177">
        <f t="shared" si="125"/>
        <v>2.1570955529344999</v>
      </c>
      <c r="AJ100" s="177">
        <f t="shared" si="126"/>
        <v>2.1904411503218517</v>
      </c>
      <c r="AL100" s="555">
        <f t="shared" si="127"/>
        <v>950</v>
      </c>
      <c r="AM100" s="469">
        <f t="shared" si="128"/>
        <v>350</v>
      </c>
      <c r="AO100">
        <f t="shared" si="159"/>
        <v>950</v>
      </c>
      <c r="AP100">
        <f t="shared" si="129"/>
        <v>350</v>
      </c>
      <c r="AR100" s="5">
        <f t="shared" si="160"/>
        <v>2.8571428571428572</v>
      </c>
      <c r="AS100" s="5">
        <f t="shared" si="130"/>
        <v>0.62915286960589578</v>
      </c>
      <c r="AT100" s="5">
        <f t="shared" si="161"/>
        <v>2.2279899875369615</v>
      </c>
      <c r="AU100" s="177">
        <f t="shared" si="162"/>
        <v>0.22020350436206351</v>
      </c>
      <c r="AW100" s="5">
        <f t="shared" si="131"/>
        <v>12.458288888888889</v>
      </c>
      <c r="AX100" s="5">
        <f t="shared" si="132"/>
        <v>8.4718028611111116</v>
      </c>
      <c r="AY100" s="5">
        <f t="shared" si="133"/>
        <v>0.49833155555555569</v>
      </c>
      <c r="AZ100" s="5">
        <f t="shared" si="134"/>
        <v>1.4021459747474747</v>
      </c>
      <c r="BA100" s="5">
        <f t="shared" si="135"/>
        <v>0.48995150188891512</v>
      </c>
      <c r="BB100" s="469">
        <f t="shared" si="136"/>
        <v>59.585846893336495</v>
      </c>
      <c r="BC100" s="5"/>
      <c r="BD100" s="177">
        <f t="shared" si="163"/>
        <v>0.58441434720122087</v>
      </c>
      <c r="BE100" s="177">
        <f t="shared" si="137"/>
        <v>2.1995274755716383</v>
      </c>
      <c r="BF100" s="177">
        <f t="shared" si="138"/>
        <v>0.43990549511432769</v>
      </c>
      <c r="BG100" s="177"/>
      <c r="BH100" s="538">
        <f t="shared" si="139"/>
        <v>3.7569414213609202E-2</v>
      </c>
      <c r="BI100" s="538">
        <f t="shared" si="140"/>
        <v>0.1307631324188894</v>
      </c>
      <c r="BJ100" s="538">
        <f t="shared" si="141"/>
        <v>1.7499999999999998E-2</v>
      </c>
      <c r="BK100" s="538">
        <f t="shared" si="142"/>
        <v>9.4494456000000004E-2</v>
      </c>
      <c r="BL100">
        <f t="shared" si="143"/>
        <v>6.96E-3</v>
      </c>
      <c r="BM100">
        <f t="shared" si="144"/>
        <v>6.6500000000000004E-5</v>
      </c>
      <c r="BN100">
        <f t="shared" si="145"/>
        <v>0.29446648475213749</v>
      </c>
      <c r="BO100" s="469">
        <f t="shared" si="164"/>
        <v>294.46648475213749</v>
      </c>
      <c r="BP100" s="177">
        <f t="shared" si="146"/>
        <v>0.73251717324670329</v>
      </c>
      <c r="BQ100" s="177">
        <f t="shared" si="147"/>
        <v>8.7364686929868138E-2</v>
      </c>
      <c r="BR100" s="538"/>
      <c r="BT100" s="469">
        <f t="shared" si="165"/>
        <v>819.88186017657142</v>
      </c>
      <c r="BU100" s="538">
        <f t="shared" si="148"/>
        <v>3.415401292146291E-2</v>
      </c>
      <c r="BV100" s="538">
        <f t="shared" si="149"/>
        <v>0.14513763347383632</v>
      </c>
      <c r="BW100" s="538">
        <f t="shared" si="150"/>
        <v>9.6758422315890904E-3</v>
      </c>
      <c r="BX100" s="538">
        <f t="shared" si="151"/>
        <v>0</v>
      </c>
      <c r="BY100" s="538">
        <f t="shared" si="152"/>
        <v>0.21489219838648335</v>
      </c>
      <c r="BZ100" s="538">
        <f t="shared" si="166"/>
        <v>0.18896748862688834</v>
      </c>
      <c r="CA100" s="641">
        <f t="shared" si="153"/>
        <v>8.1428571428571433E-2</v>
      </c>
      <c r="CB100" s="469">
        <f t="shared" si="167"/>
        <v>296.3207698150548</v>
      </c>
      <c r="CC100" s="177">
        <f t="shared" si="168"/>
        <v>1.4106691147437636</v>
      </c>
      <c r="CD100" s="5">
        <f t="shared" si="169"/>
        <v>5.7</v>
      </c>
      <c r="CE100" s="177">
        <f t="shared" si="170"/>
        <v>0.80161232480656675</v>
      </c>
      <c r="CF100" s="5">
        <f t="shared" si="171"/>
        <v>80.161232480656679</v>
      </c>
      <c r="CG100">
        <f t="shared" si="172"/>
        <v>95</v>
      </c>
      <c r="CI100" s="571">
        <f t="shared" si="154"/>
        <v>-50</v>
      </c>
      <c r="CJ100">
        <f t="shared" si="155"/>
        <v>-50</v>
      </c>
    </row>
    <row r="101" spans="5:88" x14ac:dyDescent="0.2">
      <c r="E101" s="174">
        <v>96</v>
      </c>
      <c r="F101" s="221">
        <f t="shared" si="173"/>
        <v>0.96</v>
      </c>
      <c r="G101" s="221">
        <f t="shared" si="156"/>
        <v>0.192</v>
      </c>
      <c r="H101" s="221">
        <f t="shared" si="105"/>
        <v>4.8</v>
      </c>
      <c r="I101" s="221">
        <f t="shared" si="174"/>
        <v>0.96</v>
      </c>
      <c r="J101" s="551">
        <f t="shared" si="106"/>
        <v>24</v>
      </c>
      <c r="K101" s="451">
        <f t="shared" si="107"/>
        <v>10.64</v>
      </c>
      <c r="L101" s="451">
        <f t="shared" si="108"/>
        <v>34.64</v>
      </c>
      <c r="M101" s="451"/>
      <c r="N101" s="221">
        <f t="shared" si="109"/>
        <v>0.30715935334872979</v>
      </c>
      <c r="O101" s="176">
        <f t="shared" si="157"/>
        <v>11.334180138568129</v>
      </c>
      <c r="P101" s="176">
        <f t="shared" si="110"/>
        <v>2.7202032332563508</v>
      </c>
      <c r="Q101" s="221">
        <f t="shared" si="111"/>
        <v>2.2668360277136257</v>
      </c>
      <c r="R101" s="221">
        <f t="shared" si="112"/>
        <v>2.2668360277136257</v>
      </c>
      <c r="S101" s="451">
        <f t="shared" si="113"/>
        <v>5</v>
      </c>
      <c r="T101" s="221">
        <f t="shared" si="114"/>
        <v>1.7363408521303256</v>
      </c>
      <c r="U101" s="221">
        <f t="shared" si="115"/>
        <v>0.50643274853801168</v>
      </c>
      <c r="V101" s="221">
        <f t="shared" si="116"/>
        <v>1.1423295079804774</v>
      </c>
      <c r="W101" s="201">
        <f t="shared" si="117"/>
        <v>350</v>
      </c>
      <c r="X101" s="451">
        <f t="shared" si="158"/>
        <v>350</v>
      </c>
      <c r="Z101" s="221">
        <f t="shared" si="118"/>
        <v>3.0089079511712309</v>
      </c>
      <c r="AA101" s="177">
        <f t="shared" si="119"/>
        <v>1.9795447047179149</v>
      </c>
      <c r="AB101" s="177">
        <f t="shared" ref="AB101:AB105" si="175">0.5*AA101*Z101*Nps*W101/1000*(Pout/Pout_total)</f>
        <v>2.0846937306036244</v>
      </c>
      <c r="AC101" s="177"/>
      <c r="AD101" s="177">
        <f t="shared" si="121"/>
        <v>0.53947368421052622</v>
      </c>
      <c r="AE101" s="555">
        <f t="shared" ref="AE101:AE105" si="176">MAX(10, F101/(0.5*AD101/1000000*Isw_min*Nps)/1000*Pout_total/Pout)</f>
        <v>2170.136823319453</v>
      </c>
      <c r="AF101" s="538">
        <f t="shared" si="123"/>
        <v>0.15482894736842101</v>
      </c>
      <c r="AH101" s="177">
        <f t="shared" si="124"/>
        <v>2.1684189669726028</v>
      </c>
      <c r="AI101" s="177">
        <f t="shared" ref="AI101:AI105" si="177">MAX(IF(F101&gt;AB101,T101,AH101),Isw_min)</f>
        <v>2.1684189669726028</v>
      </c>
      <c r="AJ101" s="177">
        <f t="shared" ref="AJ101:AJ105" si="178">IF(F101&gt;AF101, (AI101-Isw_min)/1.08*0.8+1.2, AE101*0.2/350+1)</f>
        <v>2.1988288644241503</v>
      </c>
      <c r="AL101" s="555">
        <f t="shared" si="127"/>
        <v>960</v>
      </c>
      <c r="AM101" s="469">
        <f t="shared" si="128"/>
        <v>350</v>
      </c>
      <c r="AO101">
        <f t="shared" si="159"/>
        <v>960</v>
      </c>
      <c r="AP101">
        <f t="shared" si="129"/>
        <v>350</v>
      </c>
      <c r="AR101" s="5">
        <f t="shared" si="160"/>
        <v>2.8571428571428572</v>
      </c>
      <c r="AS101" s="5">
        <f t="shared" si="130"/>
        <v>0.63245553203367588</v>
      </c>
      <c r="AT101" s="5">
        <f t="shared" si="161"/>
        <v>2.2246873251091812</v>
      </c>
      <c r="AU101" s="177">
        <f t="shared" si="162"/>
        <v>0.22135943621178655</v>
      </c>
      <c r="AW101" s="5">
        <f t="shared" si="131"/>
        <v>12.458288888888889</v>
      </c>
      <c r="AX101" s="5">
        <f t="shared" si="132"/>
        <v>8.6207795199999993</v>
      </c>
      <c r="AY101" s="5">
        <f t="shared" si="133"/>
        <v>0.49833155555555569</v>
      </c>
      <c r="AZ101" s="5">
        <f t="shared" si="134"/>
        <v>1.4277780945454546</v>
      </c>
      <c r="BA101" s="5">
        <f t="shared" si="135"/>
        <v>0.49437496113537355</v>
      </c>
      <c r="BB101" s="469">
        <f t="shared" si="136"/>
        <v>60.124995336244837</v>
      </c>
      <c r="BC101" s="5"/>
      <c r="BD101" s="177">
        <f t="shared" si="163"/>
        <v>0.58902210036264047</v>
      </c>
      <c r="BE101" s="177">
        <f t="shared" si="137"/>
        <v>2.2094342298967793</v>
      </c>
      <c r="BF101" s="177">
        <f t="shared" si="138"/>
        <v>0.4418868459793559</v>
      </c>
      <c r="BG101" s="177"/>
      <c r="BH101" s="538">
        <f t="shared" si="139"/>
        <v>3.8164173818717818E-2</v>
      </c>
      <c r="BI101" s="538">
        <f t="shared" si="140"/>
        <v>0.13144955777787917</v>
      </c>
      <c r="BJ101" s="538">
        <f t="shared" si="141"/>
        <v>1.7499999999999998E-2</v>
      </c>
      <c r="BK101" s="538">
        <f t="shared" si="142"/>
        <v>9.4494456000000004E-2</v>
      </c>
      <c r="BL101">
        <f t="shared" si="143"/>
        <v>6.96E-3</v>
      </c>
      <c r="BM101">
        <f t="shared" si="144"/>
        <v>6.6500000000000004E-5</v>
      </c>
      <c r="BN101">
        <f t="shared" ref="BN101:BN105" si="179">(BI101+BJ101+BK101+BL101+BM101+BH101*(1+RdsonTC*(Ta-25)))/(1-BH101*RdsonTC*ThetaJA)</f>
        <v>0.29587015867226013</v>
      </c>
      <c r="BO101" s="469">
        <f t="shared" si="164"/>
        <v>295.87015867226012</v>
      </c>
      <c r="BP101" s="177">
        <f t="shared" si="146"/>
        <v>0.73967421068070349</v>
      </c>
      <c r="BQ101" s="177">
        <f t="shared" si="147"/>
        <v>8.8262168427228158E-2</v>
      </c>
      <c r="BR101" s="538"/>
      <c r="BT101" s="469">
        <f t="shared" si="165"/>
        <v>827.93637910793166</v>
      </c>
      <c r="BU101" s="538">
        <f t="shared" si="148"/>
        <v>3.4694703471561651E-2</v>
      </c>
      <c r="BV101" s="538">
        <f t="shared" si="149"/>
        <v>0.14644798848718724</v>
      </c>
      <c r="BW101" s="538">
        <f t="shared" si="150"/>
        <v>9.7631992324791507E-3</v>
      </c>
      <c r="BX101" s="538">
        <f t="shared" si="151"/>
        <v>0</v>
      </c>
      <c r="BY101" s="538">
        <f t="shared" ref="BY101:BY164" si="180">(BX101+(BU101+BV101+BW101)*(1+Ltc*(Ta-25)))/(1-(BU101+BV101+BW101)*Ltc*ThetaCa)</f>
        <v>0.21713072083546245</v>
      </c>
      <c r="BZ101" s="538">
        <f t="shared" si="166"/>
        <v>0.19090589119122803</v>
      </c>
      <c r="CA101" s="641">
        <f t="shared" si="153"/>
        <v>8.2285714285714281E-2</v>
      </c>
      <c r="CB101" s="469">
        <f t="shared" si="167"/>
        <v>299.41643512117673</v>
      </c>
      <c r="CC101" s="177">
        <f t="shared" si="168"/>
        <v>1.4232229729013686</v>
      </c>
      <c r="CD101" s="5">
        <f t="shared" si="169"/>
        <v>5.76</v>
      </c>
      <c r="CE101" s="177">
        <f t="shared" si="170"/>
        <v>0.8018684679188629</v>
      </c>
      <c r="CF101" s="5">
        <f t="shared" si="171"/>
        <v>80.186846791886296</v>
      </c>
      <c r="CG101">
        <f t="shared" si="172"/>
        <v>96</v>
      </c>
      <c r="CI101" s="571">
        <f t="shared" si="154"/>
        <v>-50</v>
      </c>
      <c r="CJ101">
        <f t="shared" si="155"/>
        <v>-50</v>
      </c>
    </row>
    <row r="102" spans="5:88" x14ac:dyDescent="0.2">
      <c r="E102" s="174">
        <v>97</v>
      </c>
      <c r="F102" s="221">
        <f t="shared" si="173"/>
        <v>0.97</v>
      </c>
      <c r="G102" s="221">
        <f t="shared" si="156"/>
        <v>0.19400000000000001</v>
      </c>
      <c r="H102" s="221">
        <f t="shared" si="105"/>
        <v>4.8499999999999996</v>
      </c>
      <c r="I102" s="221">
        <f t="shared" si="174"/>
        <v>0.97</v>
      </c>
      <c r="J102" s="551">
        <f t="shared" si="106"/>
        <v>24</v>
      </c>
      <c r="K102" s="451">
        <f t="shared" si="107"/>
        <v>10.64</v>
      </c>
      <c r="L102" s="451">
        <f t="shared" si="108"/>
        <v>34.64</v>
      </c>
      <c r="M102" s="451"/>
      <c r="N102" s="221">
        <f t="shared" si="109"/>
        <v>0.30715935334872979</v>
      </c>
      <c r="O102" s="176">
        <f t="shared" ref="O102:O105" si="181">N102*J102*Isw_max*0.5*Efficiency*Pout/(Pout+Pout2)</f>
        <v>11.334180138568129</v>
      </c>
      <c r="P102" s="176">
        <f t="shared" si="110"/>
        <v>2.7202032332563508</v>
      </c>
      <c r="Q102" s="221">
        <f t="shared" si="111"/>
        <v>2.2668360277136257</v>
      </c>
      <c r="R102" s="221">
        <f t="shared" si="112"/>
        <v>2.2668360277136257</v>
      </c>
      <c r="S102" s="451">
        <f t="shared" si="113"/>
        <v>5</v>
      </c>
      <c r="T102" s="221">
        <f t="shared" si="114"/>
        <v>1.7544277360066831</v>
      </c>
      <c r="U102" s="221">
        <f t="shared" si="115"/>
        <v>0.51170808966861581</v>
      </c>
      <c r="V102" s="221">
        <f t="shared" si="116"/>
        <v>1.1542287736886072</v>
      </c>
      <c r="W102" s="201">
        <f t="shared" si="117"/>
        <v>350</v>
      </c>
      <c r="X102" s="451">
        <f t="shared" si="158"/>
        <v>350</v>
      </c>
      <c r="Z102" s="221">
        <f t="shared" si="118"/>
        <v>3.0089079511712309</v>
      </c>
      <c r="AA102" s="177">
        <f t="shared" si="119"/>
        <v>1.9795447047179149</v>
      </c>
      <c r="AB102" s="177">
        <f t="shared" si="175"/>
        <v>2.0846937306036244</v>
      </c>
      <c r="AC102" s="177"/>
      <c r="AD102" s="177">
        <f t="shared" si="121"/>
        <v>0.53947368421052622</v>
      </c>
      <c r="AE102" s="555">
        <f t="shared" si="176"/>
        <v>2192.7424152290309</v>
      </c>
      <c r="AF102" s="538">
        <f t="shared" si="123"/>
        <v>0.15482894736842101</v>
      </c>
      <c r="AH102" s="177">
        <f t="shared" si="124"/>
        <v>2.1796835568869315</v>
      </c>
      <c r="AI102" s="177">
        <f t="shared" si="177"/>
        <v>2.1796835568869315</v>
      </c>
      <c r="AJ102" s="177">
        <f t="shared" si="178"/>
        <v>2.2071730051014309</v>
      </c>
      <c r="AL102" s="555">
        <f t="shared" si="127"/>
        <v>970</v>
      </c>
      <c r="AM102" s="469">
        <f t="shared" si="128"/>
        <v>350</v>
      </c>
      <c r="AO102">
        <f t="shared" si="159"/>
        <v>970</v>
      </c>
      <c r="AP102">
        <f t="shared" si="129"/>
        <v>350</v>
      </c>
      <c r="AR102" s="5">
        <f t="shared" si="160"/>
        <v>2.8571428571428572</v>
      </c>
      <c r="AS102" s="5">
        <f t="shared" si="130"/>
        <v>0.63574103742535504</v>
      </c>
      <c r="AT102" s="5">
        <f t="shared" si="161"/>
        <v>2.2214018197175021</v>
      </c>
      <c r="AU102" s="177">
        <f t="shared" si="162"/>
        <v>0.22250936309887426</v>
      </c>
      <c r="AW102" s="5">
        <f t="shared" si="131"/>
        <v>12.458288888888889</v>
      </c>
      <c r="AX102" s="5">
        <f t="shared" si="132"/>
        <v>8.7710020077777777</v>
      </c>
      <c r="AY102" s="5">
        <f t="shared" si="133"/>
        <v>0.49833155555555569</v>
      </c>
      <c r="AZ102" s="5">
        <f t="shared" si="134"/>
        <v>1.4536367286868686</v>
      </c>
      <c r="BA102" s="5">
        <f t="shared" si="135"/>
        <v>0.49878698266805016</v>
      </c>
      <c r="BB102" s="469">
        <f t="shared" si="136"/>
        <v>60.662771253499351</v>
      </c>
      <c r="BC102" s="5"/>
      <c r="BD102" s="177">
        <f t="shared" si="163"/>
        <v>0.59361786953397377</v>
      </c>
      <c r="BE102" s="177">
        <f t="shared" si="137"/>
        <v>2.2192713167683675</v>
      </c>
      <c r="BF102" s="177">
        <f t="shared" si="138"/>
        <v>0.44385426335367351</v>
      </c>
      <c r="BG102" s="177"/>
      <c r="BH102" s="538">
        <f t="shared" si="139"/>
        <v>3.876203925330593E-2</v>
      </c>
      <c r="BI102" s="538">
        <f t="shared" si="140"/>
        <v>0.13213241721848579</v>
      </c>
      <c r="BJ102" s="538">
        <f t="shared" si="141"/>
        <v>1.7499999999999998E-2</v>
      </c>
      <c r="BK102" s="538">
        <f t="shared" si="142"/>
        <v>9.4494456000000004E-2</v>
      </c>
      <c r="BL102">
        <f t="shared" si="143"/>
        <v>6.96E-3</v>
      </c>
      <c r="BM102">
        <f t="shared" si="144"/>
        <v>6.6500000000000004E-5</v>
      </c>
      <c r="BN102">
        <f t="shared" si="179"/>
        <v>0.29727427334717077</v>
      </c>
      <c r="BO102" s="469">
        <f t="shared" si="164"/>
        <v>297.27427334717078</v>
      </c>
      <c r="BP102" s="177">
        <f t="shared" si="146"/>
        <v>0.7468226195557135</v>
      </c>
      <c r="BQ102" s="177">
        <f t="shared" si="147"/>
        <v>8.9159304782228527E-2</v>
      </c>
      <c r="BR102" s="538"/>
      <c r="BT102" s="469">
        <f t="shared" si="165"/>
        <v>835.98192433794202</v>
      </c>
      <c r="BU102" s="538">
        <f t="shared" si="148"/>
        <v>3.5238217503005397E-2</v>
      </c>
      <c r="BV102" s="538">
        <f t="shared" si="149"/>
        <v>0.14775495532292413</v>
      </c>
      <c r="BW102" s="538">
        <f t="shared" si="150"/>
        <v>9.8503303548616097E-3</v>
      </c>
      <c r="BX102" s="538">
        <f t="shared" si="151"/>
        <v>0</v>
      </c>
      <c r="BY102" s="538">
        <f t="shared" si="180"/>
        <v>0.21936903501867738</v>
      </c>
      <c r="BZ102" s="538">
        <f t="shared" si="166"/>
        <v>0.19284350318079113</v>
      </c>
      <c r="CA102" s="641">
        <f t="shared" si="153"/>
        <v>8.3142857142857157E-2</v>
      </c>
      <c r="CB102" s="469">
        <f t="shared" si="167"/>
        <v>302.51189216153449</v>
      </c>
      <c r="CC102" s="177">
        <f t="shared" si="168"/>
        <v>1.4357680898466474</v>
      </c>
      <c r="CD102" s="5">
        <f t="shared" si="169"/>
        <v>5.8199999999999994</v>
      </c>
      <c r="CE102" s="177">
        <f t="shared" si="170"/>
        <v>0.80212045477917238</v>
      </c>
      <c r="CF102" s="5">
        <f t="shared" si="171"/>
        <v>80.212045477917243</v>
      </c>
      <c r="CG102">
        <f t="shared" si="172"/>
        <v>97</v>
      </c>
      <c r="CI102" s="571">
        <f t="shared" si="154"/>
        <v>-50</v>
      </c>
      <c r="CJ102">
        <f t="shared" si="155"/>
        <v>-50</v>
      </c>
    </row>
    <row r="103" spans="5:88" x14ac:dyDescent="0.2">
      <c r="E103" s="174">
        <v>98</v>
      </c>
      <c r="F103" s="221">
        <f t="shared" si="173"/>
        <v>0.98</v>
      </c>
      <c r="G103" s="221">
        <f t="shared" si="156"/>
        <v>0.19600000000000001</v>
      </c>
      <c r="H103" s="221">
        <f t="shared" si="105"/>
        <v>4.9000000000000004</v>
      </c>
      <c r="I103" s="221">
        <f t="shared" si="174"/>
        <v>0.98</v>
      </c>
      <c r="J103" s="551">
        <f t="shared" si="106"/>
        <v>24</v>
      </c>
      <c r="K103" s="451">
        <f t="shared" si="107"/>
        <v>10.64</v>
      </c>
      <c r="L103" s="451">
        <f t="shared" si="108"/>
        <v>34.64</v>
      </c>
      <c r="M103" s="451"/>
      <c r="N103" s="221">
        <f t="shared" si="109"/>
        <v>0.30715935334872979</v>
      </c>
      <c r="O103" s="176">
        <f t="shared" si="181"/>
        <v>11.334180138568129</v>
      </c>
      <c r="P103" s="176">
        <f t="shared" si="110"/>
        <v>2.7202032332563508</v>
      </c>
      <c r="Q103" s="221">
        <f t="shared" si="111"/>
        <v>2.2668360277136257</v>
      </c>
      <c r="R103" s="221">
        <f t="shared" si="112"/>
        <v>2.2668360277136257</v>
      </c>
      <c r="S103" s="451">
        <f t="shared" si="113"/>
        <v>5</v>
      </c>
      <c r="T103" s="221">
        <f t="shared" si="114"/>
        <v>1.772514619883041</v>
      </c>
      <c r="U103" s="221">
        <f t="shared" si="115"/>
        <v>0.51698343079922027</v>
      </c>
      <c r="V103" s="221">
        <f t="shared" si="116"/>
        <v>1.1661280393967375</v>
      </c>
      <c r="W103" s="201">
        <f t="shared" si="117"/>
        <v>350</v>
      </c>
      <c r="X103" s="451">
        <f t="shared" si="158"/>
        <v>350</v>
      </c>
      <c r="Z103" s="221">
        <f t="shared" si="118"/>
        <v>3.0089079511712309</v>
      </c>
      <c r="AA103" s="177">
        <f t="shared" si="119"/>
        <v>1.9795447047179149</v>
      </c>
      <c r="AB103" s="177">
        <f t="shared" si="175"/>
        <v>2.0846937306036244</v>
      </c>
      <c r="AC103" s="177"/>
      <c r="AD103" s="177">
        <f t="shared" si="121"/>
        <v>0.53947368421052622</v>
      </c>
      <c r="AE103" s="555">
        <f t="shared" si="176"/>
        <v>2215.3480071386084</v>
      </c>
      <c r="AF103" s="538">
        <f t="shared" si="123"/>
        <v>0.15482894736842101</v>
      </c>
      <c r="AH103" s="177">
        <f t="shared" si="124"/>
        <v>2.1908902300206647</v>
      </c>
      <c r="AI103" s="177">
        <f t="shared" si="177"/>
        <v>2.1908902300206647</v>
      </c>
      <c r="AJ103" s="177">
        <f t="shared" si="178"/>
        <v>2.2154742444597515</v>
      </c>
      <c r="AL103" s="555">
        <f t="shared" si="127"/>
        <v>980</v>
      </c>
      <c r="AM103" s="469">
        <f t="shared" si="128"/>
        <v>350</v>
      </c>
      <c r="AO103">
        <f t="shared" si="159"/>
        <v>980</v>
      </c>
      <c r="AP103">
        <f t="shared" si="129"/>
        <v>350</v>
      </c>
      <c r="AR103" s="5">
        <f t="shared" si="160"/>
        <v>2.8571428571428572</v>
      </c>
      <c r="AS103" s="5">
        <f t="shared" si="130"/>
        <v>0.63900965042269386</v>
      </c>
      <c r="AT103" s="5">
        <f t="shared" si="161"/>
        <v>2.2181332067201636</v>
      </c>
      <c r="AU103" s="177">
        <f t="shared" si="162"/>
        <v>0.22365337764794285</v>
      </c>
      <c r="AW103" s="5">
        <f t="shared" si="131"/>
        <v>12.458288888888889</v>
      </c>
      <c r="AX103" s="5">
        <f t="shared" si="132"/>
        <v>8.9224703244444434</v>
      </c>
      <c r="AY103" s="5">
        <f t="shared" si="133"/>
        <v>0.49833155555555569</v>
      </c>
      <c r="AZ103" s="5">
        <f t="shared" si="134"/>
        <v>1.4797218771717175</v>
      </c>
      <c r="BA103" s="5">
        <f t="shared" si="135"/>
        <v>0.50318762559855557</v>
      </c>
      <c r="BB103" s="469">
        <f t="shared" si="136"/>
        <v>61.199181738493351</v>
      </c>
      <c r="BC103" s="5"/>
      <c r="BD103" s="177">
        <f t="shared" si="163"/>
        <v>0.59820180895472774</v>
      </c>
      <c r="BE103" s="177">
        <f t="shared" si="137"/>
        <v>2.22903978947285</v>
      </c>
      <c r="BF103" s="177">
        <f t="shared" si="138"/>
        <v>0.44580795789457001</v>
      </c>
      <c r="BG103" s="177"/>
      <c r="BH103" s="538">
        <f t="shared" si="139"/>
        <v>3.9362994466037943E-2</v>
      </c>
      <c r="BI103" s="538">
        <f t="shared" si="140"/>
        <v>0.1328117657438527</v>
      </c>
      <c r="BJ103" s="538">
        <f t="shared" si="141"/>
        <v>1.7499999999999998E-2</v>
      </c>
      <c r="BK103" s="538">
        <f t="shared" si="142"/>
        <v>9.4494456000000004E-2</v>
      </c>
      <c r="BL103">
        <f t="shared" si="143"/>
        <v>6.96E-3</v>
      </c>
      <c r="BM103">
        <f t="shared" si="144"/>
        <v>6.6500000000000004E-5</v>
      </c>
      <c r="BN103">
        <f t="shared" si="179"/>
        <v>0.29867886751821093</v>
      </c>
      <c r="BO103" s="469">
        <f t="shared" si="164"/>
        <v>298.67886751821095</v>
      </c>
      <c r="BP103" s="177">
        <f t="shared" si="146"/>
        <v>0.75396244446526206</v>
      </c>
      <c r="BQ103" s="177">
        <f t="shared" si="147"/>
        <v>9.0056097778610483E-2</v>
      </c>
      <c r="BR103" s="538"/>
      <c r="BT103" s="469">
        <f t="shared" si="165"/>
        <v>844.0185422438725</v>
      </c>
      <c r="BU103" s="538">
        <f t="shared" si="148"/>
        <v>3.5784540423670859E-2</v>
      </c>
      <c r="BV103" s="538">
        <f t="shared" si="149"/>
        <v>0.149058551491595</v>
      </c>
      <c r="BW103" s="538">
        <f t="shared" si="150"/>
        <v>9.937236766106335E-3</v>
      </c>
      <c r="BX103" s="538">
        <f t="shared" si="151"/>
        <v>0</v>
      </c>
      <c r="BY103" s="538">
        <f t="shared" si="180"/>
        <v>0.22160714512843749</v>
      </c>
      <c r="BZ103" s="538">
        <f t="shared" si="166"/>
        <v>0.19478032868137218</v>
      </c>
      <c r="CA103" s="641">
        <f t="shared" si="153"/>
        <v>8.4000000000000033E-2</v>
      </c>
      <c r="CB103" s="469">
        <f t="shared" si="167"/>
        <v>305.60714512843748</v>
      </c>
      <c r="CC103" s="177">
        <f t="shared" si="168"/>
        <v>1.4483045548905209</v>
      </c>
      <c r="CD103" s="5">
        <f t="shared" si="169"/>
        <v>5.8800000000000008</v>
      </c>
      <c r="CE103" s="177">
        <f t="shared" si="170"/>
        <v>0.80236839994265796</v>
      </c>
      <c r="CF103" s="5">
        <f t="shared" si="171"/>
        <v>80.236839994265793</v>
      </c>
      <c r="CG103">
        <f t="shared" si="172"/>
        <v>98</v>
      </c>
      <c r="CI103" s="571">
        <f t="shared" si="154"/>
        <v>-50</v>
      </c>
      <c r="CJ103">
        <f t="shared" si="155"/>
        <v>-50</v>
      </c>
    </row>
    <row r="104" spans="5:88" x14ac:dyDescent="0.2">
      <c r="E104" s="174">
        <v>99</v>
      </c>
      <c r="F104" s="221">
        <f t="shared" ref="F104:F105" si="182">IF(PLOT_TYPE=1, E104/100*Iout_max, min_I*EXP(O104*rr/100))</f>
        <v>0.99</v>
      </c>
      <c r="G104" s="221">
        <f t="shared" si="156"/>
        <v>0.19800000000000001</v>
      </c>
      <c r="H104" s="221">
        <f t="shared" si="105"/>
        <v>4.95</v>
      </c>
      <c r="I104" s="221">
        <f t="shared" si="174"/>
        <v>0.99</v>
      </c>
      <c r="J104" s="551">
        <f t="shared" si="106"/>
        <v>24</v>
      </c>
      <c r="K104" s="451">
        <f t="shared" si="107"/>
        <v>10.64</v>
      </c>
      <c r="L104" s="451">
        <f t="shared" si="108"/>
        <v>34.64</v>
      </c>
      <c r="M104" s="451"/>
      <c r="N104" s="221">
        <f t="shared" si="109"/>
        <v>0.30715935334872979</v>
      </c>
      <c r="O104" s="176">
        <f t="shared" si="181"/>
        <v>11.334180138568129</v>
      </c>
      <c r="P104" s="176">
        <f t="shared" si="110"/>
        <v>2.7202032332563508</v>
      </c>
      <c r="Q104" s="221">
        <f t="shared" si="111"/>
        <v>2.2668360277136257</v>
      </c>
      <c r="R104" s="221">
        <f t="shared" si="112"/>
        <v>2.2668360277136257</v>
      </c>
      <c r="S104" s="451">
        <f t="shared" si="113"/>
        <v>5</v>
      </c>
      <c r="T104" s="221">
        <f t="shared" si="114"/>
        <v>1.7906015037593985</v>
      </c>
      <c r="U104" s="221">
        <f t="shared" si="115"/>
        <v>0.52225877192982451</v>
      </c>
      <c r="V104" s="221">
        <f t="shared" si="116"/>
        <v>1.1780273051048673</v>
      </c>
      <c r="W104" s="201">
        <f t="shared" si="117"/>
        <v>350</v>
      </c>
      <c r="X104" s="451">
        <f t="shared" si="158"/>
        <v>350</v>
      </c>
      <c r="Z104" s="221">
        <f t="shared" si="118"/>
        <v>3.0089079511712309</v>
      </c>
      <c r="AA104" s="177">
        <f t="shared" si="119"/>
        <v>1.9795447047179149</v>
      </c>
      <c r="AB104" s="177">
        <f t="shared" si="175"/>
        <v>2.0846937306036244</v>
      </c>
      <c r="AC104" s="177"/>
      <c r="AD104" s="177">
        <f t="shared" si="121"/>
        <v>0.53947368421052622</v>
      </c>
      <c r="AE104" s="555">
        <f t="shared" si="176"/>
        <v>2237.9535990481859</v>
      </c>
      <c r="AF104" s="538">
        <f t="shared" si="123"/>
        <v>0.15482894736842101</v>
      </c>
      <c r="AH104" s="177">
        <f t="shared" si="124"/>
        <v>2.2020398706283077</v>
      </c>
      <c r="AI104" s="177">
        <f t="shared" si="177"/>
        <v>2.2020398706283077</v>
      </c>
      <c r="AJ104" s="177">
        <f t="shared" si="178"/>
        <v>2.2237332375024503</v>
      </c>
      <c r="AL104" s="555">
        <f t="shared" si="127"/>
        <v>990</v>
      </c>
      <c r="AM104" s="469">
        <f t="shared" si="128"/>
        <v>350</v>
      </c>
      <c r="AO104">
        <f t="shared" si="159"/>
        <v>990</v>
      </c>
      <c r="AP104">
        <f t="shared" si="129"/>
        <v>350</v>
      </c>
      <c r="AR104" s="5">
        <f t="shared" si="160"/>
        <v>2.8571428571428572</v>
      </c>
      <c r="AS104" s="5">
        <f t="shared" si="130"/>
        <v>0.64226162893325645</v>
      </c>
      <c r="AT104" s="5">
        <f t="shared" si="161"/>
        <v>2.2148812282096006</v>
      </c>
      <c r="AU104" s="177">
        <f t="shared" si="162"/>
        <v>0.22479157012663975</v>
      </c>
      <c r="AW104" s="5">
        <f t="shared" si="131"/>
        <v>12.458288888888889</v>
      </c>
      <c r="AX104" s="5">
        <f t="shared" si="132"/>
        <v>9.0751844699999999</v>
      </c>
      <c r="AY104" s="5">
        <f t="shared" si="133"/>
        <v>0.49833155555555569</v>
      </c>
      <c r="AZ104" s="5">
        <f t="shared" si="134"/>
        <v>1.5060335400000002</v>
      </c>
      <c r="BA104" s="5">
        <f t="shared" si="135"/>
        <v>0.50757694813136678</v>
      </c>
      <c r="BB104" s="469">
        <f t="shared" si="136"/>
        <v>61.734233775764032</v>
      </c>
      <c r="BC104" s="5"/>
      <c r="BD104" s="177">
        <f t="shared" si="163"/>
        <v>0.60277406932753064</v>
      </c>
      <c r="BE104" s="177">
        <f t="shared" si="137"/>
        <v>2.2387406745387675</v>
      </c>
      <c r="BF104" s="177">
        <f t="shared" si="138"/>
        <v>0.4477481349077535</v>
      </c>
      <c r="BG104" s="177"/>
      <c r="BH104" s="538">
        <f t="shared" si="139"/>
        <v>3.9967023651903778E-2</v>
      </c>
      <c r="BI104" s="538">
        <f t="shared" si="140"/>
        <v>0.13348765695748802</v>
      </c>
      <c r="BJ104" s="538">
        <f t="shared" si="141"/>
        <v>1.7499999999999998E-2</v>
      </c>
      <c r="BK104" s="538">
        <f t="shared" si="142"/>
        <v>9.4494456000000004E-2</v>
      </c>
      <c r="BL104">
        <f t="shared" si="143"/>
        <v>6.96E-3</v>
      </c>
      <c r="BM104">
        <f t="shared" si="144"/>
        <v>6.6500000000000004E-5</v>
      </c>
      <c r="BN104">
        <f t="shared" si="179"/>
        <v>0.30008397881424226</v>
      </c>
      <c r="BO104" s="469">
        <f t="shared" si="164"/>
        <v>300.08397881424224</v>
      </c>
      <c r="BP104" s="177">
        <f t="shared" si="146"/>
        <v>0.76109372931854025</v>
      </c>
      <c r="BQ104" s="177">
        <f t="shared" si="147"/>
        <v>9.0952549172741606E-2</v>
      </c>
      <c r="BR104" s="538"/>
      <c r="BT104" s="469">
        <f t="shared" si="165"/>
        <v>852.0462784912819</v>
      </c>
      <c r="BU104" s="538">
        <f t="shared" si="148"/>
        <v>3.6333657865367068E-2</v>
      </c>
      <c r="BV104" s="538">
        <f t="shared" si="149"/>
        <v>0.15035879423502885</v>
      </c>
      <c r="BW104" s="538">
        <f t="shared" si="150"/>
        <v>1.0023919615668592E-2</v>
      </c>
      <c r="BX104" s="538">
        <f t="shared" si="151"/>
        <v>0</v>
      </c>
      <c r="BY104" s="538">
        <f t="shared" si="180"/>
        <v>0.22384505529025472</v>
      </c>
      <c r="BZ104" s="538">
        <f t="shared" si="166"/>
        <v>0.19671637171606451</v>
      </c>
      <c r="CA104" s="641">
        <f t="shared" si="153"/>
        <v>8.4857142857142867E-2</v>
      </c>
      <c r="CB104" s="469">
        <f t="shared" si="167"/>
        <v>308.70219814739755</v>
      </c>
      <c r="CC104" s="177">
        <f t="shared" si="168"/>
        <v>1.4608324554529217</v>
      </c>
      <c r="CD104" s="5">
        <f t="shared" si="169"/>
        <v>5.94</v>
      </c>
      <c r="CE104" s="177">
        <f t="shared" si="170"/>
        <v>0.80261241363779523</v>
      </c>
      <c r="CF104" s="5">
        <f t="shared" si="171"/>
        <v>80.261241363779519</v>
      </c>
      <c r="CG104">
        <f t="shared" si="172"/>
        <v>99</v>
      </c>
      <c r="CI104" s="571">
        <f t="shared" si="154"/>
        <v>-50</v>
      </c>
      <c r="CJ104">
        <f t="shared" si="155"/>
        <v>-50</v>
      </c>
    </row>
    <row r="105" spans="5:88" x14ac:dyDescent="0.2">
      <c r="E105" s="174">
        <v>100</v>
      </c>
      <c r="F105" s="221">
        <f t="shared" si="182"/>
        <v>1</v>
      </c>
      <c r="G105" s="221">
        <f t="shared" si="156"/>
        <v>0.2</v>
      </c>
      <c r="H105" s="221">
        <f t="shared" si="105"/>
        <v>5</v>
      </c>
      <c r="I105" s="221">
        <f t="shared" si="174"/>
        <v>1</v>
      </c>
      <c r="J105" s="551">
        <f t="shared" si="106"/>
        <v>24</v>
      </c>
      <c r="K105" s="451">
        <f t="shared" si="107"/>
        <v>10.64</v>
      </c>
      <c r="L105" s="451">
        <f t="shared" si="108"/>
        <v>34.64</v>
      </c>
      <c r="M105" s="451"/>
      <c r="N105" s="221">
        <f t="shared" si="109"/>
        <v>0.30715935334872979</v>
      </c>
      <c r="O105" s="176">
        <f t="shared" si="181"/>
        <v>11.334180138568129</v>
      </c>
      <c r="P105" s="176">
        <f t="shared" si="110"/>
        <v>2.7202032332563508</v>
      </c>
      <c r="Q105" s="221">
        <f t="shared" si="111"/>
        <v>2.2668360277136257</v>
      </c>
      <c r="R105" s="221">
        <f t="shared" si="112"/>
        <v>2.2668360277136257</v>
      </c>
      <c r="S105" s="451">
        <f t="shared" si="113"/>
        <v>5</v>
      </c>
      <c r="T105" s="221">
        <f t="shared" si="114"/>
        <v>1.808688387635756</v>
      </c>
      <c r="U105" s="221">
        <f t="shared" si="115"/>
        <v>0.52753411306042886</v>
      </c>
      <c r="V105" s="221">
        <f t="shared" si="116"/>
        <v>1.1899265708129974</v>
      </c>
      <c r="W105" s="201">
        <f t="shared" si="117"/>
        <v>350</v>
      </c>
      <c r="X105" s="451">
        <f t="shared" si="158"/>
        <v>350</v>
      </c>
      <c r="Z105" s="221">
        <f t="shared" si="118"/>
        <v>3.0089079511712309</v>
      </c>
      <c r="AA105" s="177">
        <f t="shared" si="119"/>
        <v>1.9795447047179149</v>
      </c>
      <c r="AB105" s="177">
        <f t="shared" si="175"/>
        <v>2.0846937306036244</v>
      </c>
      <c r="AC105" s="177"/>
      <c r="AD105" s="177">
        <f t="shared" si="121"/>
        <v>0.53947368421052622</v>
      </c>
      <c r="AE105" s="555">
        <f t="shared" si="176"/>
        <v>2260.5591909577638</v>
      </c>
      <c r="AF105" s="538">
        <f t="shared" si="123"/>
        <v>0.15482894736842101</v>
      </c>
      <c r="AH105" s="177">
        <f t="shared" si="124"/>
        <v>2.2131333406899523</v>
      </c>
      <c r="AI105" s="177">
        <f t="shared" si="177"/>
        <v>2.2131333406899523</v>
      </c>
      <c r="AJ105" s="177">
        <f t="shared" si="178"/>
        <v>2.2319506227332981</v>
      </c>
      <c r="AL105" s="555">
        <f t="shared" si="127"/>
        <v>1000</v>
      </c>
      <c r="AM105" s="469">
        <f t="shared" si="128"/>
        <v>350</v>
      </c>
      <c r="AO105">
        <f t="shared" si="159"/>
        <v>1000</v>
      </c>
      <c r="AP105" s="3">
        <f t="shared" si="129"/>
        <v>350</v>
      </c>
      <c r="AR105" s="5">
        <f t="shared" si="160"/>
        <v>2.8571428571428572</v>
      </c>
      <c r="AS105" s="5">
        <f t="shared" si="130"/>
        <v>0.6454972243679028</v>
      </c>
      <c r="AT105" s="5">
        <f t="shared" si="161"/>
        <v>2.2116456327749545</v>
      </c>
      <c r="AU105" s="177">
        <f t="shared" si="162"/>
        <v>0.22592402852876597</v>
      </c>
      <c r="AW105" s="5">
        <f t="shared" si="131"/>
        <v>12.458288888888889</v>
      </c>
      <c r="AX105" s="5">
        <f t="shared" si="132"/>
        <v>9.2291444444444437</v>
      </c>
      <c r="AY105" s="5">
        <f t="shared" si="133"/>
        <v>0.49833155555555569</v>
      </c>
      <c r="AZ105" s="5">
        <f t="shared" si="134"/>
        <v>1.5325717171717175</v>
      </c>
      <c r="BA105" s="5">
        <f t="shared" si="135"/>
        <v>0.51195500758679491</v>
      </c>
      <c r="BB105" s="469">
        <f t="shared" si="136"/>
        <v>62.267934243748734</v>
      </c>
      <c r="BC105" s="5"/>
      <c r="BD105" s="177">
        <f t="shared" si="163"/>
        <v>0.60733479793410372</v>
      </c>
      <c r="BE105" s="177">
        <f t="shared" si="137"/>
        <v>2.2483749726794509</v>
      </c>
      <c r="BF105" s="177">
        <f t="shared" si="138"/>
        <v>0.44967499453589022</v>
      </c>
      <c r="BG105" s="177"/>
      <c r="BH105" s="538">
        <f t="shared" si="139"/>
        <v>4.0574111245982446E-2</v>
      </c>
      <c r="BI105" s="538">
        <f t="shared" si="140"/>
        <v>0.13416014311262492</v>
      </c>
      <c r="BJ105" s="538">
        <f t="shared" si="141"/>
        <v>1.7499999999999998E-2</v>
      </c>
      <c r="BK105" s="538">
        <f t="shared" si="142"/>
        <v>9.4494456000000004E-2</v>
      </c>
      <c r="BL105">
        <f t="shared" si="143"/>
        <v>6.96E-3</v>
      </c>
      <c r="BM105">
        <f t="shared" si="144"/>
        <v>6.6500000000000004E-5</v>
      </c>
      <c r="BN105">
        <f t="shared" si="179"/>
        <v>0.30148964379379983</v>
      </c>
      <c r="BO105" s="469">
        <f t="shared" si="164"/>
        <v>301.48964379379981</v>
      </c>
      <c r="BP105" s="177">
        <f t="shared" si="146"/>
        <v>0.76821651735772911</v>
      </c>
      <c r="BQ105" s="177">
        <f t="shared" si="147"/>
        <v>9.1848660694309178E-2</v>
      </c>
      <c r="BR105" s="538"/>
      <c r="BT105" s="469">
        <f t="shared" si="165"/>
        <v>860.06517805203828</v>
      </c>
      <c r="BU105" s="538">
        <f t="shared" si="148"/>
        <v>3.6885555678165864E-2</v>
      </c>
      <c r="BV105" s="538">
        <f t="shared" si="149"/>
        <v>0.15165570053313965</v>
      </c>
      <c r="BW105" s="538">
        <f t="shared" si="150"/>
        <v>1.0110380035542646E-2</v>
      </c>
      <c r="BX105" s="538">
        <f t="shared" si="151"/>
        <v>0</v>
      </c>
      <c r="BY105" s="538">
        <f t="shared" si="180"/>
        <v>0.2260827695645676</v>
      </c>
      <c r="BZ105" s="538">
        <f t="shared" si="166"/>
        <v>0.19865163624684817</v>
      </c>
      <c r="CA105" s="641">
        <f t="shared" si="153"/>
        <v>8.5714285714285715E-2</v>
      </c>
      <c r="CB105" s="469">
        <f t="shared" si="167"/>
        <v>311.79705527885329</v>
      </c>
      <c r="CC105" s="177">
        <f t="shared" si="168"/>
        <v>1.4733518771246914</v>
      </c>
      <c r="CD105" s="5">
        <f t="shared" si="169"/>
        <v>6</v>
      </c>
      <c r="CE105" s="177">
        <f t="shared" si="170"/>
        <v>0.80285260197174724</v>
      </c>
      <c r="CF105" s="5">
        <f t="shared" si="171"/>
        <v>80.285260197174722</v>
      </c>
      <c r="CG105">
        <f t="shared" si="172"/>
        <v>100</v>
      </c>
      <c r="CI105" s="571">
        <f t="shared" si="154"/>
        <v>-50</v>
      </c>
      <c r="CJ105">
        <f t="shared" si="155"/>
        <v>-50</v>
      </c>
    </row>
    <row r="106" spans="5:88" x14ac:dyDescent="0.2">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x14ac:dyDescent="0.2">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25">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
      <c r="E110" s="174">
        <v>0.1</v>
      </c>
      <c r="F110" s="221">
        <v>1.0000000000000001E-9</v>
      </c>
      <c r="G110" s="221">
        <f t="shared" ref="G110:G141" si="183">IF(PLOT_TYPE=1, E110/100*Iout2, min_I*EXP(Q110*rr/100))</f>
        <v>2.0000000000000001E-4</v>
      </c>
      <c r="H110" s="221">
        <f t="shared" ref="H110:H141" si="184">F110*Vout</f>
        <v>5.0000000000000001E-9</v>
      </c>
      <c r="I110" s="221">
        <f t="shared" ref="I110:I141" si="185">Vout2*G110</f>
        <v>1E-3</v>
      </c>
      <c r="J110" s="551">
        <f t="shared" ref="J110:J173" si="186">VIN_min</f>
        <v>23</v>
      </c>
      <c r="K110" s="451">
        <f t="shared" ref="K110:K173" si="187">(S110+Vfwd1)*Nps</f>
        <v>10.64</v>
      </c>
      <c r="L110" s="451">
        <f t="shared" ref="L110:L173" si="188">(Vout+Vfwd1)*Nps+J110</f>
        <v>33.64</v>
      </c>
      <c r="M110" s="451"/>
      <c r="N110" s="221">
        <f t="shared" ref="N110:N173" si="189">(Vout+Vfwd1)*Nps/((Vout+Vfwd1)*Nps+J110)</f>
        <v>0.31629013079667062</v>
      </c>
      <c r="O110" s="176">
        <f t="shared" ref="O110:O141" si="190">N110*J110*Isw_max*0.5*Efficiency*Pout/(Pout+Pout2)</f>
        <v>11.184809750297264</v>
      </c>
      <c r="P110" s="176">
        <f t="shared" ref="P110:P141" si="191">N110*J110*Isw_max*0.5*Efficiency*(Pout2/Pout_total)</f>
        <v>2.6843543400713439</v>
      </c>
      <c r="Q110" s="221">
        <f t="shared" ref="Q110:Q173" si="192">O110/Vout</f>
        <v>2.2369619500594529</v>
      </c>
      <c r="R110" s="221">
        <f t="shared" ref="R110:R141" si="193">O110/Vout2</f>
        <v>2.2369619500594529</v>
      </c>
      <c r="S110" s="221">
        <f t="shared" ref="S110:S141" si="194">MIN(Vout,O110/F110)</f>
        <v>5</v>
      </c>
      <c r="T110" s="221">
        <f t="shared" ref="T110:T141" si="195">MIN(2*(Vout*F110+Vout2*G110)/(Efficiency*J110*N110), Isw_max)</f>
        <v>3.05475356870437E-4</v>
      </c>
      <c r="U110" s="221">
        <f t="shared" ref="U110:U173" si="196">L*T110/J110*1000000</f>
        <v>9.2970760786654729E-5</v>
      </c>
      <c r="V110" s="221">
        <f t="shared" ref="V110:V173" si="197">L*T110/K110*1000000</f>
        <v>2.0097062952002432E-4</v>
      </c>
      <c r="W110" s="201">
        <f t="shared" ref="W110:W173" si="198">IF(1/((350000*L)*(1/J110+1/K110))&gt;Isw_min, 350, 0.001/((Isw_min*L)*(1/J110+1/K110)))</f>
        <v>350</v>
      </c>
      <c r="X110" s="451">
        <f t="shared" ref="X110:X173" si="199">MIN(1/(U110+V110)*1000, 350)</f>
        <v>350</v>
      </c>
      <c r="Z110" s="221">
        <f t="shared" ref="Z110:Z173" si="200">1/((W110*1000*L)*(1/J110+1/K110))</f>
        <v>2.9692542891116021</v>
      </c>
      <c r="AA110" s="177">
        <f t="shared" ref="AA110:AA173" si="201">L*Z110/K110*1000000</f>
        <v>1.9534567691523697</v>
      </c>
      <c r="AB110" s="177">
        <f t="shared" ref="AB110:AB141" si="202">0.5*AA110*Z110*Nps*W110/1000*(Pout/(Pout+Pout2))</f>
        <v>1.6917570513665985</v>
      </c>
      <c r="AC110" s="177"/>
      <c r="AD110" s="177">
        <f t="shared" ref="AD110:AD173" si="203">L*Isw_min/K110*1000000</f>
        <v>0.53947368421052622</v>
      </c>
      <c r="AE110" s="555">
        <f t="shared" ref="AE110:AE141" si="204">MAX(10, F110/(0.5*AD110/1000000*Isw_min*Nps)/1000*Pout_total/Pout)</f>
        <v>10</v>
      </c>
      <c r="AF110" s="538">
        <f t="shared" ref="AF110:AF141" si="205">0.5*AD110/1000000*Isw_min*Nps*W110*1000*(Pout/Pout_total)</f>
        <v>0.15482894736842101</v>
      </c>
      <c r="AH110" s="177">
        <f t="shared" ref="AH110:AH141" si="206">SQRT((H110+I110)/(0.5*L*Fsw_DCM))</f>
        <v>2.8571499999910713E-2</v>
      </c>
      <c r="AI110" s="177">
        <f t="shared" ref="AI110:AI141" si="207">MAX(IF(F110&gt;AB110,T110,AH110),Isw_min)</f>
        <v>0.82</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0.24956521739130433</v>
      </c>
      <c r="AT110" s="5">
        <f t="shared" ref="AT110:AT114" si="214">AR110-AS110</f>
        <v>99.750434782608693</v>
      </c>
      <c r="AU110" s="177">
        <f t="shared" ref="AU110:AU114" si="215">AS110/AR110</f>
        <v>2.4956521739130434E-3</v>
      </c>
      <c r="AW110" s="5">
        <f t="shared" ref="AW110:AW169" si="216">F110*AS110/Vout_ripple*1000</f>
        <v>4.9913043478260867E-9</v>
      </c>
      <c r="AX110" s="5"/>
      <c r="AY110" s="5">
        <f t="shared" ref="AY110:AY169" si="217">G110*AS110/Vout_ripple2*1000</f>
        <v>9.982608695652173E-4</v>
      </c>
      <c r="AZ110" s="5"/>
      <c r="BA110" s="5">
        <f t="shared" ref="BA110:BA169" si="218">H110/Efficiency/J110*AT110/Vinripple1</f>
        <v>2.0078589932087091E-8</v>
      </c>
      <c r="BB110" s="5"/>
      <c r="BC110" s="5"/>
      <c r="BD110" s="177">
        <f t="shared" ref="BD110:BD169" si="219">AI110*SQRT(AU110/3)</f>
        <v>2.3650768287303271E-2</v>
      </c>
      <c r="BE110" s="177">
        <f t="shared" ref="BE110:BE169" si="220">AI110*Npri_sec1*SQRT((1-AU110)/3)*(Pout/Pout_total)</f>
        <v>0.94567219371778843</v>
      </c>
      <c r="BF110" s="177">
        <f t="shared" ref="BF110:BF169" si="221">AI110*Npri_sec2*SQRT((1-AU110)/3)*(Pout2/Pout_total)</f>
        <v>0.1891344387435577</v>
      </c>
      <c r="BG110" s="177"/>
      <c r="BH110" s="538">
        <f t="shared" ref="BH110:BH169" si="222">Rdson*BD110^2</f>
        <v>6.15294724637681E-5</v>
      </c>
      <c r="BI110" s="538">
        <f t="shared" ref="BI110:BI169" si="223">0.5*L110*AI110*AM110*1000*Trise</f>
        <v>1.3792399999999997E-3</v>
      </c>
      <c r="BJ110" s="538">
        <f t="shared" ref="BJ110:BJ169" si="224">Qg*Vdd*AM110*1000</f>
        <v>5.0000000000000001E-4</v>
      </c>
      <c r="BK110" s="538">
        <f t="shared" ref="BK110:BK169" si="225">0.5*(Coss+Csw)*L110^2*AM110*1000</f>
        <v>2.5462115999999998E-3</v>
      </c>
      <c r="BL110">
        <f t="shared" ref="BL110:BL169" si="226">J110*IQ</f>
        <v>6.6699999999999997E-3</v>
      </c>
      <c r="BM110">
        <f t="shared" ref="BM110:BM141" si="227">(J110-Vdd)*Qg*AM110</f>
        <v>1.7999999999999999E-6</v>
      </c>
      <c r="BN110">
        <f t="shared" ref="BN110:BN141" si="228">(BI110+BJ110+BK110+BL110+BM110+BH110*(1+RdsonTC*(Ta-25)))/(1-BH110*RdsonTC*ThetaJA)</f>
        <v>1.1167214323559126E-2</v>
      </c>
      <c r="BO110" s="469">
        <f t="shared" ref="BO110:BO169" si="229">SUM(BH110:BL110)*1000</f>
        <v>11.156981072463768</v>
      </c>
      <c r="BP110" s="177">
        <f t="shared" ref="BP110:BP169" si="230">Vfwd2*F110</f>
        <v>4.0000000000000007E-10</v>
      </c>
      <c r="BQ110" s="177">
        <f t="shared" ref="BQ110:BQ169" si="231">Vfwd2*G110</f>
        <v>8.0000000000000007E-5</v>
      </c>
      <c r="BR110" s="538"/>
      <c r="BT110" s="469">
        <f t="shared" ref="BT110:BT169" si="232">SUM(BP110:BS110)*1000</f>
        <v>8.0000400000000013E-2</v>
      </c>
      <c r="BU110" s="538">
        <f t="shared" ref="BU110:BU169" si="233">Rdcr_pri*BD110^2</f>
        <v>5.5935884057971007E-5</v>
      </c>
      <c r="BV110" s="538">
        <f t="shared" ref="BV110:BV169" si="234">Rdcr_sec*BE110^2</f>
        <v>2.6828876939130431E-2</v>
      </c>
      <c r="BW110" s="538">
        <f t="shared" ref="BW110:BW169" si="235">Rdcr_sec2*BF110^2</f>
        <v>1.7885917959420293E-3</v>
      </c>
      <c r="BX110" s="538">
        <f t="shared" ref="BX110:BX169" si="236">AI110^2.5*AM110^2.5*k_core</f>
        <v>0</v>
      </c>
      <c r="BY110" s="538">
        <f t="shared" si="180"/>
        <v>3.218804844839096E-2</v>
      </c>
      <c r="BZ110" s="538">
        <f t="shared" si="166"/>
        <v>2.8673404619130434E-2</v>
      </c>
      <c r="CA110" s="641">
        <f t="shared" ref="CA110:CA141" si="237">0.5*Lleak*0.000000001*AI110^2*AM110*1000</f>
        <v>3.3619999999999999E-4</v>
      </c>
      <c r="CB110" s="469">
        <f t="shared" ref="CB110:CB169" si="238">SUM(BU110:CA110)*1000</f>
        <v>89.871057686651824</v>
      </c>
      <c r="CC110" s="177">
        <f t="shared" si="168"/>
        <v>4.377146317195009E-2</v>
      </c>
      <c r="CD110" s="5">
        <f t="shared" ref="CD110:CD169" si="239">MIN(H110+I110,O110+P110)</f>
        <v>1.000005E-3</v>
      </c>
      <c r="CE110" s="177">
        <f t="shared" ref="CE110:CE169" si="240">CD110/(CD110+CC110)</f>
        <v>2.233576518329404E-2</v>
      </c>
      <c r="CF110" s="5">
        <f t="shared" ref="CF110:CF169" si="241">CE110*100</f>
        <v>2.2335765183294041</v>
      </c>
      <c r="CG110">
        <f t="shared" ref="CG110:CG169" si="242">F110/Iout*100</f>
        <v>1.0000000000000001E-7</v>
      </c>
      <c r="CI110" s="571">
        <f t="shared" ref="CI110:CI141" si="243">IF(ABS(F110-Ioutmax_Vinmin)&lt;Iout/200, AM110, -50)</f>
        <v>-50</v>
      </c>
      <c r="CJ110">
        <f t="shared" ref="CJ110:CJ141" si="244">IF(ABS(F110-Ioutmax_Vinmin)&lt;Iout/200, (O110+P110)*CE110, -50)</f>
        <v>-50</v>
      </c>
    </row>
    <row r="111" spans="5:88" x14ac:dyDescent="0.2">
      <c r="E111" s="174">
        <v>1</v>
      </c>
      <c r="F111" s="221">
        <f t="shared" ref="F111:F142" si="245">IF(PLOT_TYPE=1, E111/100*Iout_max, min_I*EXP(O111*rr/100))</f>
        <v>0.01</v>
      </c>
      <c r="G111" s="221">
        <f t="shared" si="183"/>
        <v>2E-3</v>
      </c>
      <c r="H111" s="221">
        <f t="shared" si="184"/>
        <v>0.05</v>
      </c>
      <c r="I111" s="221">
        <f t="shared" si="185"/>
        <v>0.01</v>
      </c>
      <c r="J111" s="551">
        <f t="shared" si="186"/>
        <v>23</v>
      </c>
      <c r="K111" s="451">
        <f t="shared" si="187"/>
        <v>10.64</v>
      </c>
      <c r="L111" s="451">
        <f t="shared" si="188"/>
        <v>33.64</v>
      </c>
      <c r="M111" s="451"/>
      <c r="N111" s="221">
        <f t="shared" si="189"/>
        <v>0.31629013079667062</v>
      </c>
      <c r="O111" s="176">
        <f t="shared" si="190"/>
        <v>11.184809750297264</v>
      </c>
      <c r="P111" s="176">
        <f t="shared" si="191"/>
        <v>2.6843543400713439</v>
      </c>
      <c r="Q111" s="221">
        <f t="shared" si="192"/>
        <v>2.2369619500594529</v>
      </c>
      <c r="R111" s="221">
        <f t="shared" si="193"/>
        <v>2.2369619500594529</v>
      </c>
      <c r="S111" s="221">
        <f t="shared" si="194"/>
        <v>5</v>
      </c>
      <c r="T111" s="221">
        <f t="shared" si="195"/>
        <v>1.832842977007737E-2</v>
      </c>
      <c r="U111" s="221">
        <f t="shared" si="196"/>
        <v>5.578217756110504E-3</v>
      </c>
      <c r="V111" s="221">
        <f t="shared" si="197"/>
        <v>1.2058177480314059E-2</v>
      </c>
      <c r="W111" s="201">
        <f t="shared" si="198"/>
        <v>350</v>
      </c>
      <c r="X111" s="451">
        <f t="shared" si="199"/>
        <v>350</v>
      </c>
      <c r="Z111" s="221">
        <f t="shared" si="200"/>
        <v>2.9692542891116021</v>
      </c>
      <c r="AA111" s="177">
        <f t="shared" si="201"/>
        <v>1.9534567691523697</v>
      </c>
      <c r="AB111" s="177">
        <f t="shared" si="202"/>
        <v>1.6917570513665985</v>
      </c>
      <c r="AC111" s="177"/>
      <c r="AD111" s="177">
        <f t="shared" si="203"/>
        <v>0.53947368421052622</v>
      </c>
      <c r="AE111" s="555">
        <f t="shared" si="204"/>
        <v>22.605591909577637</v>
      </c>
      <c r="AF111" s="538">
        <f t="shared" si="205"/>
        <v>0.15482894736842101</v>
      </c>
      <c r="AH111" s="177">
        <f t="shared" si="206"/>
        <v>0.22131333406899525</v>
      </c>
      <c r="AI111" s="177">
        <f t="shared" si="207"/>
        <v>0.82</v>
      </c>
      <c r="AJ111" s="177">
        <f t="shared" si="208"/>
        <v>1.0129174810911872</v>
      </c>
      <c r="AL111" s="555">
        <f t="shared" si="209"/>
        <v>10</v>
      </c>
      <c r="AM111" s="469">
        <f t="shared" si="210"/>
        <v>22.605591909577637</v>
      </c>
      <c r="AO111" s="469">
        <f t="shared" si="211"/>
        <v>10</v>
      </c>
      <c r="AP111" s="469">
        <f t="shared" si="212"/>
        <v>22.605591909577637</v>
      </c>
      <c r="AR111" s="5">
        <f t="shared" si="160"/>
        <v>44.23684210526315</v>
      </c>
      <c r="AS111" s="5">
        <f t="shared" si="213"/>
        <v>0.24956521739130433</v>
      </c>
      <c r="AT111" s="5">
        <f t="shared" si="214"/>
        <v>43.987276887871843</v>
      </c>
      <c r="AU111" s="177">
        <f t="shared" si="215"/>
        <v>5.6415694591728533E-3</v>
      </c>
      <c r="AW111" s="5">
        <f t="shared" si="216"/>
        <v>4.9913043478260873E-2</v>
      </c>
      <c r="AX111" s="5"/>
      <c r="AY111" s="5">
        <f t="shared" si="217"/>
        <v>9.9826086956521735E-3</v>
      </c>
      <c r="AZ111" s="5"/>
      <c r="BA111" s="5">
        <f t="shared" si="218"/>
        <v>8.8541217568180036E-2</v>
      </c>
      <c r="BB111" s="5"/>
      <c r="BC111" s="5"/>
      <c r="BD111" s="177">
        <f t="shared" si="219"/>
        <v>3.5559299319811437E-2</v>
      </c>
      <c r="BE111" s="177">
        <f t="shared" si="220"/>
        <v>0.94417979127964258</v>
      </c>
      <c r="BF111" s="177">
        <f t="shared" si="221"/>
        <v>0.18883595825592853</v>
      </c>
      <c r="BG111" s="177"/>
      <c r="BH111" s="538">
        <f t="shared" si="222"/>
        <v>1.3909101449275364E-4</v>
      </c>
      <c r="BI111" s="538">
        <f t="shared" si="223"/>
        <v>3.1178536585365858E-3</v>
      </c>
      <c r="BJ111" s="538">
        <f t="shared" si="224"/>
        <v>1.1302795954788818E-3</v>
      </c>
      <c r="BK111" s="538">
        <f t="shared" si="225"/>
        <v>5.7558620345032731E-3</v>
      </c>
      <c r="BL111">
        <f t="shared" si="226"/>
        <v>6.6699999999999997E-3</v>
      </c>
      <c r="BM111">
        <f t="shared" si="227"/>
        <v>4.0690065437239744E-6</v>
      </c>
      <c r="BN111">
        <f t="shared" si="228"/>
        <v>1.6836364656220692E-2</v>
      </c>
      <c r="BO111" s="469">
        <f t="shared" si="229"/>
        <v>16.813086303011492</v>
      </c>
      <c r="BP111" s="177">
        <f t="shared" si="230"/>
        <v>4.0000000000000001E-3</v>
      </c>
      <c r="BQ111" s="177">
        <f t="shared" si="231"/>
        <v>8.0000000000000004E-4</v>
      </c>
      <c r="BR111" s="538"/>
      <c r="BT111" s="469">
        <f t="shared" si="232"/>
        <v>4.8000000000000007</v>
      </c>
      <c r="BU111" s="538">
        <f t="shared" si="233"/>
        <v>1.2644637681159422E-4</v>
      </c>
      <c r="BV111" s="538">
        <f t="shared" si="234"/>
        <v>2.6744264347826081E-2</v>
      </c>
      <c r="BW111" s="538">
        <f t="shared" si="235"/>
        <v>1.7829509565217391E-3</v>
      </c>
      <c r="BX111" s="538">
        <f t="shared" si="236"/>
        <v>0</v>
      </c>
      <c r="BY111" s="538">
        <f t="shared" si="180"/>
        <v>3.2165834598280249E-2</v>
      </c>
      <c r="BZ111" s="538">
        <f t="shared" si="166"/>
        <v>2.8653661681159414E-2</v>
      </c>
      <c r="CA111" s="641">
        <f t="shared" si="237"/>
        <v>7.6000000000000015E-4</v>
      </c>
      <c r="CB111" s="469">
        <f t="shared" si="238"/>
        <v>90.233157960599087</v>
      </c>
      <c r="CC111" s="177">
        <f t="shared" si="168"/>
        <v>5.456219925450094E-2</v>
      </c>
      <c r="CD111" s="5">
        <f t="shared" si="239"/>
        <v>6.0000000000000005E-2</v>
      </c>
      <c r="CE111" s="177">
        <f t="shared" si="240"/>
        <v>0.52373296244697143</v>
      </c>
      <c r="CF111" s="5">
        <f t="shared" si="241"/>
        <v>52.373296244697144</v>
      </c>
      <c r="CG111">
        <f t="shared" si="242"/>
        <v>1</v>
      </c>
      <c r="CI111" s="571">
        <f t="shared" si="243"/>
        <v>-50</v>
      </c>
      <c r="CJ111">
        <f t="shared" si="244"/>
        <v>-50</v>
      </c>
    </row>
    <row r="112" spans="5:88" x14ac:dyDescent="0.2">
      <c r="E112" s="174">
        <v>2</v>
      </c>
      <c r="F112" s="221">
        <f t="shared" si="245"/>
        <v>0.02</v>
      </c>
      <c r="G112" s="221">
        <f t="shared" si="183"/>
        <v>4.0000000000000001E-3</v>
      </c>
      <c r="H112" s="221">
        <f t="shared" si="184"/>
        <v>0.1</v>
      </c>
      <c r="I112" s="221">
        <f t="shared" si="185"/>
        <v>0.02</v>
      </c>
      <c r="J112" s="551">
        <f t="shared" si="186"/>
        <v>23</v>
      </c>
      <c r="K112" s="451">
        <f t="shared" si="187"/>
        <v>10.64</v>
      </c>
      <c r="L112" s="451">
        <f t="shared" si="188"/>
        <v>33.64</v>
      </c>
      <c r="M112" s="451"/>
      <c r="N112" s="221">
        <f t="shared" si="189"/>
        <v>0.31629013079667062</v>
      </c>
      <c r="O112" s="176">
        <f t="shared" si="190"/>
        <v>11.184809750297264</v>
      </c>
      <c r="P112" s="176">
        <f t="shared" si="191"/>
        <v>2.6843543400713439</v>
      </c>
      <c r="Q112" s="221">
        <f t="shared" si="192"/>
        <v>2.2369619500594529</v>
      </c>
      <c r="R112" s="221">
        <f t="shared" si="193"/>
        <v>2.2369619500594529</v>
      </c>
      <c r="S112" s="221">
        <f t="shared" si="194"/>
        <v>5</v>
      </c>
      <c r="T112" s="221">
        <f t="shared" si="195"/>
        <v>3.665685954015474E-2</v>
      </c>
      <c r="U112" s="221">
        <f t="shared" si="196"/>
        <v>1.1156435512221008E-2</v>
      </c>
      <c r="V112" s="221">
        <f t="shared" si="197"/>
        <v>2.4116354960628118E-2</v>
      </c>
      <c r="W112" s="201">
        <f t="shared" si="198"/>
        <v>350</v>
      </c>
      <c r="X112" s="451">
        <f t="shared" si="199"/>
        <v>350</v>
      </c>
      <c r="Z112" s="221">
        <f t="shared" si="200"/>
        <v>2.9692542891116021</v>
      </c>
      <c r="AA112" s="177">
        <f t="shared" si="201"/>
        <v>1.9534567691523697</v>
      </c>
      <c r="AB112" s="177">
        <f t="shared" si="202"/>
        <v>1.6917570513665985</v>
      </c>
      <c r="AC112" s="177"/>
      <c r="AD112" s="177">
        <f t="shared" si="203"/>
        <v>0.53947368421052622</v>
      </c>
      <c r="AE112" s="555">
        <f t="shared" si="204"/>
        <v>45.211183819155274</v>
      </c>
      <c r="AF112" s="538">
        <f t="shared" si="205"/>
        <v>0.15482894736842101</v>
      </c>
      <c r="AH112" s="177">
        <f t="shared" si="206"/>
        <v>0.31298431857438064</v>
      </c>
      <c r="AI112" s="177">
        <f t="shared" si="207"/>
        <v>0.82</v>
      </c>
      <c r="AJ112" s="177">
        <f t="shared" si="208"/>
        <v>1.0258349621823744</v>
      </c>
      <c r="AL112" s="555">
        <f t="shared" si="209"/>
        <v>20</v>
      </c>
      <c r="AM112" s="469">
        <f t="shared" si="210"/>
        <v>45.211183819155274</v>
      </c>
      <c r="AO112" s="469">
        <f t="shared" si="211"/>
        <v>20</v>
      </c>
      <c r="AP112" s="469">
        <f t="shared" si="212"/>
        <v>45.211183819155274</v>
      </c>
      <c r="AR112" s="5">
        <f t="shared" si="160"/>
        <v>22.118421052631575</v>
      </c>
      <c r="AS112" s="5">
        <f t="shared" si="213"/>
        <v>0.24956521739130433</v>
      </c>
      <c r="AT112" s="5">
        <f t="shared" si="214"/>
        <v>21.868855835240272</v>
      </c>
      <c r="AU112" s="177">
        <f t="shared" si="215"/>
        <v>1.1283138918345707E-2</v>
      </c>
      <c r="AW112" s="5">
        <f t="shared" si="216"/>
        <v>9.9826086956521745E-2</v>
      </c>
      <c r="AX112" s="5"/>
      <c r="AY112" s="5">
        <f t="shared" si="217"/>
        <v>1.9965217391304347E-2</v>
      </c>
      <c r="AZ112" s="5"/>
      <c r="BA112" s="5">
        <f t="shared" si="218"/>
        <v>8.8038872122545381E-2</v>
      </c>
      <c r="BB112" s="5"/>
      <c r="BC112" s="5"/>
      <c r="BD112" s="177">
        <f t="shared" si="219"/>
        <v>5.0288443366561707E-2</v>
      </c>
      <c r="BE112" s="177">
        <f t="shared" si="220"/>
        <v>0.94149754284777909</v>
      </c>
      <c r="BF112" s="177">
        <f t="shared" si="221"/>
        <v>0.18829950856955582</v>
      </c>
      <c r="BG112" s="177"/>
      <c r="BH112" s="538">
        <f t="shared" si="222"/>
        <v>2.7818202898550727E-4</v>
      </c>
      <c r="BI112" s="538">
        <f t="shared" si="223"/>
        <v>6.2357073170731716E-3</v>
      </c>
      <c r="BJ112" s="538">
        <f t="shared" si="224"/>
        <v>2.2605591909577636E-3</v>
      </c>
      <c r="BK112" s="538">
        <f t="shared" si="225"/>
        <v>1.1511724069006546E-2</v>
      </c>
      <c r="BL112">
        <f t="shared" si="226"/>
        <v>6.6699999999999997E-3</v>
      </c>
      <c r="BM112">
        <f t="shared" si="227"/>
        <v>8.1380130874479487E-6</v>
      </c>
      <c r="BN112">
        <f t="shared" si="228"/>
        <v>2.7003251123663446E-2</v>
      </c>
      <c r="BO112" s="469">
        <f t="shared" si="229"/>
        <v>26.956172606022985</v>
      </c>
      <c r="BP112" s="177">
        <f t="shared" si="230"/>
        <v>8.0000000000000002E-3</v>
      </c>
      <c r="BQ112" s="177">
        <f t="shared" si="231"/>
        <v>1.6000000000000001E-3</v>
      </c>
      <c r="BR112" s="538"/>
      <c r="BT112" s="469">
        <f t="shared" si="232"/>
        <v>9.6000000000000014</v>
      </c>
      <c r="BU112" s="538">
        <f t="shared" si="233"/>
        <v>2.5289275362318843E-4</v>
      </c>
      <c r="BV112" s="538">
        <f t="shared" si="234"/>
        <v>2.6592528695652169E-2</v>
      </c>
      <c r="BW112" s="538">
        <f t="shared" si="235"/>
        <v>1.7728352463768115E-3</v>
      </c>
      <c r="BX112" s="538">
        <f t="shared" si="236"/>
        <v>0</v>
      </c>
      <c r="BY112" s="538">
        <f t="shared" si="180"/>
        <v>3.212599870533471E-2</v>
      </c>
      <c r="BZ112" s="538">
        <f t="shared" si="166"/>
        <v>2.8618256695652169E-2</v>
      </c>
      <c r="CA112" s="641">
        <f t="shared" si="237"/>
        <v>1.5200000000000003E-3</v>
      </c>
      <c r="CB112" s="469">
        <f t="shared" si="238"/>
        <v>90.882512096639047</v>
      </c>
      <c r="CC112" s="177">
        <f t="shared" si="168"/>
        <v>7.0249249828998148E-2</v>
      </c>
      <c r="CD112" s="5">
        <f t="shared" si="239"/>
        <v>0.12000000000000001</v>
      </c>
      <c r="CE112" s="177">
        <f t="shared" si="240"/>
        <v>0.63075150155840132</v>
      </c>
      <c r="CF112" s="5">
        <f t="shared" si="241"/>
        <v>63.075150155840134</v>
      </c>
      <c r="CG112">
        <f t="shared" si="242"/>
        <v>2</v>
      </c>
      <c r="CI112" s="571">
        <f t="shared" si="243"/>
        <v>-50</v>
      </c>
      <c r="CJ112">
        <f t="shared" si="244"/>
        <v>-50</v>
      </c>
    </row>
    <row r="113" spans="5:88" x14ac:dyDescent="0.2">
      <c r="E113" s="174">
        <v>3</v>
      </c>
      <c r="F113" s="221">
        <f t="shared" si="245"/>
        <v>0.03</v>
      </c>
      <c r="G113" s="221">
        <f t="shared" si="183"/>
        <v>6.0000000000000001E-3</v>
      </c>
      <c r="H113" s="221">
        <f t="shared" si="184"/>
        <v>0.15</v>
      </c>
      <c r="I113" s="221">
        <f t="shared" si="185"/>
        <v>0.03</v>
      </c>
      <c r="J113" s="551">
        <f t="shared" si="186"/>
        <v>23</v>
      </c>
      <c r="K113" s="451">
        <f t="shared" si="187"/>
        <v>10.64</v>
      </c>
      <c r="L113" s="451">
        <f t="shared" si="188"/>
        <v>33.64</v>
      </c>
      <c r="M113" s="451"/>
      <c r="N113" s="221">
        <f t="shared" si="189"/>
        <v>0.31629013079667062</v>
      </c>
      <c r="O113" s="176">
        <f t="shared" si="190"/>
        <v>11.184809750297264</v>
      </c>
      <c r="P113" s="176">
        <f t="shared" si="191"/>
        <v>2.6843543400713439</v>
      </c>
      <c r="Q113" s="221">
        <f t="shared" si="192"/>
        <v>2.2369619500594529</v>
      </c>
      <c r="R113" s="221">
        <f t="shared" si="193"/>
        <v>2.2369619500594529</v>
      </c>
      <c r="S113" s="221">
        <f t="shared" si="194"/>
        <v>5</v>
      </c>
      <c r="T113" s="221">
        <f t="shared" si="195"/>
        <v>5.4985289310232104E-2</v>
      </c>
      <c r="U113" s="221">
        <f t="shared" si="196"/>
        <v>1.6734653268331512E-2</v>
      </c>
      <c r="V113" s="221">
        <f t="shared" si="197"/>
        <v>3.6174532440942174E-2</v>
      </c>
      <c r="W113" s="201">
        <f t="shared" si="198"/>
        <v>350</v>
      </c>
      <c r="X113" s="451">
        <f t="shared" si="199"/>
        <v>350</v>
      </c>
      <c r="Z113" s="221">
        <f t="shared" si="200"/>
        <v>2.9692542891116021</v>
      </c>
      <c r="AA113" s="177">
        <f t="shared" si="201"/>
        <v>1.9534567691523697</v>
      </c>
      <c r="AB113" s="177">
        <f t="shared" si="202"/>
        <v>1.6917570513665985</v>
      </c>
      <c r="AC113" s="177"/>
      <c r="AD113" s="177">
        <f t="shared" si="203"/>
        <v>0.53947368421052622</v>
      </c>
      <c r="AE113" s="555">
        <f t="shared" si="204"/>
        <v>67.816775728732907</v>
      </c>
      <c r="AF113" s="538">
        <f t="shared" si="205"/>
        <v>0.15482894736842101</v>
      </c>
      <c r="AH113" s="177">
        <f t="shared" si="206"/>
        <v>0.38332593899996392</v>
      </c>
      <c r="AI113" s="177">
        <f t="shared" si="207"/>
        <v>0.82</v>
      </c>
      <c r="AJ113" s="177">
        <f t="shared" si="208"/>
        <v>1.0387524432735618</v>
      </c>
      <c r="AL113" s="555">
        <f t="shared" si="209"/>
        <v>30</v>
      </c>
      <c r="AM113" s="469">
        <f t="shared" si="210"/>
        <v>67.816775728732907</v>
      </c>
      <c r="AO113" s="469">
        <f t="shared" si="211"/>
        <v>30</v>
      </c>
      <c r="AP113" s="469">
        <f t="shared" si="212"/>
        <v>67.816775728732907</v>
      </c>
      <c r="AR113" s="5">
        <f t="shared" si="160"/>
        <v>14.745614035087716</v>
      </c>
      <c r="AS113" s="5">
        <f t="shared" si="213"/>
        <v>0.24956521739130433</v>
      </c>
      <c r="AT113" s="5">
        <f t="shared" si="214"/>
        <v>14.496048817696412</v>
      </c>
      <c r="AU113" s="177">
        <f t="shared" si="215"/>
        <v>1.6924708377518562E-2</v>
      </c>
      <c r="AW113" s="5">
        <f t="shared" si="216"/>
        <v>0.1497391304347826</v>
      </c>
      <c r="AX113" s="5"/>
      <c r="AY113" s="5">
        <f t="shared" si="217"/>
        <v>2.9947826086956519E-2</v>
      </c>
      <c r="AZ113" s="5"/>
      <c r="BA113" s="5">
        <f t="shared" si="218"/>
        <v>8.753652667691067E-2</v>
      </c>
      <c r="BB113" s="5"/>
      <c r="BC113" s="5"/>
      <c r="BD113" s="177">
        <f t="shared" si="219"/>
        <v>6.1590513103462835E-2</v>
      </c>
      <c r="BE113" s="177">
        <f t="shared" si="220"/>
        <v>0.93880763104905673</v>
      </c>
      <c r="BF113" s="177">
        <f t="shared" si="221"/>
        <v>0.18776152620981135</v>
      </c>
      <c r="BG113" s="177"/>
      <c r="BH113" s="538">
        <f t="shared" si="222"/>
        <v>4.1727304347826099E-4</v>
      </c>
      <c r="BI113" s="538">
        <f t="shared" si="223"/>
        <v>9.3535609756097565E-3</v>
      </c>
      <c r="BJ113" s="538">
        <f t="shared" si="224"/>
        <v>3.3908387864366452E-3</v>
      </c>
      <c r="BK113" s="538">
        <f t="shared" si="225"/>
        <v>1.726758610350982E-2</v>
      </c>
      <c r="BL113">
        <f t="shared" si="226"/>
        <v>6.6699999999999997E-3</v>
      </c>
      <c r="BM113">
        <f t="shared" si="227"/>
        <v>1.2207019631171922E-5</v>
      </c>
      <c r="BN113">
        <f t="shared" si="228"/>
        <v>3.7170659442503952E-2</v>
      </c>
      <c r="BO113" s="469">
        <f t="shared" si="229"/>
        <v>37.099258909034482</v>
      </c>
      <c r="BP113" s="177">
        <f t="shared" si="230"/>
        <v>1.2E-2</v>
      </c>
      <c r="BQ113" s="177">
        <f t="shared" si="231"/>
        <v>2.4000000000000002E-3</v>
      </c>
      <c r="BR113" s="538"/>
      <c r="BT113" s="469">
        <f t="shared" si="232"/>
        <v>14.4</v>
      </c>
      <c r="BU113" s="538">
        <f t="shared" si="233"/>
        <v>3.7933913043478273E-4</v>
      </c>
      <c r="BV113" s="538">
        <f t="shared" si="234"/>
        <v>2.6440793043478256E-2</v>
      </c>
      <c r="BW113" s="538">
        <f t="shared" si="235"/>
        <v>1.7627195362318838E-3</v>
      </c>
      <c r="BX113" s="538">
        <f t="shared" si="236"/>
        <v>0</v>
      </c>
      <c r="BY113" s="538">
        <f t="shared" si="180"/>
        <v>3.2086163038568635E-2</v>
      </c>
      <c r="BZ113" s="538">
        <f t="shared" si="166"/>
        <v>2.8582851710144925E-2</v>
      </c>
      <c r="CA113" s="641">
        <f t="shared" si="237"/>
        <v>2.2800000000000003E-3</v>
      </c>
      <c r="CB113" s="469">
        <f t="shared" si="238"/>
        <v>91.531866458858488</v>
      </c>
      <c r="CC113" s="177">
        <f t="shared" si="168"/>
        <v>8.5936822481072594E-2</v>
      </c>
      <c r="CD113" s="5">
        <f t="shared" si="239"/>
        <v>0.18</v>
      </c>
      <c r="CE113" s="177">
        <f t="shared" si="240"/>
        <v>0.67685248819881294</v>
      </c>
      <c r="CF113" s="5">
        <f t="shared" si="241"/>
        <v>67.685248819881295</v>
      </c>
      <c r="CG113">
        <f t="shared" si="242"/>
        <v>3</v>
      </c>
      <c r="CI113" s="571">
        <f t="shared" si="243"/>
        <v>-50</v>
      </c>
      <c r="CJ113">
        <f t="shared" si="244"/>
        <v>-50</v>
      </c>
    </row>
    <row r="114" spans="5:88" x14ac:dyDescent="0.2">
      <c r="E114" s="174">
        <v>4</v>
      </c>
      <c r="F114" s="221">
        <f t="shared" si="245"/>
        <v>0.04</v>
      </c>
      <c r="G114" s="221">
        <f t="shared" si="183"/>
        <v>8.0000000000000002E-3</v>
      </c>
      <c r="H114" s="221">
        <f t="shared" si="184"/>
        <v>0.2</v>
      </c>
      <c r="I114" s="221">
        <f t="shared" si="185"/>
        <v>0.04</v>
      </c>
      <c r="J114" s="551">
        <f t="shared" si="186"/>
        <v>23</v>
      </c>
      <c r="K114" s="451">
        <f t="shared" si="187"/>
        <v>10.64</v>
      </c>
      <c r="L114" s="451">
        <f t="shared" si="188"/>
        <v>33.64</v>
      </c>
      <c r="M114" s="451"/>
      <c r="N114" s="221">
        <f t="shared" si="189"/>
        <v>0.31629013079667062</v>
      </c>
      <c r="O114" s="176">
        <f t="shared" si="190"/>
        <v>11.184809750297264</v>
      </c>
      <c r="P114" s="176">
        <f t="shared" si="191"/>
        <v>2.6843543400713439</v>
      </c>
      <c r="Q114" s="221">
        <f t="shared" si="192"/>
        <v>2.2369619500594529</v>
      </c>
      <c r="R114" s="221">
        <f t="shared" si="193"/>
        <v>2.2369619500594529</v>
      </c>
      <c r="S114" s="221">
        <f t="shared" si="194"/>
        <v>5</v>
      </c>
      <c r="T114" s="221">
        <f t="shared" si="195"/>
        <v>7.3313719080309481E-2</v>
      </c>
      <c r="U114" s="221">
        <f t="shared" si="196"/>
        <v>2.2312871024442016E-2</v>
      </c>
      <c r="V114" s="221">
        <f t="shared" si="197"/>
        <v>4.8232709921256237E-2</v>
      </c>
      <c r="W114" s="201">
        <f t="shared" si="198"/>
        <v>350</v>
      </c>
      <c r="X114" s="451">
        <f t="shared" si="199"/>
        <v>350</v>
      </c>
      <c r="Z114" s="221">
        <f t="shared" si="200"/>
        <v>2.9692542891116021</v>
      </c>
      <c r="AA114" s="177">
        <f t="shared" si="201"/>
        <v>1.9534567691523697</v>
      </c>
      <c r="AB114" s="177">
        <f t="shared" si="202"/>
        <v>1.6917570513665985</v>
      </c>
      <c r="AC114" s="177"/>
      <c r="AD114" s="177">
        <f t="shared" si="203"/>
        <v>0.53947368421052622</v>
      </c>
      <c r="AE114" s="555">
        <f t="shared" si="204"/>
        <v>90.422367638310547</v>
      </c>
      <c r="AF114" s="538">
        <f t="shared" si="205"/>
        <v>0.15482894736842101</v>
      </c>
      <c r="AH114" s="177">
        <f t="shared" si="206"/>
        <v>0.44262666813799051</v>
      </c>
      <c r="AI114" s="177">
        <f t="shared" si="207"/>
        <v>0.82</v>
      </c>
      <c r="AJ114" s="177">
        <f t="shared" si="208"/>
        <v>1.0516699243647489</v>
      </c>
      <c r="AL114" s="555">
        <f t="shared" si="209"/>
        <v>40</v>
      </c>
      <c r="AM114" s="469">
        <f t="shared" si="210"/>
        <v>90.422367638310547</v>
      </c>
      <c r="AO114" s="469">
        <f t="shared" si="211"/>
        <v>40</v>
      </c>
      <c r="AP114" s="469">
        <f t="shared" si="212"/>
        <v>90.422367638310547</v>
      </c>
      <c r="AR114" s="5">
        <f t="shared" si="160"/>
        <v>11.059210526315788</v>
      </c>
      <c r="AS114" s="5">
        <f t="shared" si="213"/>
        <v>0.24956521739130433</v>
      </c>
      <c r="AT114" s="5">
        <f t="shared" si="214"/>
        <v>10.809645308924484</v>
      </c>
      <c r="AU114" s="177">
        <f t="shared" si="215"/>
        <v>2.2566277836691413E-2</v>
      </c>
      <c r="AW114" s="5">
        <f t="shared" si="216"/>
        <v>0.19965217391304349</v>
      </c>
      <c r="AX114" s="5"/>
      <c r="AY114" s="5">
        <f t="shared" si="217"/>
        <v>3.9930434782608694E-2</v>
      </c>
      <c r="AZ114" s="5"/>
      <c r="BA114" s="5">
        <f t="shared" si="218"/>
        <v>8.7034181231276042E-2</v>
      </c>
      <c r="BB114" s="5"/>
      <c r="BC114" s="5"/>
      <c r="BD114" s="177">
        <f t="shared" si="219"/>
        <v>7.1118598639622874E-2</v>
      </c>
      <c r="BE114" s="177">
        <f t="shared" si="220"/>
        <v>0.93610998982143023</v>
      </c>
      <c r="BF114" s="177">
        <f t="shared" si="221"/>
        <v>0.18722199796428607</v>
      </c>
      <c r="BG114" s="177"/>
      <c r="BH114" s="538">
        <f t="shared" si="222"/>
        <v>5.5636405797101455E-4</v>
      </c>
      <c r="BI114" s="538">
        <f t="shared" si="223"/>
        <v>1.2471414634146343E-2</v>
      </c>
      <c r="BJ114" s="538">
        <f t="shared" si="224"/>
        <v>4.5211183819155272E-3</v>
      </c>
      <c r="BK114" s="538">
        <f t="shared" si="225"/>
        <v>2.3023448138013092E-2</v>
      </c>
      <c r="BL114">
        <f t="shared" si="226"/>
        <v>6.6699999999999997E-3</v>
      </c>
      <c r="BM114">
        <f t="shared" si="227"/>
        <v>1.6276026174895897E-5</v>
      </c>
      <c r="BN114">
        <f t="shared" si="228"/>
        <v>4.7338589652922064E-2</v>
      </c>
      <c r="BO114" s="469">
        <f t="shared" si="229"/>
        <v>47.242345212045976</v>
      </c>
      <c r="BP114" s="177">
        <f t="shared" si="230"/>
        <v>1.6E-2</v>
      </c>
      <c r="BQ114" s="177">
        <f t="shared" si="231"/>
        <v>3.2000000000000002E-3</v>
      </c>
      <c r="BR114" s="538"/>
      <c r="BT114" s="469">
        <f t="shared" si="232"/>
        <v>19.200000000000003</v>
      </c>
      <c r="BU114" s="538">
        <f t="shared" si="233"/>
        <v>5.0578550724637687E-4</v>
      </c>
      <c r="BV114" s="538">
        <f t="shared" si="234"/>
        <v>2.6289057391304348E-2</v>
      </c>
      <c r="BW114" s="538">
        <f t="shared" si="235"/>
        <v>1.752603826086957E-3</v>
      </c>
      <c r="BX114" s="538">
        <f t="shared" si="236"/>
        <v>0</v>
      </c>
      <c r="BY114" s="538">
        <f t="shared" si="180"/>
        <v>3.2046327597980095E-2</v>
      </c>
      <c r="BZ114" s="538">
        <f t="shared" si="166"/>
        <v>2.8547446724637684E-2</v>
      </c>
      <c r="CA114" s="641">
        <f t="shared" si="237"/>
        <v>3.0400000000000006E-3</v>
      </c>
      <c r="CB114" s="469">
        <f t="shared" si="238"/>
        <v>92.181221047255477</v>
      </c>
      <c r="CC114" s="177">
        <f t="shared" si="168"/>
        <v>0.10162491725090216</v>
      </c>
      <c r="CD114" s="5">
        <f t="shared" si="239"/>
        <v>0.24000000000000002</v>
      </c>
      <c r="CE114" s="177">
        <f t="shared" si="240"/>
        <v>0.7025248683009121</v>
      </c>
      <c r="CF114" s="5">
        <f t="shared" si="241"/>
        <v>70.252486830091215</v>
      </c>
      <c r="CG114">
        <f t="shared" si="242"/>
        <v>4</v>
      </c>
      <c r="CI114" s="571">
        <f t="shared" si="243"/>
        <v>-50</v>
      </c>
      <c r="CJ114">
        <f t="shared" si="244"/>
        <v>-50</v>
      </c>
    </row>
    <row r="115" spans="5:88" x14ac:dyDescent="0.2">
      <c r="E115" s="174">
        <v>5</v>
      </c>
      <c r="F115" s="221">
        <f t="shared" si="245"/>
        <v>0.05</v>
      </c>
      <c r="G115" s="221">
        <f t="shared" si="183"/>
        <v>1.0000000000000002E-2</v>
      </c>
      <c r="H115" s="221">
        <f t="shared" si="184"/>
        <v>0.25</v>
      </c>
      <c r="I115" s="221">
        <f t="shared" si="185"/>
        <v>5.000000000000001E-2</v>
      </c>
      <c r="J115" s="551">
        <f t="shared" si="186"/>
        <v>23</v>
      </c>
      <c r="K115" s="451">
        <f t="shared" si="187"/>
        <v>10.64</v>
      </c>
      <c r="L115" s="451">
        <f t="shared" si="188"/>
        <v>33.64</v>
      </c>
      <c r="M115" s="451"/>
      <c r="N115" s="221">
        <f t="shared" si="189"/>
        <v>0.31629013079667062</v>
      </c>
      <c r="O115" s="176">
        <f t="shared" si="190"/>
        <v>11.184809750297264</v>
      </c>
      <c r="P115" s="176">
        <f t="shared" si="191"/>
        <v>2.6843543400713439</v>
      </c>
      <c r="Q115" s="221">
        <f t="shared" si="192"/>
        <v>2.2369619500594529</v>
      </c>
      <c r="R115" s="221">
        <f t="shared" si="193"/>
        <v>2.2369619500594529</v>
      </c>
      <c r="S115" s="221">
        <f t="shared" si="194"/>
        <v>5</v>
      </c>
      <c r="T115" s="221">
        <f t="shared" si="195"/>
        <v>9.1642148850386837E-2</v>
      </c>
      <c r="U115" s="221">
        <f t="shared" si="196"/>
        <v>2.7891088780552513E-2</v>
      </c>
      <c r="V115" s="221">
        <f t="shared" si="197"/>
        <v>6.0290887401570278E-2</v>
      </c>
      <c r="W115" s="201">
        <f t="shared" si="198"/>
        <v>350</v>
      </c>
      <c r="X115" s="451">
        <f t="shared" si="199"/>
        <v>350</v>
      </c>
      <c r="Z115" s="221">
        <f t="shared" si="200"/>
        <v>2.9692542891116021</v>
      </c>
      <c r="AA115" s="177">
        <f t="shared" si="201"/>
        <v>1.9534567691523697</v>
      </c>
      <c r="AB115" s="177">
        <f t="shared" si="202"/>
        <v>1.6917570513665985</v>
      </c>
      <c r="AC115" s="177"/>
      <c r="AD115" s="177">
        <f t="shared" si="203"/>
        <v>0.53947368421052622</v>
      </c>
      <c r="AE115" s="555">
        <f t="shared" si="204"/>
        <v>113.02795954788819</v>
      </c>
      <c r="AF115" s="538">
        <f t="shared" si="205"/>
        <v>0.15482894736842101</v>
      </c>
      <c r="AH115" s="177">
        <f t="shared" si="206"/>
        <v>0.49487165930539345</v>
      </c>
      <c r="AI115" s="177">
        <f t="shared" si="207"/>
        <v>0.82</v>
      </c>
      <c r="AJ115" s="177">
        <f t="shared" si="208"/>
        <v>1.0645874054559361</v>
      </c>
      <c r="AL115" s="555">
        <f t="shared" si="209"/>
        <v>50</v>
      </c>
      <c r="AM115" s="469">
        <f t="shared" si="210"/>
        <v>113.02795954788819</v>
      </c>
      <c r="AO115" s="469">
        <f t="shared" si="211"/>
        <v>50</v>
      </c>
      <c r="AP115" s="469">
        <f t="shared" si="212"/>
        <v>113.02795954788819</v>
      </c>
      <c r="AR115" s="5">
        <f t="shared" si="160"/>
        <v>8.8473684210526304</v>
      </c>
      <c r="AS115" s="5">
        <f t="shared" ref="AS115:AS178" si="246">L*AI115/J115*1000000</f>
        <v>0.24956521739130433</v>
      </c>
      <c r="AT115" s="5">
        <f t="shared" ref="AT115:AT178" si="247">AR115-AS115</f>
        <v>8.5978032036613268</v>
      </c>
      <c r="AU115" s="177">
        <f t="shared" ref="AU115:AU178" si="248">AS115/AR115</f>
        <v>2.8207847295864265E-2</v>
      </c>
      <c r="AW115" s="5">
        <f t="shared" si="216"/>
        <v>0.24956521739130433</v>
      </c>
      <c r="AX115" s="5"/>
      <c r="AY115" s="5">
        <f t="shared" si="217"/>
        <v>4.991304347826088E-2</v>
      </c>
      <c r="AZ115" s="5"/>
      <c r="BA115" s="5">
        <f t="shared" si="218"/>
        <v>8.6531835785641359E-2</v>
      </c>
      <c r="BB115" s="5"/>
      <c r="BC115" s="5"/>
      <c r="BD115" s="177">
        <f t="shared" si="219"/>
        <v>7.9513010511360394E-2</v>
      </c>
      <c r="BE115" s="177">
        <f t="shared" si="220"/>
        <v>0.9334045521482176</v>
      </c>
      <c r="BF115" s="177">
        <f t="shared" si="221"/>
        <v>0.18668091042964352</v>
      </c>
      <c r="BG115" s="177"/>
      <c r="BH115" s="538">
        <f t="shared" si="222"/>
        <v>6.9545507246376794E-4</v>
      </c>
      <c r="BI115" s="538">
        <f t="shared" si="223"/>
        <v>1.558926829268293E-2</v>
      </c>
      <c r="BJ115" s="538">
        <f t="shared" si="224"/>
        <v>5.6513979773944092E-3</v>
      </c>
      <c r="BK115" s="538">
        <f t="shared" si="225"/>
        <v>2.8779310172516368E-2</v>
      </c>
      <c r="BL115">
        <f t="shared" si="226"/>
        <v>6.6699999999999997E-3</v>
      </c>
      <c r="BM115">
        <f t="shared" si="227"/>
        <v>2.0345032718619873E-5</v>
      </c>
      <c r="BN115">
        <f t="shared" si="228"/>
        <v>5.7507041795101715E-2</v>
      </c>
      <c r="BO115" s="469">
        <f t="shared" si="229"/>
        <v>57.385431515057476</v>
      </c>
      <c r="BP115" s="177">
        <f t="shared" si="230"/>
        <v>2.0000000000000004E-2</v>
      </c>
      <c r="BQ115" s="177">
        <f t="shared" si="231"/>
        <v>4.000000000000001E-3</v>
      </c>
      <c r="BR115" s="538"/>
      <c r="BT115" s="469">
        <f t="shared" si="232"/>
        <v>24.000000000000004</v>
      </c>
      <c r="BU115" s="538">
        <f t="shared" si="233"/>
        <v>6.3223188405797095E-4</v>
      </c>
      <c r="BV115" s="538">
        <f t="shared" si="234"/>
        <v>2.6137321739130439E-2</v>
      </c>
      <c r="BW115" s="538">
        <f t="shared" si="235"/>
        <v>1.7424881159420294E-3</v>
      </c>
      <c r="BX115" s="538">
        <f t="shared" si="236"/>
        <v>0</v>
      </c>
      <c r="BY115" s="538">
        <f t="shared" si="180"/>
        <v>3.2006492383567169E-2</v>
      </c>
      <c r="BZ115" s="538">
        <f t="shared" si="166"/>
        <v>2.8512041739130439E-2</v>
      </c>
      <c r="CA115" s="641">
        <f t="shared" si="237"/>
        <v>3.8000000000000009E-3</v>
      </c>
      <c r="CB115" s="469">
        <f t="shared" si="238"/>
        <v>92.830575861828052</v>
      </c>
      <c r="CC115" s="177">
        <f t="shared" si="168"/>
        <v>0.11731353417866888</v>
      </c>
      <c r="CD115" s="5">
        <f t="shared" si="239"/>
        <v>0.3</v>
      </c>
      <c r="CE115" s="177">
        <f t="shared" si="240"/>
        <v>0.71888394559366908</v>
      </c>
      <c r="CF115" s="5">
        <f t="shared" si="241"/>
        <v>71.888394559366901</v>
      </c>
      <c r="CG115">
        <f t="shared" si="242"/>
        <v>5</v>
      </c>
      <c r="CI115" s="571">
        <f t="shared" si="243"/>
        <v>-50</v>
      </c>
      <c r="CJ115">
        <f t="shared" si="244"/>
        <v>-50</v>
      </c>
    </row>
    <row r="116" spans="5:88" x14ac:dyDescent="0.2">
      <c r="E116" s="174">
        <v>6</v>
      </c>
      <c r="F116" s="221">
        <f t="shared" si="245"/>
        <v>0.06</v>
      </c>
      <c r="G116" s="221">
        <f t="shared" si="183"/>
        <v>1.2E-2</v>
      </c>
      <c r="H116" s="221">
        <f t="shared" si="184"/>
        <v>0.3</v>
      </c>
      <c r="I116" s="221">
        <f t="shared" si="185"/>
        <v>0.06</v>
      </c>
      <c r="J116" s="551">
        <f t="shared" si="186"/>
        <v>23</v>
      </c>
      <c r="K116" s="451">
        <f t="shared" si="187"/>
        <v>10.64</v>
      </c>
      <c r="L116" s="451">
        <f t="shared" si="188"/>
        <v>33.64</v>
      </c>
      <c r="M116" s="451"/>
      <c r="N116" s="221">
        <f t="shared" si="189"/>
        <v>0.31629013079667062</v>
      </c>
      <c r="O116" s="176">
        <f t="shared" si="190"/>
        <v>11.184809750297264</v>
      </c>
      <c r="P116" s="176">
        <f t="shared" si="191"/>
        <v>2.6843543400713439</v>
      </c>
      <c r="Q116" s="221">
        <f t="shared" si="192"/>
        <v>2.2369619500594529</v>
      </c>
      <c r="R116" s="221">
        <f t="shared" si="193"/>
        <v>2.2369619500594529</v>
      </c>
      <c r="S116" s="221">
        <f t="shared" si="194"/>
        <v>5</v>
      </c>
      <c r="T116" s="221">
        <f t="shared" si="195"/>
        <v>0.10997057862046421</v>
      </c>
      <c r="U116" s="221">
        <f t="shared" si="196"/>
        <v>3.3469306536663024E-2</v>
      </c>
      <c r="V116" s="221">
        <f t="shared" si="197"/>
        <v>7.2349064881884348E-2</v>
      </c>
      <c r="W116" s="201">
        <f t="shared" si="198"/>
        <v>350</v>
      </c>
      <c r="X116" s="451">
        <f t="shared" si="199"/>
        <v>350</v>
      </c>
      <c r="Z116" s="221">
        <f t="shared" si="200"/>
        <v>2.9692542891116021</v>
      </c>
      <c r="AA116" s="177">
        <f t="shared" si="201"/>
        <v>1.9534567691523697</v>
      </c>
      <c r="AB116" s="177">
        <f t="shared" si="202"/>
        <v>1.6917570513665985</v>
      </c>
      <c r="AC116" s="177"/>
      <c r="AD116" s="177">
        <f t="shared" si="203"/>
        <v>0.53947368421052622</v>
      </c>
      <c r="AE116" s="555">
        <f t="shared" si="204"/>
        <v>135.63355145746581</v>
      </c>
      <c r="AF116" s="538">
        <f t="shared" si="205"/>
        <v>0.15482894736842101</v>
      </c>
      <c r="AH116" s="177">
        <f t="shared" si="206"/>
        <v>0.54210474174315071</v>
      </c>
      <c r="AI116" s="177">
        <f t="shared" si="207"/>
        <v>0.82</v>
      </c>
      <c r="AJ116" s="177">
        <f t="shared" si="208"/>
        <v>1.0775048865471233</v>
      </c>
      <c r="AL116" s="555">
        <f t="shared" si="209"/>
        <v>60</v>
      </c>
      <c r="AM116" s="469">
        <f t="shared" si="210"/>
        <v>135.63355145746581</v>
      </c>
      <c r="AO116" s="469">
        <f t="shared" si="211"/>
        <v>60</v>
      </c>
      <c r="AP116" s="469">
        <f t="shared" si="212"/>
        <v>135.63355145746581</v>
      </c>
      <c r="AR116" s="5">
        <f t="shared" si="160"/>
        <v>7.3728070175438578</v>
      </c>
      <c r="AS116" s="5">
        <f t="shared" si="246"/>
        <v>0.24956521739130433</v>
      </c>
      <c r="AT116" s="5">
        <f t="shared" si="247"/>
        <v>7.1232418001525533</v>
      </c>
      <c r="AU116" s="177">
        <f t="shared" si="248"/>
        <v>3.3849416755037123E-2</v>
      </c>
      <c r="AW116" s="5">
        <f t="shared" si="216"/>
        <v>0.29947826086956519</v>
      </c>
      <c r="AX116" s="5"/>
      <c r="AY116" s="5">
        <f t="shared" si="217"/>
        <v>5.9895652173913037E-2</v>
      </c>
      <c r="AZ116" s="5"/>
      <c r="BA116" s="5">
        <f t="shared" si="218"/>
        <v>8.6029490340006662E-2</v>
      </c>
      <c r="BB116" s="5"/>
      <c r="BC116" s="5"/>
      <c r="BD116" s="177">
        <f t="shared" si="219"/>
        <v>8.7102138944434956E-2</v>
      </c>
      <c r="BE116" s="177">
        <f t="shared" si="220"/>
        <v>0.93069125003867448</v>
      </c>
      <c r="BF116" s="177">
        <f t="shared" si="221"/>
        <v>0.1861382500077349</v>
      </c>
      <c r="BG116" s="177"/>
      <c r="BH116" s="538">
        <f t="shared" si="222"/>
        <v>8.3454608695652176E-4</v>
      </c>
      <c r="BI116" s="538">
        <f t="shared" si="223"/>
        <v>1.8707121951219513E-2</v>
      </c>
      <c r="BJ116" s="538">
        <f t="shared" si="224"/>
        <v>6.7816775728732903E-3</v>
      </c>
      <c r="BK116" s="538">
        <f t="shared" si="225"/>
        <v>3.453517220701964E-2</v>
      </c>
      <c r="BL116">
        <f t="shared" si="226"/>
        <v>6.6699999999999997E-3</v>
      </c>
      <c r="BM116">
        <f t="shared" si="227"/>
        <v>2.4414039262343844E-5</v>
      </c>
      <c r="BN116">
        <f t="shared" si="228"/>
        <v>6.7676015909231016E-2</v>
      </c>
      <c r="BO116" s="469">
        <f t="shared" si="229"/>
        <v>67.528517818068963</v>
      </c>
      <c r="BP116" s="177">
        <f t="shared" si="230"/>
        <v>2.4E-2</v>
      </c>
      <c r="BQ116" s="177">
        <f t="shared" si="231"/>
        <v>4.8000000000000004E-3</v>
      </c>
      <c r="BR116" s="538"/>
      <c r="BT116" s="469">
        <f t="shared" si="232"/>
        <v>28.8</v>
      </c>
      <c r="BU116" s="538">
        <f t="shared" si="233"/>
        <v>7.5867826086956525E-4</v>
      </c>
      <c r="BV116" s="538">
        <f t="shared" si="234"/>
        <v>2.5985586086956516E-2</v>
      </c>
      <c r="BW116" s="538">
        <f t="shared" si="235"/>
        <v>1.7323724057971013E-3</v>
      </c>
      <c r="BX116" s="538">
        <f t="shared" si="236"/>
        <v>0</v>
      </c>
      <c r="BY116" s="538">
        <f t="shared" si="180"/>
        <v>3.1966657395327905E-2</v>
      </c>
      <c r="BZ116" s="538">
        <f t="shared" si="166"/>
        <v>2.8476636753623181E-2</v>
      </c>
      <c r="CA116" s="641">
        <f t="shared" si="237"/>
        <v>4.5600000000000007E-3</v>
      </c>
      <c r="CB116" s="469">
        <f t="shared" si="238"/>
        <v>93.479930902574253</v>
      </c>
      <c r="CC116" s="177">
        <f t="shared" si="168"/>
        <v>0.13300267330455895</v>
      </c>
      <c r="CD116" s="5">
        <f t="shared" si="239"/>
        <v>0.36</v>
      </c>
      <c r="CE116" s="177">
        <f t="shared" si="240"/>
        <v>0.73021916410097276</v>
      </c>
      <c r="CF116" s="5">
        <f t="shared" si="241"/>
        <v>73.021916410097276</v>
      </c>
      <c r="CG116">
        <f t="shared" si="242"/>
        <v>6</v>
      </c>
      <c r="CI116" s="571">
        <f t="shared" si="243"/>
        <v>-50</v>
      </c>
      <c r="CJ116">
        <f t="shared" si="244"/>
        <v>-50</v>
      </c>
    </row>
    <row r="117" spans="5:88" x14ac:dyDescent="0.2">
      <c r="E117" s="174">
        <v>7</v>
      </c>
      <c r="F117" s="221">
        <f t="shared" si="245"/>
        <v>7.0000000000000007E-2</v>
      </c>
      <c r="G117" s="221">
        <f t="shared" si="183"/>
        <v>1.4000000000000002E-2</v>
      </c>
      <c r="H117" s="221">
        <f t="shared" si="184"/>
        <v>0.35000000000000003</v>
      </c>
      <c r="I117" s="221">
        <f t="shared" si="185"/>
        <v>7.0000000000000007E-2</v>
      </c>
      <c r="J117" s="551">
        <f t="shared" si="186"/>
        <v>23</v>
      </c>
      <c r="K117" s="451">
        <f t="shared" si="187"/>
        <v>10.64</v>
      </c>
      <c r="L117" s="451">
        <f t="shared" si="188"/>
        <v>33.64</v>
      </c>
      <c r="M117" s="451"/>
      <c r="N117" s="221">
        <f t="shared" si="189"/>
        <v>0.31629013079667062</v>
      </c>
      <c r="O117" s="176">
        <f t="shared" si="190"/>
        <v>11.184809750297264</v>
      </c>
      <c r="P117" s="176">
        <f t="shared" si="191"/>
        <v>2.6843543400713439</v>
      </c>
      <c r="Q117" s="221">
        <f t="shared" si="192"/>
        <v>2.2369619500594529</v>
      </c>
      <c r="R117" s="221">
        <f t="shared" si="193"/>
        <v>2.2369619500594529</v>
      </c>
      <c r="S117" s="221">
        <f t="shared" si="194"/>
        <v>5</v>
      </c>
      <c r="T117" s="221">
        <f t="shared" si="195"/>
        <v>0.12829900839054159</v>
      </c>
      <c r="U117" s="221">
        <f t="shared" si="196"/>
        <v>3.9047524292773528E-2</v>
      </c>
      <c r="V117" s="221">
        <f t="shared" si="197"/>
        <v>8.4407242362198404E-2</v>
      </c>
      <c r="W117" s="201">
        <f t="shared" si="198"/>
        <v>350</v>
      </c>
      <c r="X117" s="451">
        <f t="shared" si="199"/>
        <v>350</v>
      </c>
      <c r="Z117" s="221">
        <f t="shared" si="200"/>
        <v>2.9692542891116021</v>
      </c>
      <c r="AA117" s="177">
        <f t="shared" si="201"/>
        <v>1.9534567691523697</v>
      </c>
      <c r="AB117" s="177">
        <f t="shared" si="202"/>
        <v>1.6917570513665985</v>
      </c>
      <c r="AC117" s="177"/>
      <c r="AD117" s="177">
        <f t="shared" si="203"/>
        <v>0.53947368421052622</v>
      </c>
      <c r="AE117" s="555">
        <f t="shared" si="204"/>
        <v>158.23914336704345</v>
      </c>
      <c r="AF117" s="538">
        <f t="shared" si="205"/>
        <v>0.15482894736842101</v>
      </c>
      <c r="AH117" s="177">
        <f t="shared" si="206"/>
        <v>0.58554004376911994</v>
      </c>
      <c r="AI117" s="177">
        <f t="shared" si="207"/>
        <v>0.82</v>
      </c>
      <c r="AJ117" s="177">
        <f t="shared" si="208"/>
        <v>1.0904223676383105</v>
      </c>
      <c r="AL117" s="555">
        <f t="shared" si="209"/>
        <v>70</v>
      </c>
      <c r="AM117" s="469">
        <f t="shared" si="210"/>
        <v>158.23914336704345</v>
      </c>
      <c r="AO117" s="469">
        <f t="shared" si="211"/>
        <v>70</v>
      </c>
      <c r="AP117" s="469">
        <f t="shared" si="212"/>
        <v>158.23914336704345</v>
      </c>
      <c r="AR117" s="5">
        <f t="shared" si="160"/>
        <v>6.3195488721804498</v>
      </c>
      <c r="AS117" s="5">
        <f t="shared" si="246"/>
        <v>0.24956521739130433</v>
      </c>
      <c r="AT117" s="5">
        <f t="shared" si="247"/>
        <v>6.0699836547891453</v>
      </c>
      <c r="AU117" s="177">
        <f t="shared" si="248"/>
        <v>3.9490986214209975E-2</v>
      </c>
      <c r="AW117" s="5">
        <f t="shared" si="216"/>
        <v>0.34939130434782611</v>
      </c>
      <c r="AX117" s="5"/>
      <c r="AY117" s="5">
        <f t="shared" si="217"/>
        <v>6.9878260869565223E-2</v>
      </c>
      <c r="AZ117" s="5"/>
      <c r="BA117" s="5">
        <f t="shared" si="218"/>
        <v>8.5527144894371993E-2</v>
      </c>
      <c r="BB117" s="5"/>
      <c r="BC117" s="5"/>
      <c r="BD117" s="177">
        <f t="shared" si="219"/>
        <v>9.4081062795929316E-2</v>
      </c>
      <c r="BE117" s="177">
        <f t="shared" si="220"/>
        <v>0.92797001450805872</v>
      </c>
      <c r="BF117" s="177">
        <f t="shared" si="221"/>
        <v>0.18559400290161177</v>
      </c>
      <c r="BG117" s="177"/>
      <c r="BH117" s="538">
        <f t="shared" si="222"/>
        <v>9.7363710144927559E-4</v>
      </c>
      <c r="BI117" s="538">
        <f t="shared" si="223"/>
        <v>2.18249756097561E-2</v>
      </c>
      <c r="BJ117" s="538">
        <f t="shared" si="224"/>
        <v>7.9119571683521732E-3</v>
      </c>
      <c r="BK117" s="538">
        <f t="shared" si="225"/>
        <v>4.0291034241522909E-2</v>
      </c>
      <c r="BL117">
        <f t="shared" si="226"/>
        <v>6.6699999999999997E-3</v>
      </c>
      <c r="BM117">
        <f t="shared" si="227"/>
        <v>2.848304580606782E-5</v>
      </c>
      <c r="BN117">
        <f t="shared" si="228"/>
        <v>7.7845512035502148E-2</v>
      </c>
      <c r="BO117" s="469">
        <f t="shared" si="229"/>
        <v>77.671604121080463</v>
      </c>
      <c r="BP117" s="177">
        <f t="shared" si="230"/>
        <v>2.8000000000000004E-2</v>
      </c>
      <c r="BQ117" s="177">
        <f t="shared" si="231"/>
        <v>5.6000000000000008E-3</v>
      </c>
      <c r="BR117" s="538"/>
      <c r="BT117" s="469">
        <f t="shared" si="232"/>
        <v>33.6</v>
      </c>
      <c r="BU117" s="538">
        <f t="shared" si="233"/>
        <v>8.8512463768115966E-4</v>
      </c>
      <c r="BV117" s="538">
        <f t="shared" si="234"/>
        <v>2.5833850434782601E-2</v>
      </c>
      <c r="BW117" s="538">
        <f t="shared" si="235"/>
        <v>1.722256695652174E-3</v>
      </c>
      <c r="BX117" s="538">
        <f t="shared" si="236"/>
        <v>0</v>
      </c>
      <c r="BY117" s="538">
        <f t="shared" si="180"/>
        <v>3.1926822633260417E-2</v>
      </c>
      <c r="BZ117" s="538">
        <f t="shared" si="166"/>
        <v>2.8441231768115933E-2</v>
      </c>
      <c r="CA117" s="641">
        <f t="shared" si="237"/>
        <v>5.3200000000000009E-3</v>
      </c>
      <c r="CB117" s="469">
        <f t="shared" si="238"/>
        <v>94.129286169492289</v>
      </c>
      <c r="CC117" s="177">
        <f t="shared" si="168"/>
        <v>0.14869233466876255</v>
      </c>
      <c r="CD117" s="5">
        <f t="shared" si="239"/>
        <v>0.42000000000000004</v>
      </c>
      <c r="CE117" s="177">
        <f t="shared" si="240"/>
        <v>0.73853641836869655</v>
      </c>
      <c r="CF117" s="5">
        <f t="shared" si="241"/>
        <v>73.853641836869656</v>
      </c>
      <c r="CG117">
        <f t="shared" si="242"/>
        <v>7.0000000000000009</v>
      </c>
      <c r="CI117" s="571">
        <f t="shared" si="243"/>
        <v>-50</v>
      </c>
      <c r="CJ117">
        <f t="shared" si="244"/>
        <v>-50</v>
      </c>
    </row>
    <row r="118" spans="5:88" x14ac:dyDescent="0.2">
      <c r="E118" s="174">
        <v>8</v>
      </c>
      <c r="F118" s="221">
        <f t="shared" si="245"/>
        <v>0.08</v>
      </c>
      <c r="G118" s="221">
        <f t="shared" si="183"/>
        <v>1.6E-2</v>
      </c>
      <c r="H118" s="221">
        <f t="shared" si="184"/>
        <v>0.4</v>
      </c>
      <c r="I118" s="221">
        <f t="shared" si="185"/>
        <v>0.08</v>
      </c>
      <c r="J118" s="551">
        <f t="shared" si="186"/>
        <v>23</v>
      </c>
      <c r="K118" s="451">
        <f t="shared" si="187"/>
        <v>10.64</v>
      </c>
      <c r="L118" s="451">
        <f t="shared" si="188"/>
        <v>33.64</v>
      </c>
      <c r="M118" s="451"/>
      <c r="N118" s="221">
        <f t="shared" si="189"/>
        <v>0.31629013079667062</v>
      </c>
      <c r="O118" s="176">
        <f t="shared" si="190"/>
        <v>11.184809750297264</v>
      </c>
      <c r="P118" s="176">
        <f t="shared" si="191"/>
        <v>2.6843543400713439</v>
      </c>
      <c r="Q118" s="221">
        <f t="shared" si="192"/>
        <v>2.2369619500594529</v>
      </c>
      <c r="R118" s="221">
        <f t="shared" si="193"/>
        <v>2.2369619500594529</v>
      </c>
      <c r="S118" s="221">
        <f t="shared" si="194"/>
        <v>5</v>
      </c>
      <c r="T118" s="221">
        <f t="shared" si="195"/>
        <v>0.14662743816061896</v>
      </c>
      <c r="U118" s="221">
        <f t="shared" si="196"/>
        <v>4.4625742048884032E-2</v>
      </c>
      <c r="V118" s="221">
        <f t="shared" si="197"/>
        <v>9.6465419842512473E-2</v>
      </c>
      <c r="W118" s="201">
        <f t="shared" si="198"/>
        <v>350</v>
      </c>
      <c r="X118" s="451">
        <f t="shared" si="199"/>
        <v>350</v>
      </c>
      <c r="Z118" s="221">
        <f t="shared" si="200"/>
        <v>2.9692542891116021</v>
      </c>
      <c r="AA118" s="177">
        <f t="shared" si="201"/>
        <v>1.9534567691523697</v>
      </c>
      <c r="AB118" s="177">
        <f t="shared" si="202"/>
        <v>1.6917570513665985</v>
      </c>
      <c r="AC118" s="177"/>
      <c r="AD118" s="177">
        <f t="shared" si="203"/>
        <v>0.53947368421052622</v>
      </c>
      <c r="AE118" s="555">
        <f t="shared" si="204"/>
        <v>180.84473527662109</v>
      </c>
      <c r="AF118" s="538">
        <f t="shared" si="205"/>
        <v>0.15482894736842101</v>
      </c>
      <c r="AH118" s="177">
        <f t="shared" si="206"/>
        <v>0.62596863714876128</v>
      </c>
      <c r="AI118" s="177">
        <f t="shared" si="207"/>
        <v>0.82</v>
      </c>
      <c r="AJ118" s="177">
        <f t="shared" si="208"/>
        <v>1.1033398487294979</v>
      </c>
      <c r="AL118" s="555">
        <f t="shared" si="209"/>
        <v>80</v>
      </c>
      <c r="AM118" s="469">
        <f t="shared" si="210"/>
        <v>180.84473527662109</v>
      </c>
      <c r="AO118" s="469">
        <f t="shared" si="211"/>
        <v>80</v>
      </c>
      <c r="AP118" s="469">
        <f t="shared" si="212"/>
        <v>180.84473527662109</v>
      </c>
      <c r="AR118" s="5">
        <f t="shared" si="160"/>
        <v>5.5296052631578938</v>
      </c>
      <c r="AS118" s="5">
        <f t="shared" si="246"/>
        <v>0.24956521739130433</v>
      </c>
      <c r="AT118" s="5">
        <f t="shared" si="247"/>
        <v>5.2800400457665893</v>
      </c>
      <c r="AU118" s="177">
        <f t="shared" si="248"/>
        <v>4.5132555673382826E-2</v>
      </c>
      <c r="AW118" s="5">
        <f t="shared" si="216"/>
        <v>0.39930434782608698</v>
      </c>
      <c r="AX118" s="5"/>
      <c r="AY118" s="5">
        <f t="shared" si="217"/>
        <v>7.9860869565217388E-2</v>
      </c>
      <c r="AZ118" s="5"/>
      <c r="BA118" s="5">
        <f t="shared" si="218"/>
        <v>8.5024799448737351E-2</v>
      </c>
      <c r="BB118" s="5"/>
      <c r="BC118" s="5"/>
      <c r="BD118" s="177">
        <f t="shared" si="219"/>
        <v>0.10057688673312341</v>
      </c>
      <c r="BE118" s="177">
        <f t="shared" si="220"/>
        <v>0.92524077555716433</v>
      </c>
      <c r="BF118" s="177">
        <f t="shared" si="221"/>
        <v>0.18504815511143288</v>
      </c>
      <c r="BG118" s="177"/>
      <c r="BH118" s="538">
        <f t="shared" si="222"/>
        <v>1.1127281159420291E-3</v>
      </c>
      <c r="BI118" s="538">
        <f t="shared" si="223"/>
        <v>2.4942829268292686E-2</v>
      </c>
      <c r="BJ118" s="538">
        <f t="shared" si="224"/>
        <v>9.0422367638310543E-3</v>
      </c>
      <c r="BK118" s="538">
        <f t="shared" si="225"/>
        <v>4.6046896276026185E-2</v>
      </c>
      <c r="BL118">
        <f t="shared" si="226"/>
        <v>6.6699999999999997E-3</v>
      </c>
      <c r="BM118">
        <f t="shared" si="227"/>
        <v>3.2552052349791795E-5</v>
      </c>
      <c r="BN118">
        <f t="shared" si="228"/>
        <v>8.8015530214111501E-2</v>
      </c>
      <c r="BO118" s="469">
        <f t="shared" si="229"/>
        <v>87.81469042409195</v>
      </c>
      <c r="BP118" s="177">
        <f t="shared" si="230"/>
        <v>3.2000000000000001E-2</v>
      </c>
      <c r="BQ118" s="177">
        <f t="shared" si="231"/>
        <v>6.4000000000000003E-3</v>
      </c>
      <c r="BR118" s="538"/>
      <c r="BT118" s="469">
        <f t="shared" si="232"/>
        <v>38.400000000000006</v>
      </c>
      <c r="BU118" s="538">
        <f t="shared" si="233"/>
        <v>1.0115710144927537E-3</v>
      </c>
      <c r="BV118" s="538">
        <f t="shared" si="234"/>
        <v>2.5682114782608685E-2</v>
      </c>
      <c r="BW118" s="538">
        <f t="shared" si="235"/>
        <v>1.7121409855072461E-3</v>
      </c>
      <c r="BX118" s="538">
        <f t="shared" si="236"/>
        <v>0</v>
      </c>
      <c r="BY118" s="538">
        <f t="shared" si="180"/>
        <v>3.1886988097362755E-2</v>
      </c>
      <c r="BZ118" s="538">
        <f t="shared" si="166"/>
        <v>2.8405826782608685E-2</v>
      </c>
      <c r="CA118" s="641">
        <f t="shared" si="237"/>
        <v>6.0800000000000012E-3</v>
      </c>
      <c r="CB118" s="469">
        <f t="shared" si="238"/>
        <v>94.778641662580128</v>
      </c>
      <c r="CC118" s="177">
        <f t="shared" si="168"/>
        <v>0.16438251831147427</v>
      </c>
      <c r="CD118" s="5">
        <f t="shared" si="239"/>
        <v>0.48000000000000004</v>
      </c>
      <c r="CE118" s="177">
        <f t="shared" si="240"/>
        <v>0.74489916526255462</v>
      </c>
      <c r="CF118" s="5">
        <f t="shared" si="241"/>
        <v>74.489916526255456</v>
      </c>
      <c r="CG118">
        <f t="shared" si="242"/>
        <v>8</v>
      </c>
      <c r="CI118" s="571">
        <f t="shared" si="243"/>
        <v>-50</v>
      </c>
      <c r="CJ118">
        <f t="shared" si="244"/>
        <v>-50</v>
      </c>
    </row>
    <row r="119" spans="5:88" x14ac:dyDescent="0.2">
      <c r="E119" s="174">
        <v>9</v>
      </c>
      <c r="F119" s="221">
        <f t="shared" si="245"/>
        <v>0.09</v>
      </c>
      <c r="G119" s="221">
        <f t="shared" si="183"/>
        <v>1.7999999999999999E-2</v>
      </c>
      <c r="H119" s="221">
        <f t="shared" si="184"/>
        <v>0.44999999999999996</v>
      </c>
      <c r="I119" s="221">
        <f t="shared" si="185"/>
        <v>0.09</v>
      </c>
      <c r="J119" s="551">
        <f t="shared" si="186"/>
        <v>23</v>
      </c>
      <c r="K119" s="451">
        <f t="shared" si="187"/>
        <v>10.64</v>
      </c>
      <c r="L119" s="451">
        <f t="shared" si="188"/>
        <v>33.64</v>
      </c>
      <c r="M119" s="451"/>
      <c r="N119" s="221">
        <f t="shared" si="189"/>
        <v>0.31629013079667062</v>
      </c>
      <c r="O119" s="176">
        <f t="shared" si="190"/>
        <v>11.184809750297264</v>
      </c>
      <c r="P119" s="176">
        <f t="shared" si="191"/>
        <v>2.6843543400713439</v>
      </c>
      <c r="Q119" s="221">
        <f t="shared" si="192"/>
        <v>2.2369619500594529</v>
      </c>
      <c r="R119" s="221">
        <f t="shared" si="193"/>
        <v>2.2369619500594529</v>
      </c>
      <c r="S119" s="221">
        <f t="shared" si="194"/>
        <v>5</v>
      </c>
      <c r="T119" s="221">
        <f t="shared" si="195"/>
        <v>0.1649558679306963</v>
      </c>
      <c r="U119" s="221">
        <f t="shared" si="196"/>
        <v>5.0203959804994522E-2</v>
      </c>
      <c r="V119" s="221">
        <f t="shared" si="197"/>
        <v>0.10852359732282651</v>
      </c>
      <c r="W119" s="201">
        <f t="shared" si="198"/>
        <v>350</v>
      </c>
      <c r="X119" s="451">
        <f t="shared" si="199"/>
        <v>350</v>
      </c>
      <c r="Z119" s="221">
        <f t="shared" si="200"/>
        <v>2.9692542891116021</v>
      </c>
      <c r="AA119" s="177">
        <f t="shared" si="201"/>
        <v>1.9534567691523697</v>
      </c>
      <c r="AB119" s="177">
        <f t="shared" si="202"/>
        <v>1.6917570513665985</v>
      </c>
      <c r="AC119" s="177"/>
      <c r="AD119" s="177">
        <f t="shared" si="203"/>
        <v>0.53947368421052622</v>
      </c>
      <c r="AE119" s="555">
        <f t="shared" si="204"/>
        <v>203.45032718619873</v>
      </c>
      <c r="AF119" s="538">
        <f t="shared" si="205"/>
        <v>0.15482894736842101</v>
      </c>
      <c r="AH119" s="177">
        <f t="shared" si="206"/>
        <v>0.66394000220698568</v>
      </c>
      <c r="AI119" s="177">
        <f t="shared" si="207"/>
        <v>0.82</v>
      </c>
      <c r="AJ119" s="177">
        <f t="shared" si="208"/>
        <v>1.116257329820685</v>
      </c>
      <c r="AL119" s="555">
        <f t="shared" si="209"/>
        <v>90</v>
      </c>
      <c r="AM119" s="469">
        <f t="shared" si="210"/>
        <v>203.45032718619873</v>
      </c>
      <c r="AO119" s="469">
        <f t="shared" si="211"/>
        <v>90</v>
      </c>
      <c r="AP119" s="469">
        <f t="shared" si="212"/>
        <v>203.45032718619873</v>
      </c>
      <c r="AR119" s="5">
        <f t="shared" si="160"/>
        <v>4.9152046783625725</v>
      </c>
      <c r="AS119" s="5">
        <f t="shared" si="246"/>
        <v>0.24956521739130433</v>
      </c>
      <c r="AT119" s="5">
        <f t="shared" si="247"/>
        <v>4.6656394609712679</v>
      </c>
      <c r="AU119" s="177">
        <f t="shared" si="248"/>
        <v>5.0774125132555678E-2</v>
      </c>
      <c r="AW119" s="5">
        <f t="shared" si="216"/>
        <v>0.44921739130434779</v>
      </c>
      <c r="AX119" s="5"/>
      <c r="AY119" s="5">
        <f t="shared" si="217"/>
        <v>8.9843478260869566E-2</v>
      </c>
      <c r="AZ119" s="5"/>
      <c r="BA119" s="5">
        <f t="shared" si="218"/>
        <v>8.452245400310264E-2</v>
      </c>
      <c r="BB119" s="5"/>
      <c r="BC119" s="5"/>
      <c r="BD119" s="177">
        <f t="shared" si="219"/>
        <v>0.10667789795943429</v>
      </c>
      <c r="BE119" s="177">
        <f t="shared" si="220"/>
        <v>0.92250346215131318</v>
      </c>
      <c r="BF119" s="177">
        <f t="shared" si="221"/>
        <v>0.18450069243026265</v>
      </c>
      <c r="BG119" s="177"/>
      <c r="BH119" s="538">
        <f t="shared" si="222"/>
        <v>1.2518191304347823E-3</v>
      </c>
      <c r="BI119" s="538">
        <f t="shared" si="223"/>
        <v>2.8060682926829273E-2</v>
      </c>
      <c r="BJ119" s="538">
        <f t="shared" si="224"/>
        <v>1.0172516359309935E-2</v>
      </c>
      <c r="BK119" s="538">
        <f t="shared" si="225"/>
        <v>5.1802758310529461E-2</v>
      </c>
      <c r="BL119">
        <f t="shared" si="226"/>
        <v>6.6699999999999997E-3</v>
      </c>
      <c r="BM119">
        <f t="shared" si="227"/>
        <v>3.662105889351577E-5</v>
      </c>
      <c r="BN119">
        <f t="shared" si="228"/>
        <v>9.8186070485259458E-2</v>
      </c>
      <c r="BO119" s="469">
        <f t="shared" si="229"/>
        <v>97.95777672710345</v>
      </c>
      <c r="BP119" s="177">
        <f t="shared" si="230"/>
        <v>3.5999999999999997E-2</v>
      </c>
      <c r="BQ119" s="177">
        <f t="shared" si="231"/>
        <v>7.1999999999999998E-3</v>
      </c>
      <c r="BR119" s="538"/>
      <c r="BT119" s="469">
        <f t="shared" si="232"/>
        <v>43.199999999999996</v>
      </c>
      <c r="BU119" s="538">
        <f t="shared" si="233"/>
        <v>1.1380173913043475E-3</v>
      </c>
      <c r="BV119" s="538">
        <f t="shared" si="234"/>
        <v>2.553037913043478E-2</v>
      </c>
      <c r="BW119" s="538">
        <f t="shared" si="235"/>
        <v>1.7020252753623189E-3</v>
      </c>
      <c r="BX119" s="538">
        <f t="shared" si="236"/>
        <v>0</v>
      </c>
      <c r="BY119" s="538">
        <f t="shared" si="180"/>
        <v>3.184715378763301E-2</v>
      </c>
      <c r="BZ119" s="538">
        <f t="shared" si="166"/>
        <v>2.8370421797101447E-2</v>
      </c>
      <c r="CA119" s="641">
        <f t="shared" si="237"/>
        <v>6.8400000000000015E-3</v>
      </c>
      <c r="CB119" s="469">
        <f t="shared" si="238"/>
        <v>95.427997381835894</v>
      </c>
      <c r="CC119" s="177">
        <f t="shared" si="168"/>
        <v>0.18007322427289249</v>
      </c>
      <c r="CD119" s="5">
        <f t="shared" si="239"/>
        <v>0.53999999999999992</v>
      </c>
      <c r="CE119" s="177">
        <f t="shared" si="240"/>
        <v>0.74992373247217337</v>
      </c>
      <c r="CF119" s="5">
        <f t="shared" si="241"/>
        <v>74.99237324721733</v>
      </c>
      <c r="CG119">
        <f t="shared" si="242"/>
        <v>9</v>
      </c>
      <c r="CI119" s="571">
        <f t="shared" si="243"/>
        <v>-50</v>
      </c>
      <c r="CJ119">
        <f t="shared" si="244"/>
        <v>-50</v>
      </c>
    </row>
    <row r="120" spans="5:88" x14ac:dyDescent="0.2">
      <c r="E120" s="174">
        <v>10</v>
      </c>
      <c r="F120" s="221">
        <f t="shared" si="245"/>
        <v>0.1</v>
      </c>
      <c r="G120" s="221">
        <f t="shared" si="183"/>
        <v>2.0000000000000004E-2</v>
      </c>
      <c r="H120" s="221">
        <f t="shared" si="184"/>
        <v>0.5</v>
      </c>
      <c r="I120" s="221">
        <f t="shared" si="185"/>
        <v>0.10000000000000002</v>
      </c>
      <c r="J120" s="551">
        <f t="shared" si="186"/>
        <v>23</v>
      </c>
      <c r="K120" s="451">
        <f t="shared" si="187"/>
        <v>10.64</v>
      </c>
      <c r="L120" s="451">
        <f t="shared" si="188"/>
        <v>33.64</v>
      </c>
      <c r="M120" s="451"/>
      <c r="N120" s="221">
        <f t="shared" si="189"/>
        <v>0.31629013079667062</v>
      </c>
      <c r="O120" s="176">
        <f t="shared" si="190"/>
        <v>11.184809750297264</v>
      </c>
      <c r="P120" s="176">
        <f t="shared" si="191"/>
        <v>2.6843543400713439</v>
      </c>
      <c r="Q120" s="221">
        <f t="shared" si="192"/>
        <v>2.2369619500594529</v>
      </c>
      <c r="R120" s="221">
        <f t="shared" si="193"/>
        <v>2.2369619500594529</v>
      </c>
      <c r="S120" s="221">
        <f t="shared" si="194"/>
        <v>5</v>
      </c>
      <c r="T120" s="221">
        <f t="shared" si="195"/>
        <v>0.18328429770077367</v>
      </c>
      <c r="U120" s="221">
        <f t="shared" si="196"/>
        <v>5.5782177561105026E-2</v>
      </c>
      <c r="V120" s="221">
        <f t="shared" si="197"/>
        <v>0.12058177480314056</v>
      </c>
      <c r="W120" s="201">
        <f t="shared" si="198"/>
        <v>350</v>
      </c>
      <c r="X120" s="451">
        <f t="shared" si="199"/>
        <v>350</v>
      </c>
      <c r="Z120" s="221">
        <f t="shared" si="200"/>
        <v>2.9692542891116021</v>
      </c>
      <c r="AA120" s="177">
        <f t="shared" si="201"/>
        <v>1.9534567691523697</v>
      </c>
      <c r="AB120" s="177">
        <f t="shared" si="202"/>
        <v>1.6917570513665985</v>
      </c>
      <c r="AC120" s="177"/>
      <c r="AD120" s="177">
        <f t="shared" si="203"/>
        <v>0.53947368421052622</v>
      </c>
      <c r="AE120" s="555">
        <f t="shared" si="204"/>
        <v>226.05591909577637</v>
      </c>
      <c r="AF120" s="538">
        <f t="shared" si="205"/>
        <v>0.15482894736842101</v>
      </c>
      <c r="AH120" s="177">
        <f t="shared" si="206"/>
        <v>0.69985421222376509</v>
      </c>
      <c r="AI120" s="177">
        <f t="shared" si="207"/>
        <v>0.82</v>
      </c>
      <c r="AJ120" s="177">
        <f t="shared" si="208"/>
        <v>1.1291748109118722</v>
      </c>
      <c r="AL120" s="555">
        <f t="shared" si="209"/>
        <v>100</v>
      </c>
      <c r="AM120" s="469">
        <f t="shared" si="210"/>
        <v>226.05591909577637</v>
      </c>
      <c r="AO120" s="469">
        <f t="shared" si="211"/>
        <v>100</v>
      </c>
      <c r="AP120" s="469">
        <f t="shared" si="212"/>
        <v>226.05591909577637</v>
      </c>
      <c r="AR120" s="5">
        <f t="shared" si="160"/>
        <v>4.4236842105263152</v>
      </c>
      <c r="AS120" s="5">
        <f t="shared" si="246"/>
        <v>0.24956521739130433</v>
      </c>
      <c r="AT120" s="5">
        <f t="shared" si="247"/>
        <v>4.1741189931350107</v>
      </c>
      <c r="AU120" s="177">
        <f t="shared" si="248"/>
        <v>5.641569459172853E-2</v>
      </c>
      <c r="AW120" s="5">
        <f t="shared" si="216"/>
        <v>0.49913043478260866</v>
      </c>
      <c r="AX120" s="5"/>
      <c r="AY120" s="5">
        <f t="shared" si="217"/>
        <v>9.9826086956521759E-2</v>
      </c>
      <c r="AZ120" s="5"/>
      <c r="BA120" s="5">
        <f t="shared" si="218"/>
        <v>8.4020108557467998E-2</v>
      </c>
      <c r="BB120" s="5"/>
      <c r="BC120" s="5"/>
      <c r="BD120" s="177">
        <f t="shared" si="219"/>
        <v>0.11244837785028033</v>
      </c>
      <c r="BE120" s="177">
        <f t="shared" si="220"/>
        <v>0.91975800219878245</v>
      </c>
      <c r="BF120" s="177">
        <f t="shared" si="221"/>
        <v>0.1839516004397565</v>
      </c>
      <c r="BG120" s="177"/>
      <c r="BH120" s="538">
        <f t="shared" si="222"/>
        <v>1.3909101449275359E-3</v>
      </c>
      <c r="BI120" s="538">
        <f t="shared" si="223"/>
        <v>3.117853658536586E-2</v>
      </c>
      <c r="BJ120" s="538">
        <f t="shared" si="224"/>
        <v>1.1302795954788818E-2</v>
      </c>
      <c r="BK120" s="538">
        <f t="shared" si="225"/>
        <v>5.7558620345032736E-2</v>
      </c>
      <c r="BL120">
        <f t="shared" si="226"/>
        <v>6.6699999999999997E-3</v>
      </c>
      <c r="BM120">
        <f t="shared" si="227"/>
        <v>4.0690065437239745E-5</v>
      </c>
      <c r="BN120">
        <f t="shared" si="228"/>
        <v>0.10835713288915068</v>
      </c>
      <c r="BO120" s="469">
        <f t="shared" si="229"/>
        <v>108.10086303011494</v>
      </c>
      <c r="BP120" s="177">
        <f t="shared" si="230"/>
        <v>4.0000000000000008E-2</v>
      </c>
      <c r="BQ120" s="177">
        <f t="shared" si="231"/>
        <v>8.0000000000000019E-3</v>
      </c>
      <c r="BR120" s="538"/>
      <c r="BT120" s="469">
        <f t="shared" si="232"/>
        <v>48.000000000000007</v>
      </c>
      <c r="BU120" s="538">
        <f t="shared" si="233"/>
        <v>1.2644637681159419E-3</v>
      </c>
      <c r="BV120" s="538">
        <f t="shared" si="234"/>
        <v>2.5378643478260864E-2</v>
      </c>
      <c r="BW120" s="538">
        <f t="shared" si="235"/>
        <v>1.6919095652173912E-3</v>
      </c>
      <c r="BX120" s="538">
        <f t="shared" si="236"/>
        <v>0</v>
      </c>
      <c r="BY120" s="538">
        <f t="shared" si="180"/>
        <v>3.1807319704069234E-2</v>
      </c>
      <c r="BZ120" s="538">
        <f t="shared" si="166"/>
        <v>2.8335016811594199E-2</v>
      </c>
      <c r="CA120" s="641">
        <f t="shared" si="237"/>
        <v>7.6000000000000017E-3</v>
      </c>
      <c r="CB120" s="469">
        <f t="shared" si="238"/>
        <v>96.077353327257626</v>
      </c>
      <c r="CC120" s="177">
        <f t="shared" si="168"/>
        <v>0.19576445259321995</v>
      </c>
      <c r="CD120" s="5">
        <f t="shared" si="239"/>
        <v>0.6</v>
      </c>
      <c r="CE120" s="177">
        <f t="shared" si="240"/>
        <v>0.75399196086823561</v>
      </c>
      <c r="CF120" s="5">
        <f t="shared" si="241"/>
        <v>75.399196086823565</v>
      </c>
      <c r="CG120">
        <f t="shared" si="242"/>
        <v>10</v>
      </c>
      <c r="CI120" s="571">
        <f t="shared" si="243"/>
        <v>-50</v>
      </c>
      <c r="CJ120">
        <f t="shared" si="244"/>
        <v>-50</v>
      </c>
    </row>
    <row r="121" spans="5:88" x14ac:dyDescent="0.2">
      <c r="E121" s="174">
        <v>11</v>
      </c>
      <c r="F121" s="221">
        <f t="shared" si="245"/>
        <v>0.11</v>
      </c>
      <c r="G121" s="221">
        <f t="shared" si="183"/>
        <v>2.2000000000000002E-2</v>
      </c>
      <c r="H121" s="221">
        <f t="shared" si="184"/>
        <v>0.55000000000000004</v>
      </c>
      <c r="I121" s="221">
        <f t="shared" si="185"/>
        <v>0.11000000000000001</v>
      </c>
      <c r="J121" s="551">
        <f t="shared" si="186"/>
        <v>23</v>
      </c>
      <c r="K121" s="451">
        <f t="shared" si="187"/>
        <v>10.64</v>
      </c>
      <c r="L121" s="451">
        <f t="shared" si="188"/>
        <v>33.64</v>
      </c>
      <c r="M121" s="451"/>
      <c r="N121" s="221">
        <f t="shared" si="189"/>
        <v>0.31629013079667062</v>
      </c>
      <c r="O121" s="176">
        <f t="shared" si="190"/>
        <v>11.184809750297264</v>
      </c>
      <c r="P121" s="176">
        <f t="shared" si="191"/>
        <v>2.6843543400713439</v>
      </c>
      <c r="Q121" s="221">
        <f t="shared" si="192"/>
        <v>2.2369619500594529</v>
      </c>
      <c r="R121" s="221">
        <f t="shared" si="193"/>
        <v>2.2369619500594529</v>
      </c>
      <c r="S121" s="221">
        <f t="shared" si="194"/>
        <v>5</v>
      </c>
      <c r="T121" s="221">
        <f t="shared" si="195"/>
        <v>0.20161272747085107</v>
      </c>
      <c r="U121" s="221">
        <f t="shared" si="196"/>
        <v>6.1360395317215537E-2</v>
      </c>
      <c r="V121" s="221">
        <f t="shared" si="197"/>
        <v>0.13263995228345463</v>
      </c>
      <c r="W121" s="201">
        <f t="shared" si="198"/>
        <v>350</v>
      </c>
      <c r="X121" s="451">
        <f t="shared" si="199"/>
        <v>350</v>
      </c>
      <c r="Z121" s="221">
        <f t="shared" si="200"/>
        <v>2.9692542891116021</v>
      </c>
      <c r="AA121" s="177">
        <f t="shared" si="201"/>
        <v>1.9534567691523697</v>
      </c>
      <c r="AB121" s="177">
        <f t="shared" si="202"/>
        <v>1.6917570513665985</v>
      </c>
      <c r="AC121" s="177"/>
      <c r="AD121" s="177">
        <f t="shared" si="203"/>
        <v>0.53947368421052622</v>
      </c>
      <c r="AE121" s="555">
        <f t="shared" si="204"/>
        <v>248.66151100535399</v>
      </c>
      <c r="AF121" s="538">
        <f t="shared" si="205"/>
        <v>0.15482894736842101</v>
      </c>
      <c r="AH121" s="177">
        <f t="shared" si="206"/>
        <v>0.73401329020943595</v>
      </c>
      <c r="AI121" s="177">
        <f t="shared" si="207"/>
        <v>0.82</v>
      </c>
      <c r="AJ121" s="177">
        <f t="shared" si="208"/>
        <v>1.1420922920030594</v>
      </c>
      <c r="AL121" s="555">
        <f t="shared" si="209"/>
        <v>110</v>
      </c>
      <c r="AM121" s="469">
        <f t="shared" si="210"/>
        <v>248.66151100535399</v>
      </c>
      <c r="AO121" s="469">
        <f t="shared" si="211"/>
        <v>110</v>
      </c>
      <c r="AP121" s="469">
        <f t="shared" si="212"/>
        <v>248.66151100535399</v>
      </c>
      <c r="AR121" s="5">
        <f t="shared" si="160"/>
        <v>4.0215311004784686</v>
      </c>
      <c r="AS121" s="5">
        <f t="shared" si="246"/>
        <v>0.24956521739130433</v>
      </c>
      <c r="AT121" s="5">
        <f t="shared" si="247"/>
        <v>3.7719658830871641</v>
      </c>
      <c r="AU121" s="177">
        <f t="shared" si="248"/>
        <v>6.2057264050901381E-2</v>
      </c>
      <c r="AW121" s="5">
        <f t="shared" si="216"/>
        <v>0.54904347826086952</v>
      </c>
      <c r="AX121" s="5"/>
      <c r="AY121" s="5">
        <f t="shared" si="217"/>
        <v>0.10980869565217391</v>
      </c>
      <c r="AZ121" s="5"/>
      <c r="BA121" s="5">
        <f t="shared" si="218"/>
        <v>8.3517763111833343E-2</v>
      </c>
      <c r="BB121" s="5"/>
      <c r="BC121" s="5"/>
      <c r="BD121" s="177">
        <f t="shared" si="219"/>
        <v>0.11793685365175451</v>
      </c>
      <c r="BE121" s="177">
        <f t="shared" si="220"/>
        <v>0.91700432252865194</v>
      </c>
      <c r="BF121" s="177">
        <f t="shared" si="221"/>
        <v>0.1834008645057304</v>
      </c>
      <c r="BG121" s="177"/>
      <c r="BH121" s="538">
        <f t="shared" si="222"/>
        <v>1.5300011594202897E-3</v>
      </c>
      <c r="BI121" s="538">
        <f t="shared" si="223"/>
        <v>3.4296390243902443E-2</v>
      </c>
      <c r="BJ121" s="538">
        <f t="shared" si="224"/>
        <v>1.2433075550267698E-2</v>
      </c>
      <c r="BK121" s="538">
        <f t="shared" si="225"/>
        <v>6.3314482379535991E-2</v>
      </c>
      <c r="BL121">
        <f t="shared" si="226"/>
        <v>6.6699999999999997E-3</v>
      </c>
      <c r="BM121">
        <f t="shared" si="227"/>
        <v>4.4759071980963714E-5</v>
      </c>
      <c r="BN121">
        <f t="shared" si="228"/>
        <v>0.11852871746599385</v>
      </c>
      <c r="BO121" s="469">
        <f t="shared" si="229"/>
        <v>118.24394933312642</v>
      </c>
      <c r="BP121" s="177">
        <f t="shared" si="230"/>
        <v>4.4000000000000004E-2</v>
      </c>
      <c r="BQ121" s="177">
        <f t="shared" si="231"/>
        <v>8.8000000000000005E-3</v>
      </c>
      <c r="BR121" s="538"/>
      <c r="BT121" s="469">
        <f t="shared" si="232"/>
        <v>52.800000000000004</v>
      </c>
      <c r="BU121" s="538">
        <f t="shared" si="233"/>
        <v>1.3909101449275361E-3</v>
      </c>
      <c r="BV121" s="538">
        <f t="shared" si="234"/>
        <v>2.5226907826086956E-2</v>
      </c>
      <c r="BW121" s="538">
        <f t="shared" si="235"/>
        <v>1.6817938550724642E-3</v>
      </c>
      <c r="BX121" s="538">
        <f t="shared" si="236"/>
        <v>0</v>
      </c>
      <c r="BY121" s="538">
        <f t="shared" si="180"/>
        <v>3.176748584666951E-2</v>
      </c>
      <c r="BZ121" s="538">
        <f t="shared" si="166"/>
        <v>2.8299611826086958E-2</v>
      </c>
      <c r="CA121" s="641">
        <f t="shared" si="237"/>
        <v>8.3600000000000011E-3</v>
      </c>
      <c r="CB121" s="469">
        <f t="shared" si="238"/>
        <v>96.726709498843434</v>
      </c>
      <c r="CC121" s="177">
        <f t="shared" si="168"/>
        <v>0.21145620331266338</v>
      </c>
      <c r="CD121" s="5">
        <f t="shared" si="239"/>
        <v>0.66</v>
      </c>
      <c r="CE121" s="177">
        <f t="shared" si="240"/>
        <v>0.75735303448543301</v>
      </c>
      <c r="CF121" s="5">
        <f t="shared" si="241"/>
        <v>75.735303448543306</v>
      </c>
      <c r="CG121">
        <f t="shared" si="242"/>
        <v>11</v>
      </c>
      <c r="CI121" s="571">
        <f t="shared" si="243"/>
        <v>-50</v>
      </c>
      <c r="CJ121">
        <f t="shared" si="244"/>
        <v>-50</v>
      </c>
    </row>
    <row r="122" spans="5:88" x14ac:dyDescent="0.2">
      <c r="E122" s="174">
        <v>12</v>
      </c>
      <c r="F122" s="221">
        <f t="shared" si="245"/>
        <v>0.12</v>
      </c>
      <c r="G122" s="221">
        <f t="shared" si="183"/>
        <v>2.4E-2</v>
      </c>
      <c r="H122" s="221">
        <f t="shared" si="184"/>
        <v>0.6</v>
      </c>
      <c r="I122" s="221">
        <f t="shared" si="185"/>
        <v>0.12</v>
      </c>
      <c r="J122" s="551">
        <f t="shared" si="186"/>
        <v>23</v>
      </c>
      <c r="K122" s="451">
        <f t="shared" si="187"/>
        <v>10.64</v>
      </c>
      <c r="L122" s="451">
        <f t="shared" si="188"/>
        <v>33.64</v>
      </c>
      <c r="M122" s="451"/>
      <c r="N122" s="221">
        <f t="shared" si="189"/>
        <v>0.31629013079667062</v>
      </c>
      <c r="O122" s="176">
        <f t="shared" si="190"/>
        <v>11.184809750297264</v>
      </c>
      <c r="P122" s="176">
        <f t="shared" si="191"/>
        <v>2.6843543400713439</v>
      </c>
      <c r="Q122" s="221">
        <f t="shared" si="192"/>
        <v>2.2369619500594529</v>
      </c>
      <c r="R122" s="221">
        <f t="shared" si="193"/>
        <v>2.2369619500594529</v>
      </c>
      <c r="S122" s="221">
        <f t="shared" si="194"/>
        <v>5</v>
      </c>
      <c r="T122" s="221">
        <f t="shared" si="195"/>
        <v>0.21994115724092841</v>
      </c>
      <c r="U122" s="221">
        <f t="shared" si="196"/>
        <v>6.6938613073326048E-2</v>
      </c>
      <c r="V122" s="221">
        <f t="shared" si="197"/>
        <v>0.1446981297637687</v>
      </c>
      <c r="W122" s="201">
        <f t="shared" si="198"/>
        <v>350</v>
      </c>
      <c r="X122" s="451">
        <f t="shared" si="199"/>
        <v>350</v>
      </c>
      <c r="Z122" s="221">
        <f t="shared" si="200"/>
        <v>2.9692542891116021</v>
      </c>
      <c r="AA122" s="177">
        <f t="shared" si="201"/>
        <v>1.9534567691523697</v>
      </c>
      <c r="AB122" s="177">
        <f t="shared" si="202"/>
        <v>1.6917570513665985</v>
      </c>
      <c r="AC122" s="177"/>
      <c r="AD122" s="177">
        <f t="shared" si="203"/>
        <v>0.53947368421052622</v>
      </c>
      <c r="AE122" s="555">
        <f t="shared" si="204"/>
        <v>271.26710291493163</v>
      </c>
      <c r="AF122" s="538">
        <f t="shared" si="205"/>
        <v>0.15482894736842101</v>
      </c>
      <c r="AH122" s="177">
        <f t="shared" si="206"/>
        <v>0.76665187799992784</v>
      </c>
      <c r="AI122" s="177">
        <f t="shared" si="207"/>
        <v>0.82</v>
      </c>
      <c r="AJ122" s="177">
        <f t="shared" si="208"/>
        <v>1.1550097730942466</v>
      </c>
      <c r="AL122" s="555">
        <f t="shared" si="209"/>
        <v>120</v>
      </c>
      <c r="AM122" s="469">
        <f t="shared" si="210"/>
        <v>271.26710291493163</v>
      </c>
      <c r="AO122" s="469">
        <f t="shared" si="211"/>
        <v>120</v>
      </c>
      <c r="AP122" s="469">
        <f t="shared" si="212"/>
        <v>271.26710291493163</v>
      </c>
      <c r="AR122" s="5">
        <f t="shared" si="160"/>
        <v>3.6864035087719289</v>
      </c>
      <c r="AS122" s="5">
        <f t="shared" si="246"/>
        <v>0.24956521739130433</v>
      </c>
      <c r="AT122" s="5">
        <f t="shared" si="247"/>
        <v>3.4368382913806244</v>
      </c>
      <c r="AU122" s="177">
        <f t="shared" si="248"/>
        <v>6.7698833510074247E-2</v>
      </c>
      <c r="AW122" s="5">
        <f t="shared" si="216"/>
        <v>0.59895652173913039</v>
      </c>
      <c r="AX122" s="5"/>
      <c r="AY122" s="5">
        <f t="shared" si="217"/>
        <v>0.11979130434782607</v>
      </c>
      <c r="AZ122" s="5"/>
      <c r="BA122" s="5">
        <f t="shared" si="218"/>
        <v>8.3015417666198632E-2</v>
      </c>
      <c r="BB122" s="5"/>
      <c r="BC122" s="5"/>
      <c r="BD122" s="177">
        <f t="shared" si="219"/>
        <v>0.12318102620692567</v>
      </c>
      <c r="BE122" s="177">
        <f t="shared" si="220"/>
        <v>0.91424234886804934</v>
      </c>
      <c r="BF122" s="177">
        <f t="shared" si="221"/>
        <v>0.18284846977360988</v>
      </c>
      <c r="BG122" s="177"/>
      <c r="BH122" s="538">
        <f t="shared" si="222"/>
        <v>1.669092173913044E-3</v>
      </c>
      <c r="BI122" s="538">
        <f t="shared" si="223"/>
        <v>3.7414243902439026E-2</v>
      </c>
      <c r="BJ122" s="538">
        <f t="shared" si="224"/>
        <v>1.3563355145746581E-2</v>
      </c>
      <c r="BK122" s="538">
        <f t="shared" si="225"/>
        <v>6.9070344414039281E-2</v>
      </c>
      <c r="BL122">
        <f t="shared" si="226"/>
        <v>6.6699999999999997E-3</v>
      </c>
      <c r="BM122">
        <f t="shared" si="227"/>
        <v>4.8828078524687689E-5</v>
      </c>
      <c r="BN122">
        <f t="shared" si="228"/>
        <v>0.12870082425600188</v>
      </c>
      <c r="BO122" s="469">
        <f t="shared" si="229"/>
        <v>128.38703563613794</v>
      </c>
      <c r="BP122" s="177">
        <f t="shared" si="230"/>
        <v>4.8000000000000001E-2</v>
      </c>
      <c r="BQ122" s="177">
        <f t="shared" si="231"/>
        <v>9.6000000000000009E-3</v>
      </c>
      <c r="BR122" s="538"/>
      <c r="BT122" s="469">
        <f t="shared" si="232"/>
        <v>57.6</v>
      </c>
      <c r="BU122" s="538">
        <f t="shared" si="233"/>
        <v>1.5173565217391309E-3</v>
      </c>
      <c r="BV122" s="538">
        <f t="shared" si="234"/>
        <v>2.507517217391304E-2</v>
      </c>
      <c r="BW122" s="538">
        <f t="shared" si="235"/>
        <v>1.6716781449275363E-3</v>
      </c>
      <c r="BX122" s="538">
        <f t="shared" si="236"/>
        <v>0</v>
      </c>
      <c r="BY122" s="538">
        <f t="shared" si="180"/>
        <v>3.1727652215431917E-2</v>
      </c>
      <c r="BZ122" s="538">
        <f t="shared" si="166"/>
        <v>2.826420684057971E-2</v>
      </c>
      <c r="CA122" s="641">
        <f t="shared" si="237"/>
        <v>9.1200000000000014E-3</v>
      </c>
      <c r="CB122" s="469">
        <f t="shared" si="238"/>
        <v>97.376065896591342</v>
      </c>
      <c r="CC122" s="177">
        <f t="shared" si="168"/>
        <v>0.22714847647143377</v>
      </c>
      <c r="CD122" s="5">
        <f t="shared" si="239"/>
        <v>0.72</v>
      </c>
      <c r="CE122" s="177">
        <f t="shared" si="240"/>
        <v>0.76017648540420302</v>
      </c>
      <c r="CF122" s="5">
        <f t="shared" si="241"/>
        <v>76.017648540420296</v>
      </c>
      <c r="CG122">
        <f t="shared" si="242"/>
        <v>12</v>
      </c>
      <c r="CI122" s="571">
        <f t="shared" si="243"/>
        <v>-50</v>
      </c>
      <c r="CJ122">
        <f t="shared" si="244"/>
        <v>-50</v>
      </c>
    </row>
    <row r="123" spans="5:88" x14ac:dyDescent="0.2">
      <c r="E123" s="174">
        <v>13</v>
      </c>
      <c r="F123" s="221">
        <f t="shared" si="245"/>
        <v>0.13</v>
      </c>
      <c r="G123" s="221">
        <f t="shared" si="183"/>
        <v>2.6000000000000002E-2</v>
      </c>
      <c r="H123" s="221">
        <f t="shared" si="184"/>
        <v>0.65</v>
      </c>
      <c r="I123" s="221">
        <f t="shared" si="185"/>
        <v>0.13</v>
      </c>
      <c r="J123" s="551">
        <f t="shared" si="186"/>
        <v>23</v>
      </c>
      <c r="K123" s="451">
        <f t="shared" si="187"/>
        <v>10.64</v>
      </c>
      <c r="L123" s="451">
        <f t="shared" si="188"/>
        <v>33.64</v>
      </c>
      <c r="M123" s="451"/>
      <c r="N123" s="221">
        <f t="shared" si="189"/>
        <v>0.31629013079667062</v>
      </c>
      <c r="O123" s="176">
        <f t="shared" si="190"/>
        <v>11.184809750297264</v>
      </c>
      <c r="P123" s="176">
        <f t="shared" si="191"/>
        <v>2.6843543400713439</v>
      </c>
      <c r="Q123" s="221">
        <f t="shared" si="192"/>
        <v>2.2369619500594529</v>
      </c>
      <c r="R123" s="221">
        <f t="shared" si="193"/>
        <v>2.2369619500594529</v>
      </c>
      <c r="S123" s="221">
        <f t="shared" si="194"/>
        <v>5</v>
      </c>
      <c r="T123" s="221">
        <f t="shared" si="195"/>
        <v>0.23826958701100578</v>
      </c>
      <c r="U123" s="221">
        <f t="shared" si="196"/>
        <v>7.2516830829436552E-2</v>
      </c>
      <c r="V123" s="221">
        <f t="shared" si="197"/>
        <v>0.15675630724408274</v>
      </c>
      <c r="W123" s="201">
        <f t="shared" si="198"/>
        <v>350</v>
      </c>
      <c r="X123" s="451">
        <f t="shared" si="199"/>
        <v>350</v>
      </c>
      <c r="Z123" s="221">
        <f t="shared" si="200"/>
        <v>2.9692542891116021</v>
      </c>
      <c r="AA123" s="177">
        <f t="shared" si="201"/>
        <v>1.9534567691523697</v>
      </c>
      <c r="AB123" s="177">
        <f t="shared" si="202"/>
        <v>1.6917570513665985</v>
      </c>
      <c r="AC123" s="177"/>
      <c r="AD123" s="177">
        <f t="shared" si="203"/>
        <v>0.53947368421052622</v>
      </c>
      <c r="AE123" s="555">
        <f t="shared" si="204"/>
        <v>293.87269482450927</v>
      </c>
      <c r="AF123" s="538">
        <f t="shared" si="205"/>
        <v>0.15482894736842101</v>
      </c>
      <c r="AH123" s="177">
        <f t="shared" si="206"/>
        <v>0.7979565739296538</v>
      </c>
      <c r="AI123" s="177">
        <f t="shared" si="207"/>
        <v>0.82</v>
      </c>
      <c r="AJ123" s="177">
        <f t="shared" si="208"/>
        <v>1.167927254185434</v>
      </c>
      <c r="AL123" s="555">
        <f t="shared" si="209"/>
        <v>130</v>
      </c>
      <c r="AM123" s="469">
        <f t="shared" si="210"/>
        <v>293.87269482450927</v>
      </c>
      <c r="AO123" s="469">
        <f t="shared" si="211"/>
        <v>130</v>
      </c>
      <c r="AP123" s="469">
        <f t="shared" si="212"/>
        <v>293.87269482450927</v>
      </c>
      <c r="AR123" s="5">
        <f t="shared" si="160"/>
        <v>3.4028340080971651</v>
      </c>
      <c r="AS123" s="5">
        <f t="shared" si="246"/>
        <v>0.24956521739130433</v>
      </c>
      <c r="AT123" s="5">
        <f t="shared" si="247"/>
        <v>3.1532687907058605</v>
      </c>
      <c r="AU123" s="177">
        <f t="shared" si="248"/>
        <v>7.3340402969247098E-2</v>
      </c>
      <c r="AW123" s="5">
        <f t="shared" si="216"/>
        <v>0.64886956521739136</v>
      </c>
      <c r="AX123" s="5"/>
      <c r="AY123" s="5">
        <f t="shared" si="217"/>
        <v>0.12977391304347827</v>
      </c>
      <c r="AZ123" s="5"/>
      <c r="BA123" s="5">
        <f t="shared" si="218"/>
        <v>8.2513072220563963E-2</v>
      </c>
      <c r="BB123" s="5"/>
      <c r="BC123" s="5"/>
      <c r="BD123" s="177">
        <f t="shared" si="219"/>
        <v>0.12821087701715189</v>
      </c>
      <c r="BE123" s="177">
        <f t="shared" si="220"/>
        <v>0.91147200581877685</v>
      </c>
      <c r="BF123" s="177">
        <f t="shared" si="221"/>
        <v>0.18229440116375539</v>
      </c>
      <c r="BG123" s="177"/>
      <c r="BH123" s="538">
        <f t="shared" si="222"/>
        <v>1.8081831884057969E-3</v>
      </c>
      <c r="BI123" s="538">
        <f t="shared" si="223"/>
        <v>4.0532097560975616E-2</v>
      </c>
      <c r="BJ123" s="538">
        <f t="shared" si="224"/>
        <v>1.4693634741225464E-2</v>
      </c>
      <c r="BK123" s="538">
        <f t="shared" si="225"/>
        <v>7.4826206448542557E-2</v>
      </c>
      <c r="BL123">
        <f t="shared" si="226"/>
        <v>6.6699999999999997E-3</v>
      </c>
      <c r="BM123">
        <f t="shared" si="227"/>
        <v>5.2897085068411664E-5</v>
      </c>
      <c r="BN123">
        <f t="shared" si="228"/>
        <v>0.13887345329939166</v>
      </c>
      <c r="BO123" s="469">
        <f t="shared" si="229"/>
        <v>138.53012193914944</v>
      </c>
      <c r="BP123" s="177">
        <f t="shared" si="230"/>
        <v>5.2000000000000005E-2</v>
      </c>
      <c r="BQ123" s="177">
        <f t="shared" si="231"/>
        <v>1.0400000000000001E-2</v>
      </c>
      <c r="BR123" s="538"/>
      <c r="BT123" s="469">
        <f t="shared" si="232"/>
        <v>62.400000000000006</v>
      </c>
      <c r="BU123" s="538">
        <f t="shared" si="233"/>
        <v>1.6438028985507247E-3</v>
      </c>
      <c r="BV123" s="538">
        <f t="shared" si="234"/>
        <v>2.4923436521739131E-2</v>
      </c>
      <c r="BW123" s="538">
        <f t="shared" si="235"/>
        <v>1.6615624347826093E-3</v>
      </c>
      <c r="BX123" s="538">
        <f t="shared" si="236"/>
        <v>0</v>
      </c>
      <c r="BY123" s="538">
        <f t="shared" si="180"/>
        <v>3.1687818810354512E-2</v>
      </c>
      <c r="BZ123" s="538">
        <f t="shared" si="166"/>
        <v>2.8228801855072462E-2</v>
      </c>
      <c r="CA123" s="641">
        <f t="shared" si="237"/>
        <v>9.8800000000000016E-3</v>
      </c>
      <c r="CB123" s="469">
        <f t="shared" si="238"/>
        <v>98.025422520499433</v>
      </c>
      <c r="CC123" s="177">
        <f t="shared" si="168"/>
        <v>0.24284127210974615</v>
      </c>
      <c r="CD123" s="5">
        <f t="shared" si="239"/>
        <v>0.78</v>
      </c>
      <c r="CE123" s="177">
        <f t="shared" si="240"/>
        <v>0.76258166469089217</v>
      </c>
      <c r="CF123" s="5">
        <f t="shared" si="241"/>
        <v>76.258166469089218</v>
      </c>
      <c r="CG123">
        <f t="shared" si="242"/>
        <v>13</v>
      </c>
      <c r="CI123" s="571">
        <f t="shared" si="243"/>
        <v>-50</v>
      </c>
      <c r="CJ123">
        <f t="shared" si="244"/>
        <v>-50</v>
      </c>
    </row>
    <row r="124" spans="5:88" x14ac:dyDescent="0.2">
      <c r="E124" s="174">
        <v>14</v>
      </c>
      <c r="F124" s="221">
        <f t="shared" si="245"/>
        <v>0.14000000000000001</v>
      </c>
      <c r="G124" s="221">
        <f t="shared" si="183"/>
        <v>2.8000000000000004E-2</v>
      </c>
      <c r="H124" s="221">
        <f t="shared" si="184"/>
        <v>0.70000000000000007</v>
      </c>
      <c r="I124" s="221">
        <f t="shared" si="185"/>
        <v>0.14000000000000001</v>
      </c>
      <c r="J124" s="551">
        <f t="shared" si="186"/>
        <v>23</v>
      </c>
      <c r="K124" s="451">
        <f t="shared" si="187"/>
        <v>10.64</v>
      </c>
      <c r="L124" s="451">
        <f t="shared" si="188"/>
        <v>33.64</v>
      </c>
      <c r="M124" s="451"/>
      <c r="N124" s="221">
        <f t="shared" si="189"/>
        <v>0.31629013079667062</v>
      </c>
      <c r="O124" s="176">
        <f t="shared" si="190"/>
        <v>11.184809750297264</v>
      </c>
      <c r="P124" s="176">
        <f t="shared" si="191"/>
        <v>2.6843543400713439</v>
      </c>
      <c r="Q124" s="221">
        <f t="shared" si="192"/>
        <v>2.2369619500594529</v>
      </c>
      <c r="R124" s="221">
        <f t="shared" si="193"/>
        <v>2.2369619500594529</v>
      </c>
      <c r="S124" s="221">
        <f t="shared" si="194"/>
        <v>5</v>
      </c>
      <c r="T124" s="221">
        <f t="shared" si="195"/>
        <v>0.25659801678108318</v>
      </c>
      <c r="U124" s="221">
        <f t="shared" si="196"/>
        <v>7.8095048585547056E-2</v>
      </c>
      <c r="V124" s="221">
        <f t="shared" si="197"/>
        <v>0.16881448472439681</v>
      </c>
      <c r="W124" s="201">
        <f t="shared" si="198"/>
        <v>350</v>
      </c>
      <c r="X124" s="451">
        <f t="shared" si="199"/>
        <v>350</v>
      </c>
      <c r="Z124" s="221">
        <f t="shared" si="200"/>
        <v>2.9692542891116021</v>
      </c>
      <c r="AA124" s="177">
        <f t="shared" si="201"/>
        <v>1.9534567691523697</v>
      </c>
      <c r="AB124" s="177">
        <f t="shared" si="202"/>
        <v>1.6917570513665985</v>
      </c>
      <c r="AC124" s="177"/>
      <c r="AD124" s="177">
        <f t="shared" si="203"/>
        <v>0.53947368421052622</v>
      </c>
      <c r="AE124" s="555">
        <f t="shared" si="204"/>
        <v>316.47828673408691</v>
      </c>
      <c r="AF124" s="538">
        <f t="shared" si="205"/>
        <v>0.15482894736842101</v>
      </c>
      <c r="AH124" s="177">
        <f t="shared" si="206"/>
        <v>0.82807867121082501</v>
      </c>
      <c r="AI124" s="177">
        <f t="shared" si="207"/>
        <v>0.82807867121082501</v>
      </c>
      <c r="AJ124" s="177">
        <f t="shared" si="208"/>
        <v>1.1808447352766211</v>
      </c>
      <c r="AL124" s="555">
        <f t="shared" si="209"/>
        <v>140</v>
      </c>
      <c r="AM124" s="469">
        <f t="shared" si="210"/>
        <v>316.47828673408691</v>
      </c>
      <c r="AO124" s="469">
        <f t="shared" si="211"/>
        <v>140</v>
      </c>
      <c r="AP124" s="469">
        <f t="shared" si="212"/>
        <v>316.47828673408691</v>
      </c>
      <c r="AR124" s="5">
        <f t="shared" si="160"/>
        <v>3.1597744360902249</v>
      </c>
      <c r="AS124" s="5">
        <f t="shared" si="246"/>
        <v>0.25202394341199025</v>
      </c>
      <c r="AT124" s="5">
        <f t="shared" si="247"/>
        <v>2.9077504926782347</v>
      </c>
      <c r="AU124" s="177">
        <f t="shared" si="248"/>
        <v>7.9760105826995151E-2</v>
      </c>
      <c r="AW124" s="5">
        <f t="shared" si="216"/>
        <v>0.70566704155357274</v>
      </c>
      <c r="AX124" s="5"/>
      <c r="AY124" s="5">
        <f t="shared" si="217"/>
        <v>0.14113340831071458</v>
      </c>
      <c r="AZ124" s="5"/>
      <c r="BA124" s="5">
        <f t="shared" si="218"/>
        <v>8.1941439004620129E-2</v>
      </c>
      <c r="BB124" s="5"/>
      <c r="BC124" s="5"/>
      <c r="BD124" s="177">
        <f t="shared" si="219"/>
        <v>0.13502178095360987</v>
      </c>
      <c r="BE124" s="177">
        <f t="shared" si="220"/>
        <v>0.91725797295972067</v>
      </c>
      <c r="BF124" s="177">
        <f t="shared" si="221"/>
        <v>0.18345159459194416</v>
      </c>
      <c r="BG124" s="177"/>
      <c r="BH124" s="538">
        <f t="shared" si="222"/>
        <v>2.0053969465073066E-3</v>
      </c>
      <c r="BI124" s="538">
        <f t="shared" si="223"/>
        <v>4.407999220033048E-2</v>
      </c>
      <c r="BJ124" s="538">
        <f t="shared" si="224"/>
        <v>1.5823914336704346E-2</v>
      </c>
      <c r="BK124" s="538">
        <f t="shared" si="225"/>
        <v>8.0582068483045818E-2</v>
      </c>
      <c r="BL124">
        <f t="shared" si="226"/>
        <v>6.6699999999999997E-3</v>
      </c>
      <c r="BM124">
        <f t="shared" si="227"/>
        <v>5.6966091612135639E-5</v>
      </c>
      <c r="BN124">
        <f t="shared" si="228"/>
        <v>0.14954439743546669</v>
      </c>
      <c r="BO124" s="469">
        <f t="shared" si="229"/>
        <v>149.16137196658795</v>
      </c>
      <c r="BP124" s="177">
        <f t="shared" si="230"/>
        <v>5.6000000000000008E-2</v>
      </c>
      <c r="BQ124" s="177">
        <f t="shared" si="231"/>
        <v>1.1200000000000002E-2</v>
      </c>
      <c r="BR124" s="538"/>
      <c r="BT124" s="469">
        <f t="shared" si="232"/>
        <v>67.2</v>
      </c>
      <c r="BU124" s="538">
        <f t="shared" si="233"/>
        <v>1.8230881331884605E-3</v>
      </c>
      <c r="BV124" s="538">
        <f t="shared" si="234"/>
        <v>2.5240865668745269E-2</v>
      </c>
      <c r="BW124" s="538">
        <f t="shared" si="235"/>
        <v>1.6827243779163519E-3</v>
      </c>
      <c r="BX124" s="538">
        <f t="shared" si="236"/>
        <v>0</v>
      </c>
      <c r="BY124" s="538">
        <f t="shared" si="180"/>
        <v>3.2270493119865844E-2</v>
      </c>
      <c r="BZ124" s="538">
        <f t="shared" si="166"/>
        <v>2.874667817985008E-2</v>
      </c>
      <c r="CA124" s="641">
        <f t="shared" si="237"/>
        <v>1.0850684116597266E-2</v>
      </c>
      <c r="CB124" s="469">
        <f t="shared" si="238"/>
        <v>100.61453359616327</v>
      </c>
      <c r="CC124" s="177">
        <f t="shared" si="168"/>
        <v>0.25986557467192983</v>
      </c>
      <c r="CD124" s="5">
        <f t="shared" si="239"/>
        <v>0.84000000000000008</v>
      </c>
      <c r="CE124" s="177">
        <f t="shared" si="240"/>
        <v>0.76372969510438304</v>
      </c>
      <c r="CF124" s="5">
        <f t="shared" si="241"/>
        <v>76.37296951043831</v>
      </c>
      <c r="CG124">
        <f t="shared" si="242"/>
        <v>14.000000000000002</v>
      </c>
      <c r="CI124" s="571">
        <f t="shared" si="243"/>
        <v>-50</v>
      </c>
      <c r="CJ124">
        <f t="shared" si="244"/>
        <v>-50</v>
      </c>
    </row>
    <row r="125" spans="5:88" x14ac:dyDescent="0.2">
      <c r="E125" s="174">
        <v>15</v>
      </c>
      <c r="F125" s="221">
        <f t="shared" si="245"/>
        <v>0.15</v>
      </c>
      <c r="G125" s="221">
        <f t="shared" si="183"/>
        <v>0.03</v>
      </c>
      <c r="H125" s="221">
        <f t="shared" si="184"/>
        <v>0.75</v>
      </c>
      <c r="I125" s="221">
        <f t="shared" si="185"/>
        <v>0.15</v>
      </c>
      <c r="J125" s="551">
        <f t="shared" si="186"/>
        <v>23</v>
      </c>
      <c r="K125" s="451">
        <f t="shared" si="187"/>
        <v>10.64</v>
      </c>
      <c r="L125" s="451">
        <f t="shared" si="188"/>
        <v>33.64</v>
      </c>
      <c r="M125" s="451"/>
      <c r="N125" s="221">
        <f t="shared" si="189"/>
        <v>0.31629013079667062</v>
      </c>
      <c r="O125" s="176">
        <f t="shared" si="190"/>
        <v>11.184809750297264</v>
      </c>
      <c r="P125" s="176">
        <f t="shared" si="191"/>
        <v>2.6843543400713439</v>
      </c>
      <c r="Q125" s="221">
        <f t="shared" si="192"/>
        <v>2.2369619500594529</v>
      </c>
      <c r="R125" s="221">
        <f t="shared" si="193"/>
        <v>2.2369619500594529</v>
      </c>
      <c r="S125" s="221">
        <f t="shared" si="194"/>
        <v>5</v>
      </c>
      <c r="T125" s="221">
        <f t="shared" si="195"/>
        <v>0.27492644655116055</v>
      </c>
      <c r="U125" s="221">
        <f t="shared" si="196"/>
        <v>8.3673266341657546E-2</v>
      </c>
      <c r="V125" s="221">
        <f t="shared" si="197"/>
        <v>0.18087266220471088</v>
      </c>
      <c r="W125" s="201">
        <f t="shared" si="198"/>
        <v>350</v>
      </c>
      <c r="X125" s="451">
        <f t="shared" si="199"/>
        <v>350</v>
      </c>
      <c r="Z125" s="221">
        <f t="shared" si="200"/>
        <v>2.9692542891116021</v>
      </c>
      <c r="AA125" s="177">
        <f t="shared" si="201"/>
        <v>1.9534567691523697</v>
      </c>
      <c r="AB125" s="177">
        <f t="shared" si="202"/>
        <v>1.6917570513665985</v>
      </c>
      <c r="AC125" s="177"/>
      <c r="AD125" s="177">
        <f t="shared" si="203"/>
        <v>0.53947368421052622</v>
      </c>
      <c r="AE125" s="555">
        <f t="shared" si="204"/>
        <v>339.08387864366455</v>
      </c>
      <c r="AF125" s="538">
        <f t="shared" si="205"/>
        <v>0.15482894736842101</v>
      </c>
      <c r="AH125" s="177">
        <f t="shared" si="206"/>
        <v>0.8571428571428571</v>
      </c>
      <c r="AI125" s="177">
        <f t="shared" si="207"/>
        <v>0.8571428571428571</v>
      </c>
      <c r="AJ125" s="177">
        <f t="shared" si="208"/>
        <v>1.1937622163678083</v>
      </c>
      <c r="AL125" s="555">
        <f t="shared" si="209"/>
        <v>150</v>
      </c>
      <c r="AM125" s="469">
        <f t="shared" si="210"/>
        <v>339.08387864366455</v>
      </c>
      <c r="AO125" s="469">
        <f t="shared" si="211"/>
        <v>150</v>
      </c>
      <c r="AP125" s="469">
        <f t="shared" si="212"/>
        <v>339.08387864366455</v>
      </c>
      <c r="AR125" s="5">
        <f t="shared" si="160"/>
        <v>2.9491228070175435</v>
      </c>
      <c r="AS125" s="5">
        <f t="shared" si="246"/>
        <v>0.26086956521739124</v>
      </c>
      <c r="AT125" s="5">
        <f t="shared" si="247"/>
        <v>2.6882532418001523</v>
      </c>
      <c r="AU125" s="177">
        <f t="shared" si="248"/>
        <v>8.8456663993999415E-2</v>
      </c>
      <c r="AW125" s="5">
        <f t="shared" si="216"/>
        <v>0.78260869565217372</v>
      </c>
      <c r="AX125" s="5"/>
      <c r="AY125" s="5">
        <f t="shared" si="217"/>
        <v>0.15652173913043471</v>
      </c>
      <c r="AZ125" s="5"/>
      <c r="BA125" s="5">
        <f t="shared" si="218"/>
        <v>8.1167066479473179E-2</v>
      </c>
      <c r="BB125" s="5"/>
      <c r="BC125" s="5"/>
      <c r="BD125" s="177">
        <f t="shared" si="219"/>
        <v>0.14718307133745506</v>
      </c>
      <c r="BE125" s="177">
        <f t="shared" si="220"/>
        <v>0.94495524273977571</v>
      </c>
      <c r="BF125" s="177">
        <f t="shared" si="221"/>
        <v>0.18899104854795515</v>
      </c>
      <c r="BG125" s="177"/>
      <c r="BH125" s="538">
        <f t="shared" si="222"/>
        <v>2.3829142137159025E-3</v>
      </c>
      <c r="BI125" s="538">
        <f t="shared" si="223"/>
        <v>4.888620718959804E-2</v>
      </c>
      <c r="BJ125" s="538">
        <f t="shared" si="224"/>
        <v>1.6954193932183226E-2</v>
      </c>
      <c r="BK125" s="538">
        <f t="shared" si="225"/>
        <v>8.6337930517549094E-2</v>
      </c>
      <c r="BL125">
        <f t="shared" si="226"/>
        <v>6.6699999999999997E-3</v>
      </c>
      <c r="BM125">
        <f t="shared" si="227"/>
        <v>6.1035098155859614E-5</v>
      </c>
      <c r="BN125">
        <f t="shared" si="228"/>
        <v>0.16168505882983511</v>
      </c>
      <c r="BO125" s="469">
        <f t="shared" si="229"/>
        <v>161.23124585304626</v>
      </c>
      <c r="BP125" s="177">
        <f t="shared" si="230"/>
        <v>0.06</v>
      </c>
      <c r="BQ125" s="177">
        <f t="shared" si="231"/>
        <v>1.2E-2</v>
      </c>
      <c r="BR125" s="538"/>
      <c r="BT125" s="469">
        <f t="shared" si="232"/>
        <v>72</v>
      </c>
      <c r="BU125" s="538">
        <f t="shared" si="233"/>
        <v>2.1662856488326387E-3</v>
      </c>
      <c r="BV125" s="538">
        <f t="shared" si="234"/>
        <v>2.6788212323441651E-2</v>
      </c>
      <c r="BW125" s="538">
        <f t="shared" si="235"/>
        <v>1.7858808215627771E-3</v>
      </c>
      <c r="BX125" s="538">
        <f t="shared" si="236"/>
        <v>0</v>
      </c>
      <c r="BY125" s="538">
        <f t="shared" si="180"/>
        <v>3.4514102375557826E-2</v>
      </c>
      <c r="BZ125" s="538">
        <f t="shared" si="166"/>
        <v>3.0740378793837064E-2</v>
      </c>
      <c r="CA125" s="641">
        <f t="shared" si="237"/>
        <v>1.2456142480787675E-2</v>
      </c>
      <c r="CB125" s="469">
        <f t="shared" si="238"/>
        <v>108.45100244401964</v>
      </c>
      <c r="CC125" s="177">
        <f t="shared" si="168"/>
        <v>0.28065530368618063</v>
      </c>
      <c r="CD125" s="5">
        <f t="shared" si="239"/>
        <v>0.9</v>
      </c>
      <c r="CE125" s="177">
        <f t="shared" si="240"/>
        <v>0.76228853348650261</v>
      </c>
      <c r="CF125" s="5">
        <f t="shared" si="241"/>
        <v>76.228853348650262</v>
      </c>
      <c r="CG125">
        <f t="shared" si="242"/>
        <v>15</v>
      </c>
      <c r="CI125" s="571">
        <f t="shared" si="243"/>
        <v>-50</v>
      </c>
      <c r="CJ125">
        <f t="shared" si="244"/>
        <v>-50</v>
      </c>
    </row>
    <row r="126" spans="5:88" x14ac:dyDescent="0.2">
      <c r="E126" s="174">
        <v>16</v>
      </c>
      <c r="F126" s="221">
        <f t="shared" si="245"/>
        <v>0.16</v>
      </c>
      <c r="G126" s="221">
        <f t="shared" si="183"/>
        <v>3.2000000000000001E-2</v>
      </c>
      <c r="H126" s="221">
        <f t="shared" si="184"/>
        <v>0.8</v>
      </c>
      <c r="I126" s="221">
        <f t="shared" si="185"/>
        <v>0.16</v>
      </c>
      <c r="J126" s="551">
        <f t="shared" si="186"/>
        <v>23</v>
      </c>
      <c r="K126" s="451">
        <f t="shared" si="187"/>
        <v>10.64</v>
      </c>
      <c r="L126" s="451">
        <f t="shared" si="188"/>
        <v>33.64</v>
      </c>
      <c r="M126" s="451"/>
      <c r="N126" s="221">
        <f t="shared" si="189"/>
        <v>0.31629013079667062</v>
      </c>
      <c r="O126" s="176">
        <f t="shared" si="190"/>
        <v>11.184809750297264</v>
      </c>
      <c r="P126" s="176">
        <f t="shared" si="191"/>
        <v>2.6843543400713439</v>
      </c>
      <c r="Q126" s="221">
        <f t="shared" si="192"/>
        <v>2.2369619500594529</v>
      </c>
      <c r="R126" s="221">
        <f t="shared" si="193"/>
        <v>2.2369619500594529</v>
      </c>
      <c r="S126" s="221">
        <f t="shared" si="194"/>
        <v>5</v>
      </c>
      <c r="T126" s="221">
        <f t="shared" si="195"/>
        <v>0.29325487632123792</v>
      </c>
      <c r="U126" s="221">
        <f t="shared" si="196"/>
        <v>8.9251484097768063E-2</v>
      </c>
      <c r="V126" s="221">
        <f t="shared" si="197"/>
        <v>0.19293083968502495</v>
      </c>
      <c r="W126" s="201">
        <f t="shared" si="198"/>
        <v>350</v>
      </c>
      <c r="X126" s="451">
        <f t="shared" si="199"/>
        <v>350</v>
      </c>
      <c r="Z126" s="221">
        <f t="shared" si="200"/>
        <v>2.9692542891116021</v>
      </c>
      <c r="AA126" s="177">
        <f t="shared" si="201"/>
        <v>1.9534567691523697</v>
      </c>
      <c r="AB126" s="177">
        <f t="shared" si="202"/>
        <v>1.6917570513665985</v>
      </c>
      <c r="AC126" s="177"/>
      <c r="AD126" s="177">
        <f t="shared" si="203"/>
        <v>0.53947368421052622</v>
      </c>
      <c r="AE126" s="555">
        <f t="shared" si="204"/>
        <v>361.68947055324219</v>
      </c>
      <c r="AF126" s="538">
        <f t="shared" si="205"/>
        <v>0.15482894736842101</v>
      </c>
      <c r="AH126" s="177">
        <f t="shared" si="206"/>
        <v>0.88525333627598102</v>
      </c>
      <c r="AI126" s="177">
        <f t="shared" si="207"/>
        <v>0.88525333627598102</v>
      </c>
      <c r="AJ126" s="177">
        <f t="shared" si="208"/>
        <v>1.2483358046488748</v>
      </c>
      <c r="AL126" s="555">
        <f t="shared" si="209"/>
        <v>160</v>
      </c>
      <c r="AM126" s="469">
        <f t="shared" si="210"/>
        <v>350</v>
      </c>
      <c r="AO126" s="469">
        <f t="shared" si="211"/>
        <v>160</v>
      </c>
      <c r="AP126" s="469">
        <f t="shared" si="212"/>
        <v>350</v>
      </c>
      <c r="AR126" s="5">
        <f t="shared" si="160"/>
        <v>2.8571428571428572</v>
      </c>
      <c r="AS126" s="5">
        <f t="shared" si="246"/>
        <v>0.26942492843182031</v>
      </c>
      <c r="AT126" s="5">
        <f t="shared" si="247"/>
        <v>2.587717928711037</v>
      </c>
      <c r="AU126" s="177">
        <f t="shared" si="248"/>
        <v>9.42987249511371E-2</v>
      </c>
      <c r="AW126" s="5">
        <f t="shared" si="216"/>
        <v>0.86215977098182506</v>
      </c>
      <c r="AX126" s="5"/>
      <c r="AY126" s="5">
        <f t="shared" si="217"/>
        <v>0.17243195419636498</v>
      </c>
      <c r="AZ126" s="5"/>
      <c r="BA126" s="5">
        <f t="shared" si="218"/>
        <v>8.334035197136995E-2</v>
      </c>
      <c r="BB126" s="5"/>
      <c r="BC126" s="5"/>
      <c r="BD126" s="177">
        <f t="shared" si="219"/>
        <v>0.15694947057497971</v>
      </c>
      <c r="BE126" s="177">
        <f t="shared" si="220"/>
        <v>0.97281314440575251</v>
      </c>
      <c r="BF126" s="177">
        <f t="shared" si="221"/>
        <v>0.1945626288811505</v>
      </c>
      <c r="BG126" s="177"/>
      <c r="BH126" s="538">
        <f t="shared" si="222"/>
        <v>2.7096449945143066E-3</v>
      </c>
      <c r="BI126" s="538">
        <f t="shared" si="223"/>
        <v>5.2114863906566992E-2</v>
      </c>
      <c r="BJ126" s="538">
        <f t="shared" si="224"/>
        <v>1.7499999999999998E-2</v>
      </c>
      <c r="BK126" s="538">
        <f t="shared" si="225"/>
        <v>8.9117405999999996E-2</v>
      </c>
      <c r="BL126">
        <f t="shared" si="226"/>
        <v>6.6699999999999997E-3</v>
      </c>
      <c r="BM126">
        <f t="shared" si="227"/>
        <v>6.3E-5</v>
      </c>
      <c r="BN126">
        <f t="shared" si="228"/>
        <v>0.16862501759632606</v>
      </c>
      <c r="BO126" s="469">
        <f t="shared" si="229"/>
        <v>168.11191490108129</v>
      </c>
      <c r="BP126" s="177">
        <f t="shared" si="230"/>
        <v>6.4000000000000001E-2</v>
      </c>
      <c r="BQ126" s="177">
        <f t="shared" si="231"/>
        <v>1.2800000000000001E-2</v>
      </c>
      <c r="BR126" s="538"/>
      <c r="BT126" s="469">
        <f t="shared" si="232"/>
        <v>76.800000000000011</v>
      </c>
      <c r="BU126" s="538">
        <f t="shared" si="233"/>
        <v>2.4633136313766423E-3</v>
      </c>
      <c r="BV126" s="538">
        <f t="shared" si="234"/>
        <v>2.8390962417858226E-2</v>
      </c>
      <c r="BW126" s="538">
        <f t="shared" si="235"/>
        <v>1.8927308278572149E-3</v>
      </c>
      <c r="BX126" s="538">
        <f t="shared" si="236"/>
        <v>0</v>
      </c>
      <c r="BY126" s="538">
        <f t="shared" si="180"/>
        <v>3.6772984115440693E-2</v>
      </c>
      <c r="BZ126" s="538">
        <f t="shared" si="166"/>
        <v>3.2747006877092082E-2</v>
      </c>
      <c r="CA126" s="641">
        <f t="shared" si="237"/>
        <v>1.3714285714285715E-2</v>
      </c>
      <c r="CB126" s="469">
        <f t="shared" si="238"/>
        <v>115.9812835839106</v>
      </c>
      <c r="CC126" s="177">
        <f t="shared" si="168"/>
        <v>0.29591228742605252</v>
      </c>
      <c r="CD126" s="5">
        <f t="shared" si="239"/>
        <v>0.96000000000000008</v>
      </c>
      <c r="CE126" s="177">
        <f t="shared" si="240"/>
        <v>0.7643845908757575</v>
      </c>
      <c r="CF126" s="5">
        <f t="shared" si="241"/>
        <v>76.438459087575751</v>
      </c>
      <c r="CG126">
        <f t="shared" si="242"/>
        <v>16</v>
      </c>
      <c r="CI126" s="571">
        <f t="shared" si="243"/>
        <v>-50</v>
      </c>
      <c r="CJ126">
        <f t="shared" si="244"/>
        <v>-50</v>
      </c>
    </row>
    <row r="127" spans="5:88" x14ac:dyDescent="0.2">
      <c r="E127" s="174">
        <v>17</v>
      </c>
      <c r="F127" s="221">
        <f t="shared" si="245"/>
        <v>0.17</v>
      </c>
      <c r="G127" s="221">
        <f t="shared" si="183"/>
        <v>3.4000000000000002E-2</v>
      </c>
      <c r="H127" s="221">
        <f t="shared" si="184"/>
        <v>0.85000000000000009</v>
      </c>
      <c r="I127" s="221">
        <f t="shared" si="185"/>
        <v>0.17</v>
      </c>
      <c r="J127" s="551">
        <f t="shared" si="186"/>
        <v>23</v>
      </c>
      <c r="K127" s="451">
        <f t="shared" si="187"/>
        <v>10.64</v>
      </c>
      <c r="L127" s="451">
        <f t="shared" si="188"/>
        <v>33.64</v>
      </c>
      <c r="M127" s="451"/>
      <c r="N127" s="221">
        <f t="shared" si="189"/>
        <v>0.31629013079667062</v>
      </c>
      <c r="O127" s="176">
        <f t="shared" si="190"/>
        <v>11.184809750297264</v>
      </c>
      <c r="P127" s="176">
        <f t="shared" si="191"/>
        <v>2.6843543400713439</v>
      </c>
      <c r="Q127" s="221">
        <f t="shared" si="192"/>
        <v>2.2369619500594529</v>
      </c>
      <c r="R127" s="221">
        <f t="shared" si="193"/>
        <v>2.2369619500594529</v>
      </c>
      <c r="S127" s="221">
        <f t="shared" si="194"/>
        <v>5</v>
      </c>
      <c r="T127" s="221">
        <f t="shared" si="195"/>
        <v>0.31158330609131529</v>
      </c>
      <c r="U127" s="221">
        <f t="shared" si="196"/>
        <v>9.4829701853878554E-2</v>
      </c>
      <c r="V127" s="221">
        <f t="shared" si="197"/>
        <v>0.20498901716533896</v>
      </c>
      <c r="W127" s="201">
        <f t="shared" si="198"/>
        <v>350</v>
      </c>
      <c r="X127" s="451">
        <f t="shared" si="199"/>
        <v>350</v>
      </c>
      <c r="Z127" s="221">
        <f t="shared" si="200"/>
        <v>2.9692542891116021</v>
      </c>
      <c r="AA127" s="177">
        <f t="shared" si="201"/>
        <v>1.9534567691523697</v>
      </c>
      <c r="AB127" s="177">
        <f t="shared" si="202"/>
        <v>1.6917570513665985</v>
      </c>
      <c r="AC127" s="177"/>
      <c r="AD127" s="177">
        <f t="shared" si="203"/>
        <v>0.53947368421052622</v>
      </c>
      <c r="AE127" s="555">
        <f t="shared" si="204"/>
        <v>384.29506246281983</v>
      </c>
      <c r="AF127" s="538">
        <f t="shared" si="205"/>
        <v>0.15482894736842101</v>
      </c>
      <c r="AH127" s="177">
        <f t="shared" si="206"/>
        <v>0.91249825272407492</v>
      </c>
      <c r="AI127" s="177">
        <f t="shared" si="207"/>
        <v>0.91249825272407492</v>
      </c>
      <c r="AJ127" s="177">
        <f t="shared" si="208"/>
        <v>1.2685172242400555</v>
      </c>
      <c r="AL127" s="555">
        <f t="shared" si="209"/>
        <v>170</v>
      </c>
      <c r="AM127" s="469">
        <f t="shared" si="210"/>
        <v>350</v>
      </c>
      <c r="AO127" s="469">
        <f t="shared" si="211"/>
        <v>170</v>
      </c>
      <c r="AP127" s="469">
        <f t="shared" si="212"/>
        <v>350</v>
      </c>
      <c r="AR127" s="5">
        <f t="shared" si="160"/>
        <v>2.8571428571428572</v>
      </c>
      <c r="AS127" s="5">
        <f t="shared" si="246"/>
        <v>0.27771685952471847</v>
      </c>
      <c r="AT127" s="5">
        <f t="shared" si="247"/>
        <v>2.5794259976181388</v>
      </c>
      <c r="AU127" s="177">
        <f t="shared" si="248"/>
        <v>9.720090083365146E-2</v>
      </c>
      <c r="AW127" s="5">
        <f t="shared" si="216"/>
        <v>0.94423732238404301</v>
      </c>
      <c r="AX127" s="5"/>
      <c r="AY127" s="5">
        <f t="shared" si="217"/>
        <v>0.18884746447680859</v>
      </c>
      <c r="AZ127" s="5"/>
      <c r="BA127" s="5">
        <f t="shared" si="218"/>
        <v>8.8265382366160133E-2</v>
      </c>
      <c r="BB127" s="5"/>
      <c r="BC127" s="5"/>
      <c r="BD127" s="177">
        <f t="shared" si="219"/>
        <v>0.16425044660813756</v>
      </c>
      <c r="BE127" s="177">
        <f t="shared" si="220"/>
        <v>1.0011449669197576</v>
      </c>
      <c r="BF127" s="177">
        <f t="shared" si="221"/>
        <v>0.20022899338395153</v>
      </c>
      <c r="BG127" s="177"/>
      <c r="BH127" s="538">
        <f t="shared" si="222"/>
        <v>2.9676030132069916E-3</v>
      </c>
      <c r="BI127" s="538">
        <f t="shared" si="223"/>
        <v>5.3718772137866293E-2</v>
      </c>
      <c r="BJ127" s="538">
        <f t="shared" si="224"/>
        <v>1.7499999999999998E-2</v>
      </c>
      <c r="BK127" s="538">
        <f t="shared" si="225"/>
        <v>8.9117405999999996E-2</v>
      </c>
      <c r="BL127">
        <f t="shared" si="226"/>
        <v>6.6699999999999997E-3</v>
      </c>
      <c r="BM127">
        <f t="shared" si="227"/>
        <v>6.3E-5</v>
      </c>
      <c r="BN127">
        <f t="shared" si="228"/>
        <v>0.17053077703887257</v>
      </c>
      <c r="BO127" s="469">
        <f t="shared" si="229"/>
        <v>169.9737811510733</v>
      </c>
      <c r="BP127" s="177">
        <f t="shared" si="230"/>
        <v>6.8000000000000005E-2</v>
      </c>
      <c r="BQ127" s="177">
        <f t="shared" si="231"/>
        <v>1.3600000000000001E-2</v>
      </c>
      <c r="BR127" s="538"/>
      <c r="BT127" s="469">
        <f t="shared" si="232"/>
        <v>81.600000000000009</v>
      </c>
      <c r="BU127" s="538">
        <f t="shared" si="233"/>
        <v>2.6978209210972649E-3</v>
      </c>
      <c r="BV127" s="538">
        <f t="shared" si="234"/>
        <v>3.0068737343662878E-2</v>
      </c>
      <c r="BW127" s="538">
        <f t="shared" si="235"/>
        <v>2.0045824895775252E-3</v>
      </c>
      <c r="BX127" s="538">
        <f t="shared" si="236"/>
        <v>0</v>
      </c>
      <c r="BY127" s="538">
        <f t="shared" si="180"/>
        <v>3.9052309111810887E-2</v>
      </c>
      <c r="BZ127" s="538">
        <f t="shared" si="166"/>
        <v>3.4771140754337668E-2</v>
      </c>
      <c r="CA127" s="641">
        <f t="shared" si="237"/>
        <v>1.4571428571428569E-2</v>
      </c>
      <c r="CB127" s="469">
        <f t="shared" si="238"/>
        <v>123.16601919191478</v>
      </c>
      <c r="CC127" s="177">
        <f t="shared" si="168"/>
        <v>0.30575451472211201</v>
      </c>
      <c r="CD127" s="5">
        <f t="shared" si="239"/>
        <v>1.02</v>
      </c>
      <c r="CE127" s="177">
        <f t="shared" si="240"/>
        <v>0.76937320497362183</v>
      </c>
      <c r="CF127" s="5">
        <f t="shared" si="241"/>
        <v>76.93732049736218</v>
      </c>
      <c r="CG127">
        <f t="shared" si="242"/>
        <v>17</v>
      </c>
      <c r="CI127" s="571">
        <f t="shared" si="243"/>
        <v>-50</v>
      </c>
      <c r="CJ127">
        <f t="shared" si="244"/>
        <v>-50</v>
      </c>
    </row>
    <row r="128" spans="5:88" x14ac:dyDescent="0.2">
      <c r="E128" s="174">
        <v>18</v>
      </c>
      <c r="F128" s="221">
        <f t="shared" si="245"/>
        <v>0.18</v>
      </c>
      <c r="G128" s="221">
        <f t="shared" si="183"/>
        <v>3.5999999999999997E-2</v>
      </c>
      <c r="H128" s="221">
        <f t="shared" si="184"/>
        <v>0.89999999999999991</v>
      </c>
      <c r="I128" s="221">
        <f t="shared" si="185"/>
        <v>0.18</v>
      </c>
      <c r="J128" s="551">
        <f t="shared" si="186"/>
        <v>23</v>
      </c>
      <c r="K128" s="451">
        <f t="shared" si="187"/>
        <v>10.64</v>
      </c>
      <c r="L128" s="451">
        <f t="shared" si="188"/>
        <v>33.64</v>
      </c>
      <c r="M128" s="451"/>
      <c r="N128" s="221">
        <f t="shared" si="189"/>
        <v>0.31629013079667062</v>
      </c>
      <c r="O128" s="176">
        <f t="shared" si="190"/>
        <v>11.184809750297264</v>
      </c>
      <c r="P128" s="176">
        <f t="shared" si="191"/>
        <v>2.6843543400713439</v>
      </c>
      <c r="Q128" s="221">
        <f t="shared" si="192"/>
        <v>2.2369619500594529</v>
      </c>
      <c r="R128" s="221">
        <f t="shared" si="193"/>
        <v>2.2369619500594529</v>
      </c>
      <c r="S128" s="221">
        <f t="shared" si="194"/>
        <v>5</v>
      </c>
      <c r="T128" s="221">
        <f t="shared" si="195"/>
        <v>0.32991173586139261</v>
      </c>
      <c r="U128" s="221">
        <f t="shared" si="196"/>
        <v>0.10040791960998904</v>
      </c>
      <c r="V128" s="221">
        <f t="shared" si="197"/>
        <v>0.21704719464565303</v>
      </c>
      <c r="W128" s="201">
        <f t="shared" si="198"/>
        <v>350</v>
      </c>
      <c r="X128" s="451">
        <f t="shared" si="199"/>
        <v>350</v>
      </c>
      <c r="Z128" s="221">
        <f t="shared" si="200"/>
        <v>2.9692542891116021</v>
      </c>
      <c r="AA128" s="177">
        <f t="shared" si="201"/>
        <v>1.9534567691523697</v>
      </c>
      <c r="AB128" s="177">
        <f t="shared" si="202"/>
        <v>1.6917570513665985</v>
      </c>
      <c r="AC128" s="177"/>
      <c r="AD128" s="177">
        <f t="shared" si="203"/>
        <v>0.53947368421052622</v>
      </c>
      <c r="AE128" s="555">
        <f t="shared" si="204"/>
        <v>406.90065437239747</v>
      </c>
      <c r="AF128" s="538">
        <f t="shared" si="205"/>
        <v>0.15482894736842101</v>
      </c>
      <c r="AH128" s="177">
        <f t="shared" si="206"/>
        <v>0.93895295572314186</v>
      </c>
      <c r="AI128" s="177">
        <f t="shared" si="207"/>
        <v>0.93895295572314186</v>
      </c>
      <c r="AJ128" s="177">
        <f t="shared" si="208"/>
        <v>1.2881133005356606</v>
      </c>
      <c r="AL128" s="555">
        <f t="shared" si="209"/>
        <v>180</v>
      </c>
      <c r="AM128" s="469">
        <f t="shared" si="210"/>
        <v>350</v>
      </c>
      <c r="AO128" s="469">
        <f t="shared" si="211"/>
        <v>180</v>
      </c>
      <c r="AP128" s="469">
        <f t="shared" si="212"/>
        <v>350</v>
      </c>
      <c r="AR128" s="5">
        <f t="shared" si="160"/>
        <v>2.8571428571428572</v>
      </c>
      <c r="AS128" s="5">
        <f t="shared" si="246"/>
        <v>0.28576829087226052</v>
      </c>
      <c r="AT128" s="5">
        <f t="shared" si="247"/>
        <v>2.5713745662705967</v>
      </c>
      <c r="AU128" s="177">
        <f t="shared" si="248"/>
        <v>0.10001890180529117</v>
      </c>
      <c r="AW128" s="5">
        <f t="shared" si="216"/>
        <v>1.0287658471401377</v>
      </c>
      <c r="AX128" s="5"/>
      <c r="AY128" s="5">
        <f t="shared" si="217"/>
        <v>0.20575316942802754</v>
      </c>
      <c r="AZ128" s="5"/>
      <c r="BA128" s="5">
        <f t="shared" si="218"/>
        <v>9.3165745154731736E-2</v>
      </c>
      <c r="BB128" s="5"/>
      <c r="BC128" s="5"/>
      <c r="BD128" s="177">
        <f t="shared" si="219"/>
        <v>0.17144477221043997</v>
      </c>
      <c r="BE128" s="177">
        <f t="shared" si="220"/>
        <v>1.0285606274831223</v>
      </c>
      <c r="BF128" s="177">
        <f t="shared" si="221"/>
        <v>0.20571212549662446</v>
      </c>
      <c r="BG128" s="177"/>
      <c r="BH128" s="538">
        <f t="shared" si="222"/>
        <v>3.2332640910118613E-3</v>
      </c>
      <c r="BI128" s="538">
        <f t="shared" si="223"/>
        <v>5.5276160503421365E-2</v>
      </c>
      <c r="BJ128" s="538">
        <f t="shared" si="224"/>
        <v>1.7499999999999998E-2</v>
      </c>
      <c r="BK128" s="538">
        <f t="shared" si="225"/>
        <v>8.9117405999999996E-2</v>
      </c>
      <c r="BL128">
        <f t="shared" si="226"/>
        <v>6.6699999999999997E-3</v>
      </c>
      <c r="BM128">
        <f t="shared" si="227"/>
        <v>6.3E-5</v>
      </c>
      <c r="BN128">
        <f t="shared" si="228"/>
        <v>0.17239916376542888</v>
      </c>
      <c r="BO128" s="469">
        <f t="shared" si="229"/>
        <v>171.79683059443323</v>
      </c>
      <c r="BP128" s="177">
        <f t="shared" si="230"/>
        <v>7.1999999999999995E-2</v>
      </c>
      <c r="BQ128" s="177">
        <f t="shared" si="231"/>
        <v>1.44E-2</v>
      </c>
      <c r="BR128" s="538"/>
      <c r="BT128" s="469">
        <f t="shared" si="232"/>
        <v>86.399999999999991</v>
      </c>
      <c r="BU128" s="538">
        <f t="shared" si="233"/>
        <v>2.9393309918289649E-3</v>
      </c>
      <c r="BV128" s="538">
        <f t="shared" si="234"/>
        <v>3.1738108932254226E-2</v>
      </c>
      <c r="BW128" s="538">
        <f t="shared" si="235"/>
        <v>2.1158739288169486E-3</v>
      </c>
      <c r="BX128" s="538">
        <f t="shared" si="236"/>
        <v>0</v>
      </c>
      <c r="BY128" s="538">
        <f t="shared" si="180"/>
        <v>4.133016541506486E-2</v>
      </c>
      <c r="BZ128" s="538">
        <f t="shared" si="166"/>
        <v>3.6793313852900141E-2</v>
      </c>
      <c r="CA128" s="641">
        <f t="shared" si="237"/>
        <v>1.5428571428571429E-2</v>
      </c>
      <c r="CB128" s="469">
        <f t="shared" si="238"/>
        <v>130.34536454943657</v>
      </c>
      <c r="CC128" s="177">
        <f t="shared" si="168"/>
        <v>0.31555790060906513</v>
      </c>
      <c r="CD128" s="5">
        <f t="shared" si="239"/>
        <v>1.0799999999999998</v>
      </c>
      <c r="CE128" s="177">
        <f t="shared" si="240"/>
        <v>0.77388404990481163</v>
      </c>
      <c r="CF128" s="5">
        <f t="shared" si="241"/>
        <v>77.388404990481163</v>
      </c>
      <c r="CG128">
        <f t="shared" si="242"/>
        <v>18</v>
      </c>
      <c r="CI128" s="571">
        <f t="shared" si="243"/>
        <v>-50</v>
      </c>
      <c r="CJ128">
        <f t="shared" si="244"/>
        <v>-50</v>
      </c>
    </row>
    <row r="129" spans="5:88" x14ac:dyDescent="0.2">
      <c r="E129" s="174">
        <v>19</v>
      </c>
      <c r="F129" s="221">
        <f t="shared" si="245"/>
        <v>0.19</v>
      </c>
      <c r="G129" s="221">
        <f t="shared" si="183"/>
        <v>3.8000000000000006E-2</v>
      </c>
      <c r="H129" s="221">
        <f t="shared" si="184"/>
        <v>0.95</v>
      </c>
      <c r="I129" s="221">
        <f t="shared" si="185"/>
        <v>0.19000000000000003</v>
      </c>
      <c r="J129" s="551">
        <f t="shared" si="186"/>
        <v>23</v>
      </c>
      <c r="K129" s="451">
        <f t="shared" si="187"/>
        <v>10.64</v>
      </c>
      <c r="L129" s="451">
        <f t="shared" si="188"/>
        <v>33.64</v>
      </c>
      <c r="M129" s="451"/>
      <c r="N129" s="221">
        <f t="shared" si="189"/>
        <v>0.31629013079667062</v>
      </c>
      <c r="O129" s="176">
        <f t="shared" si="190"/>
        <v>11.184809750297264</v>
      </c>
      <c r="P129" s="176">
        <f t="shared" si="191"/>
        <v>2.6843543400713439</v>
      </c>
      <c r="Q129" s="221">
        <f t="shared" si="192"/>
        <v>2.2369619500594529</v>
      </c>
      <c r="R129" s="221">
        <f t="shared" si="193"/>
        <v>2.2369619500594529</v>
      </c>
      <c r="S129" s="221">
        <f t="shared" si="194"/>
        <v>5</v>
      </c>
      <c r="T129" s="221">
        <f t="shared" si="195"/>
        <v>0.34824016563146998</v>
      </c>
      <c r="U129" s="221">
        <f t="shared" si="196"/>
        <v>0.10598613736609955</v>
      </c>
      <c r="V129" s="221">
        <f t="shared" si="197"/>
        <v>0.22910537212596704</v>
      </c>
      <c r="W129" s="201">
        <f t="shared" si="198"/>
        <v>350</v>
      </c>
      <c r="X129" s="451">
        <f t="shared" si="199"/>
        <v>350</v>
      </c>
      <c r="Z129" s="221">
        <f t="shared" si="200"/>
        <v>2.9692542891116021</v>
      </c>
      <c r="AA129" s="177">
        <f t="shared" si="201"/>
        <v>1.9534567691523697</v>
      </c>
      <c r="AB129" s="177">
        <f t="shared" si="202"/>
        <v>1.6917570513665985</v>
      </c>
      <c r="AC129" s="177"/>
      <c r="AD129" s="177">
        <f t="shared" si="203"/>
        <v>0.53947368421052622</v>
      </c>
      <c r="AE129" s="555">
        <f t="shared" si="204"/>
        <v>429.506246281975</v>
      </c>
      <c r="AF129" s="538">
        <f t="shared" si="205"/>
        <v>0.15482894736842101</v>
      </c>
      <c r="AH129" s="177">
        <f t="shared" si="206"/>
        <v>0.96468245806480746</v>
      </c>
      <c r="AI129" s="177">
        <f t="shared" si="207"/>
        <v>0.96468245806480746</v>
      </c>
      <c r="AJ129" s="177">
        <f t="shared" si="208"/>
        <v>1.3071721911591165</v>
      </c>
      <c r="AL129" s="555">
        <f t="shared" si="209"/>
        <v>190</v>
      </c>
      <c r="AM129" s="469">
        <f t="shared" si="210"/>
        <v>350</v>
      </c>
      <c r="AO129" s="469">
        <f t="shared" si="211"/>
        <v>190</v>
      </c>
      <c r="AP129" s="469">
        <f t="shared" si="212"/>
        <v>350</v>
      </c>
      <c r="AR129" s="5">
        <f t="shared" si="160"/>
        <v>2.8571428571428572</v>
      </c>
      <c r="AS129" s="5">
        <f t="shared" si="246"/>
        <v>0.29359900897624575</v>
      </c>
      <c r="AT129" s="5">
        <f t="shared" si="247"/>
        <v>2.5635438481666113</v>
      </c>
      <c r="AU129" s="177">
        <f t="shared" si="248"/>
        <v>0.102759653141686</v>
      </c>
      <c r="AW129" s="5">
        <f t="shared" si="216"/>
        <v>1.1156762341097339</v>
      </c>
      <c r="AX129" s="5"/>
      <c r="AY129" s="5">
        <f t="shared" si="217"/>
        <v>0.22313524682194683</v>
      </c>
      <c r="AZ129" s="5"/>
      <c r="BA129" s="5">
        <f t="shared" si="218"/>
        <v>9.8042135900091809E-2</v>
      </c>
      <c r="BB129" s="5"/>
      <c r="BC129" s="5"/>
      <c r="BD129" s="177">
        <f t="shared" si="219"/>
        <v>0.17853981021527571</v>
      </c>
      <c r="BE129" s="177">
        <f t="shared" si="220"/>
        <v>1.0551352857353342</v>
      </c>
      <c r="BF129" s="177">
        <f t="shared" si="221"/>
        <v>0.21102705714706685</v>
      </c>
      <c r="BG129" s="177"/>
      <c r="BH129" s="538">
        <f t="shared" si="222"/>
        <v>3.5064110214877335E-3</v>
      </c>
      <c r="BI129" s="538">
        <f t="shared" si="223"/>
        <v>5.6790856306275221E-2</v>
      </c>
      <c r="BJ129" s="538">
        <f t="shared" si="224"/>
        <v>1.7499999999999998E-2</v>
      </c>
      <c r="BK129" s="538">
        <f t="shared" si="225"/>
        <v>8.9117405999999996E-2</v>
      </c>
      <c r="BL129">
        <f t="shared" si="226"/>
        <v>6.6699999999999997E-3</v>
      </c>
      <c r="BM129">
        <f t="shared" si="227"/>
        <v>6.3E-5</v>
      </c>
      <c r="BN129">
        <f t="shared" si="228"/>
        <v>0.17423375635334662</v>
      </c>
      <c r="BO129" s="469">
        <f t="shared" si="229"/>
        <v>173.58467332776294</v>
      </c>
      <c r="BP129" s="177">
        <f t="shared" si="230"/>
        <v>7.6000000000000012E-2</v>
      </c>
      <c r="BQ129" s="177">
        <f t="shared" si="231"/>
        <v>1.5200000000000003E-2</v>
      </c>
      <c r="BR129" s="538"/>
      <c r="BT129" s="469">
        <f t="shared" si="232"/>
        <v>91.200000000000017</v>
      </c>
      <c r="BU129" s="538">
        <f t="shared" si="233"/>
        <v>3.1876463831706672E-3</v>
      </c>
      <c r="BV129" s="538">
        <f t="shared" si="234"/>
        <v>3.3399314136113557E-2</v>
      </c>
      <c r="BW129" s="538">
        <f t="shared" si="235"/>
        <v>2.2266209424075707E-3</v>
      </c>
      <c r="BX129" s="538">
        <f t="shared" si="236"/>
        <v>0</v>
      </c>
      <c r="BY129" s="538">
        <f t="shared" si="180"/>
        <v>4.3606613544862179E-2</v>
      </c>
      <c r="BZ129" s="538">
        <f t="shared" si="166"/>
        <v>3.8813581461691796E-2</v>
      </c>
      <c r="CA129" s="641">
        <f t="shared" si="237"/>
        <v>1.6285714285714282E-2</v>
      </c>
      <c r="CB129" s="469">
        <f t="shared" si="238"/>
        <v>137.51949075396004</v>
      </c>
      <c r="CC129" s="177">
        <f t="shared" si="168"/>
        <v>0.32532608418392311</v>
      </c>
      <c r="CD129" s="5">
        <f t="shared" si="239"/>
        <v>1.1399999999999999</v>
      </c>
      <c r="CE129" s="177">
        <f t="shared" si="240"/>
        <v>0.77798383056484965</v>
      </c>
      <c r="CF129" s="5">
        <f t="shared" si="241"/>
        <v>77.798383056484965</v>
      </c>
      <c r="CG129">
        <f t="shared" si="242"/>
        <v>19</v>
      </c>
      <c r="CI129" s="571">
        <f t="shared" si="243"/>
        <v>-50</v>
      </c>
      <c r="CJ129">
        <f t="shared" si="244"/>
        <v>-50</v>
      </c>
    </row>
    <row r="130" spans="5:88" x14ac:dyDescent="0.2">
      <c r="E130" s="174">
        <v>20</v>
      </c>
      <c r="F130" s="221">
        <f t="shared" si="245"/>
        <v>0.2</v>
      </c>
      <c r="G130" s="221">
        <f t="shared" si="183"/>
        <v>4.0000000000000008E-2</v>
      </c>
      <c r="H130" s="221">
        <f t="shared" si="184"/>
        <v>1</v>
      </c>
      <c r="I130" s="221">
        <f t="shared" si="185"/>
        <v>0.20000000000000004</v>
      </c>
      <c r="J130" s="551">
        <f t="shared" si="186"/>
        <v>23</v>
      </c>
      <c r="K130" s="451">
        <f t="shared" si="187"/>
        <v>10.64</v>
      </c>
      <c r="L130" s="451">
        <f t="shared" si="188"/>
        <v>33.64</v>
      </c>
      <c r="M130" s="451"/>
      <c r="N130" s="221">
        <f t="shared" si="189"/>
        <v>0.31629013079667062</v>
      </c>
      <c r="O130" s="176">
        <f t="shared" si="190"/>
        <v>11.184809750297264</v>
      </c>
      <c r="P130" s="176">
        <f t="shared" si="191"/>
        <v>2.6843543400713439</v>
      </c>
      <c r="Q130" s="221">
        <f t="shared" si="192"/>
        <v>2.2369619500594529</v>
      </c>
      <c r="R130" s="221">
        <f t="shared" si="193"/>
        <v>2.2369619500594529</v>
      </c>
      <c r="S130" s="221">
        <f t="shared" si="194"/>
        <v>5</v>
      </c>
      <c r="T130" s="221">
        <f t="shared" si="195"/>
        <v>0.36656859540154735</v>
      </c>
      <c r="U130" s="221">
        <f t="shared" si="196"/>
        <v>0.11156435512221005</v>
      </c>
      <c r="V130" s="221">
        <f t="shared" si="197"/>
        <v>0.24116354960628111</v>
      </c>
      <c r="W130" s="201">
        <f t="shared" si="198"/>
        <v>350</v>
      </c>
      <c r="X130" s="451">
        <f t="shared" si="199"/>
        <v>350</v>
      </c>
      <c r="Z130" s="221">
        <f t="shared" si="200"/>
        <v>2.9692542891116021</v>
      </c>
      <c r="AA130" s="177">
        <f t="shared" si="201"/>
        <v>1.9534567691523697</v>
      </c>
      <c r="AB130" s="177">
        <f t="shared" si="202"/>
        <v>1.6917570513665985</v>
      </c>
      <c r="AC130" s="177"/>
      <c r="AD130" s="177">
        <f t="shared" si="203"/>
        <v>0.53947368421052622</v>
      </c>
      <c r="AE130" s="555">
        <f t="shared" si="204"/>
        <v>452.11183819155275</v>
      </c>
      <c r="AF130" s="538">
        <f t="shared" si="205"/>
        <v>0.15482894736842101</v>
      </c>
      <c r="AH130" s="177">
        <f t="shared" si="206"/>
        <v>0.9897433186107869</v>
      </c>
      <c r="AI130" s="177">
        <f t="shared" si="207"/>
        <v>0.9897433186107869</v>
      </c>
      <c r="AJ130" s="177">
        <f t="shared" si="208"/>
        <v>1.3257357915635459</v>
      </c>
      <c r="AL130" s="555">
        <f t="shared" si="209"/>
        <v>200</v>
      </c>
      <c r="AM130" s="469">
        <f t="shared" si="210"/>
        <v>350</v>
      </c>
      <c r="AO130" s="469">
        <f t="shared" si="211"/>
        <v>200</v>
      </c>
      <c r="AP130" s="469">
        <f t="shared" si="212"/>
        <v>350</v>
      </c>
      <c r="AR130" s="5">
        <f t="shared" si="160"/>
        <v>2.8571428571428572</v>
      </c>
      <c r="AS130" s="5">
        <f t="shared" si="246"/>
        <v>0.30122622740328303</v>
      </c>
      <c r="AT130" s="5">
        <f t="shared" si="247"/>
        <v>2.5559166297395741</v>
      </c>
      <c r="AU130" s="177">
        <f t="shared" si="248"/>
        <v>0.10542917959114906</v>
      </c>
      <c r="AW130" s="5">
        <f t="shared" si="216"/>
        <v>1.2049049096131321</v>
      </c>
      <c r="AX130" s="5"/>
      <c r="AY130" s="5">
        <f t="shared" si="217"/>
        <v>0.24098098192262649</v>
      </c>
      <c r="AZ130" s="5"/>
      <c r="BA130" s="5">
        <f t="shared" si="218"/>
        <v>0.10289519443396029</v>
      </c>
      <c r="BB130" s="5"/>
      <c r="BC130" s="5"/>
      <c r="BD130" s="177">
        <f t="shared" si="219"/>
        <v>0.1855420560422224</v>
      </c>
      <c r="BE130" s="177">
        <f t="shared" si="220"/>
        <v>1.080934332296875</v>
      </c>
      <c r="BF130" s="177">
        <f t="shared" si="221"/>
        <v>0.21618686645937502</v>
      </c>
      <c r="BG130" s="177"/>
      <c r="BH130" s="538">
        <f t="shared" si="222"/>
        <v>3.7868440016412715E-3</v>
      </c>
      <c r="BI130" s="538">
        <f t="shared" si="223"/>
        <v>5.8266189166617022E-2</v>
      </c>
      <c r="BJ130" s="538">
        <f t="shared" si="224"/>
        <v>1.7499999999999998E-2</v>
      </c>
      <c r="BK130" s="538">
        <f t="shared" si="225"/>
        <v>8.9117405999999996E-2</v>
      </c>
      <c r="BL130">
        <f t="shared" si="226"/>
        <v>6.6699999999999997E-3</v>
      </c>
      <c r="BM130">
        <f t="shared" si="227"/>
        <v>6.3E-5</v>
      </c>
      <c r="BN130">
        <f t="shared" si="228"/>
        <v>0.17603765581599251</v>
      </c>
      <c r="BO130" s="469">
        <f t="shared" si="229"/>
        <v>175.34043916825831</v>
      </c>
      <c r="BP130" s="177">
        <f t="shared" si="230"/>
        <v>8.0000000000000016E-2</v>
      </c>
      <c r="BQ130" s="177">
        <f t="shared" si="231"/>
        <v>1.6000000000000004E-2</v>
      </c>
      <c r="BR130" s="538"/>
      <c r="BT130" s="469">
        <f t="shared" si="232"/>
        <v>96.000000000000014</v>
      </c>
      <c r="BU130" s="538">
        <f t="shared" si="233"/>
        <v>3.44258545603752E-3</v>
      </c>
      <c r="BV130" s="538">
        <f t="shared" si="234"/>
        <v>3.5052570922142721E-2</v>
      </c>
      <c r="BW130" s="538">
        <f t="shared" si="235"/>
        <v>2.3368380614761822E-3</v>
      </c>
      <c r="BX130" s="538">
        <f t="shared" si="236"/>
        <v>0</v>
      </c>
      <c r="BY130" s="538">
        <f t="shared" si="180"/>
        <v>4.5881709107708626E-2</v>
      </c>
      <c r="BZ130" s="538">
        <f t="shared" si="166"/>
        <v>4.0831994439656419E-2</v>
      </c>
      <c r="CA130" s="641">
        <f t="shared" si="237"/>
        <v>1.7142857142857137E-2</v>
      </c>
      <c r="CB130" s="469">
        <f t="shared" si="238"/>
        <v>144.68855512987861</v>
      </c>
      <c r="CC130" s="177">
        <f t="shared" si="168"/>
        <v>0.33506222206655828</v>
      </c>
      <c r="CD130" s="5">
        <f t="shared" si="239"/>
        <v>1.2</v>
      </c>
      <c r="CE130" s="177">
        <f t="shared" si="240"/>
        <v>0.78172726991125807</v>
      </c>
      <c r="CF130" s="5">
        <f t="shared" si="241"/>
        <v>78.172726991125813</v>
      </c>
      <c r="CG130">
        <f t="shared" si="242"/>
        <v>20</v>
      </c>
      <c r="CI130" s="571">
        <f t="shared" si="243"/>
        <v>-50</v>
      </c>
      <c r="CJ130">
        <f t="shared" si="244"/>
        <v>-50</v>
      </c>
    </row>
    <row r="131" spans="5:88" x14ac:dyDescent="0.2">
      <c r="E131" s="174">
        <v>21</v>
      </c>
      <c r="F131" s="221">
        <f t="shared" si="245"/>
        <v>0.21</v>
      </c>
      <c r="G131" s="221">
        <f t="shared" si="183"/>
        <v>4.2000000000000003E-2</v>
      </c>
      <c r="H131" s="221">
        <f t="shared" si="184"/>
        <v>1.05</v>
      </c>
      <c r="I131" s="221">
        <f t="shared" si="185"/>
        <v>0.21000000000000002</v>
      </c>
      <c r="J131" s="551">
        <f t="shared" si="186"/>
        <v>23</v>
      </c>
      <c r="K131" s="451">
        <f t="shared" si="187"/>
        <v>10.64</v>
      </c>
      <c r="L131" s="451">
        <f t="shared" si="188"/>
        <v>33.64</v>
      </c>
      <c r="M131" s="451"/>
      <c r="N131" s="221">
        <f t="shared" si="189"/>
        <v>0.31629013079667062</v>
      </c>
      <c r="O131" s="176">
        <f t="shared" si="190"/>
        <v>11.184809750297264</v>
      </c>
      <c r="P131" s="176">
        <f t="shared" si="191"/>
        <v>2.6843543400713439</v>
      </c>
      <c r="Q131" s="221">
        <f t="shared" si="192"/>
        <v>2.2369619500594529</v>
      </c>
      <c r="R131" s="221">
        <f t="shared" si="193"/>
        <v>2.2369619500594529</v>
      </c>
      <c r="S131" s="221">
        <f t="shared" si="194"/>
        <v>5</v>
      </c>
      <c r="T131" s="221">
        <f t="shared" si="195"/>
        <v>0.38489702517162472</v>
      </c>
      <c r="U131" s="221">
        <f t="shared" si="196"/>
        <v>0.11714257287832056</v>
      </c>
      <c r="V131" s="221">
        <f t="shared" si="197"/>
        <v>0.25322172708659518</v>
      </c>
      <c r="W131" s="201">
        <f t="shared" si="198"/>
        <v>350</v>
      </c>
      <c r="X131" s="451">
        <f t="shared" si="199"/>
        <v>350</v>
      </c>
      <c r="Z131" s="221">
        <f t="shared" si="200"/>
        <v>2.9692542891116021</v>
      </c>
      <c r="AA131" s="177">
        <f t="shared" si="201"/>
        <v>1.9534567691523697</v>
      </c>
      <c r="AB131" s="177">
        <f t="shared" si="202"/>
        <v>1.6917570513665985</v>
      </c>
      <c r="AC131" s="177"/>
      <c r="AD131" s="177">
        <f t="shared" si="203"/>
        <v>0.53947368421052622</v>
      </c>
      <c r="AE131" s="555">
        <f t="shared" si="204"/>
        <v>474.71743010113033</v>
      </c>
      <c r="AF131" s="538">
        <f t="shared" si="205"/>
        <v>0.15482894736842101</v>
      </c>
      <c r="AH131" s="177">
        <f t="shared" si="206"/>
        <v>1.0141851056742199</v>
      </c>
      <c r="AI131" s="177">
        <f t="shared" si="207"/>
        <v>1.0141851056742199</v>
      </c>
      <c r="AJ131" s="177">
        <f t="shared" si="208"/>
        <v>1.3438408190179407</v>
      </c>
      <c r="AL131" s="555">
        <f t="shared" si="209"/>
        <v>210</v>
      </c>
      <c r="AM131" s="469">
        <f t="shared" si="210"/>
        <v>350</v>
      </c>
      <c r="AO131" s="469">
        <f t="shared" si="211"/>
        <v>210</v>
      </c>
      <c r="AP131" s="469">
        <f t="shared" si="212"/>
        <v>350</v>
      </c>
      <c r="AR131" s="5">
        <f t="shared" si="160"/>
        <v>2.8571428571428572</v>
      </c>
      <c r="AS131" s="5">
        <f t="shared" si="246"/>
        <v>0.30866503216171909</v>
      </c>
      <c r="AT131" s="5">
        <f t="shared" si="247"/>
        <v>2.5484778249811382</v>
      </c>
      <c r="AU131" s="177">
        <f t="shared" si="248"/>
        <v>0.10803276125660168</v>
      </c>
      <c r="AW131" s="5">
        <f t="shared" si="216"/>
        <v>1.2963931350792202</v>
      </c>
      <c r="AX131" s="5"/>
      <c r="AY131" s="5">
        <f t="shared" si="217"/>
        <v>0.25927862701584403</v>
      </c>
      <c r="AZ131" s="5"/>
      <c r="BA131" s="5">
        <f t="shared" si="218"/>
        <v>0.10772551192553119</v>
      </c>
      <c r="BB131" s="5"/>
      <c r="BC131" s="5"/>
      <c r="BD131" s="177">
        <f t="shared" si="219"/>
        <v>0.19245727801100765</v>
      </c>
      <c r="BE131" s="177">
        <f t="shared" si="220"/>
        <v>1.1060150794591124</v>
      </c>
      <c r="BF131" s="177">
        <f t="shared" si="221"/>
        <v>0.22120301589182248</v>
      </c>
      <c r="BG131" s="177"/>
      <c r="BH131" s="538">
        <f t="shared" si="222"/>
        <v>4.0743784245346913E-3</v>
      </c>
      <c r="BI131" s="538">
        <f t="shared" si="223"/>
        <v>5.9705077171041336E-2</v>
      </c>
      <c r="BJ131" s="538">
        <f t="shared" si="224"/>
        <v>1.7499999999999998E-2</v>
      </c>
      <c r="BK131" s="538">
        <f t="shared" si="225"/>
        <v>8.9117405999999996E-2</v>
      </c>
      <c r="BL131">
        <f t="shared" si="226"/>
        <v>6.6699999999999997E-3</v>
      </c>
      <c r="BM131">
        <f t="shared" si="227"/>
        <v>6.3E-5</v>
      </c>
      <c r="BN131">
        <f t="shared" si="228"/>
        <v>0.17781356920044208</v>
      </c>
      <c r="BO131" s="469">
        <f t="shared" si="229"/>
        <v>177.06686159557606</v>
      </c>
      <c r="BP131" s="177">
        <f t="shared" si="230"/>
        <v>8.4000000000000005E-2</v>
      </c>
      <c r="BQ131" s="177">
        <f t="shared" si="231"/>
        <v>1.6800000000000002E-2</v>
      </c>
      <c r="BR131" s="538"/>
      <c r="BT131" s="469">
        <f t="shared" si="232"/>
        <v>100.8</v>
      </c>
      <c r="BU131" s="538">
        <f t="shared" si="233"/>
        <v>3.7039803859406288E-3</v>
      </c>
      <c r="BV131" s="538">
        <f t="shared" si="234"/>
        <v>3.66980806797284E-2</v>
      </c>
      <c r="BW131" s="538">
        <f t="shared" si="235"/>
        <v>2.4465387119818934E-3</v>
      </c>
      <c r="BX131" s="538">
        <f t="shared" si="236"/>
        <v>0</v>
      </c>
      <c r="BY131" s="538">
        <f t="shared" si="180"/>
        <v>4.815550342242815E-2</v>
      </c>
      <c r="BZ131" s="538">
        <f t="shared" si="166"/>
        <v>4.2848599777650924E-2</v>
      </c>
      <c r="CA131" s="641">
        <f t="shared" si="237"/>
        <v>1.8000000000000002E-2</v>
      </c>
      <c r="CB131" s="469">
        <f t="shared" si="238"/>
        <v>151.85270297773002</v>
      </c>
      <c r="CC131" s="177">
        <f t="shared" si="168"/>
        <v>0.34476907262287021</v>
      </c>
      <c r="CD131" s="5">
        <f t="shared" si="239"/>
        <v>1.26</v>
      </c>
      <c r="CE131" s="177">
        <f t="shared" si="240"/>
        <v>0.78515969773808514</v>
      </c>
      <c r="CF131" s="5">
        <f t="shared" si="241"/>
        <v>78.515969773808507</v>
      </c>
      <c r="CG131">
        <f t="shared" si="242"/>
        <v>21</v>
      </c>
      <c r="CI131" s="571">
        <f t="shared" si="243"/>
        <v>-50</v>
      </c>
      <c r="CJ131">
        <f t="shared" si="244"/>
        <v>-50</v>
      </c>
    </row>
    <row r="132" spans="5:88" x14ac:dyDescent="0.2">
      <c r="E132" s="174">
        <v>22</v>
      </c>
      <c r="F132" s="221">
        <f t="shared" si="245"/>
        <v>0.22</v>
      </c>
      <c r="G132" s="221">
        <f t="shared" si="183"/>
        <v>4.4000000000000004E-2</v>
      </c>
      <c r="H132" s="221">
        <f t="shared" si="184"/>
        <v>1.1000000000000001</v>
      </c>
      <c r="I132" s="221">
        <f t="shared" si="185"/>
        <v>0.22000000000000003</v>
      </c>
      <c r="J132" s="551">
        <f t="shared" si="186"/>
        <v>23</v>
      </c>
      <c r="K132" s="451">
        <f t="shared" si="187"/>
        <v>10.64</v>
      </c>
      <c r="L132" s="451">
        <f t="shared" si="188"/>
        <v>33.64</v>
      </c>
      <c r="M132" s="451"/>
      <c r="N132" s="221">
        <f t="shared" si="189"/>
        <v>0.31629013079667062</v>
      </c>
      <c r="O132" s="176">
        <f t="shared" si="190"/>
        <v>11.184809750297264</v>
      </c>
      <c r="P132" s="176">
        <f t="shared" si="191"/>
        <v>2.6843543400713439</v>
      </c>
      <c r="Q132" s="221">
        <f t="shared" si="192"/>
        <v>2.2369619500594529</v>
      </c>
      <c r="R132" s="221">
        <f t="shared" si="193"/>
        <v>2.2369619500594529</v>
      </c>
      <c r="S132" s="221">
        <f t="shared" si="194"/>
        <v>5</v>
      </c>
      <c r="T132" s="221">
        <f t="shared" si="195"/>
        <v>0.40322545494170214</v>
      </c>
      <c r="U132" s="221">
        <f t="shared" si="196"/>
        <v>0.12272079063443107</v>
      </c>
      <c r="V132" s="221">
        <f t="shared" si="197"/>
        <v>0.26527990456690925</v>
      </c>
      <c r="W132" s="201">
        <f t="shared" si="198"/>
        <v>350</v>
      </c>
      <c r="X132" s="451">
        <f t="shared" si="199"/>
        <v>350</v>
      </c>
      <c r="Z132" s="221">
        <f t="shared" si="200"/>
        <v>2.9692542891116021</v>
      </c>
      <c r="AA132" s="177">
        <f t="shared" si="201"/>
        <v>1.9534567691523697</v>
      </c>
      <c r="AB132" s="177">
        <f t="shared" si="202"/>
        <v>1.6917570513665985</v>
      </c>
      <c r="AC132" s="177"/>
      <c r="AD132" s="177">
        <f t="shared" si="203"/>
        <v>0.53947368421052622</v>
      </c>
      <c r="AE132" s="555">
        <f t="shared" si="204"/>
        <v>497.32302201070797</v>
      </c>
      <c r="AF132" s="538">
        <f t="shared" si="205"/>
        <v>0.15482894736842101</v>
      </c>
      <c r="AH132" s="177">
        <f t="shared" si="206"/>
        <v>1.0380515499762828</v>
      </c>
      <c r="AI132" s="177">
        <f t="shared" si="207"/>
        <v>1.0380515499762828</v>
      </c>
      <c r="AJ132" s="177">
        <f t="shared" si="208"/>
        <v>1.3615196666490983</v>
      </c>
      <c r="AL132" s="555">
        <f t="shared" si="209"/>
        <v>220</v>
      </c>
      <c r="AM132" s="469">
        <f t="shared" si="210"/>
        <v>350</v>
      </c>
      <c r="AO132" s="469">
        <f t="shared" si="211"/>
        <v>220</v>
      </c>
      <c r="AP132" s="469">
        <f t="shared" si="212"/>
        <v>350</v>
      </c>
      <c r="AR132" s="5">
        <f t="shared" si="160"/>
        <v>2.8571428571428572</v>
      </c>
      <c r="AS132" s="5">
        <f t="shared" si="246"/>
        <v>0.31592873260147736</v>
      </c>
      <c r="AT132" s="5">
        <f t="shared" si="247"/>
        <v>2.54121412454138</v>
      </c>
      <c r="AU132" s="177">
        <f t="shared" si="248"/>
        <v>0.11057505641051707</v>
      </c>
      <c r="AW132" s="5">
        <f t="shared" si="216"/>
        <v>1.3900864234465005</v>
      </c>
      <c r="AX132" s="5"/>
      <c r="AY132" s="5">
        <f t="shared" si="217"/>
        <v>0.27801728468930009</v>
      </c>
      <c r="AZ132" s="5"/>
      <c r="BA132" s="5">
        <f t="shared" si="218"/>
        <v>0.11253363675505305</v>
      </c>
      <c r="BB132" s="5"/>
      <c r="BC132" s="5"/>
      <c r="BD132" s="177">
        <f t="shared" si="219"/>
        <v>0.1992906293723172</v>
      </c>
      <c r="BE132" s="177">
        <f t="shared" si="220"/>
        <v>1.1304280932704627</v>
      </c>
      <c r="BF132" s="177">
        <f t="shared" si="221"/>
        <v>0.22608561865409255</v>
      </c>
      <c r="BG132" s="177"/>
      <c r="BH132" s="538">
        <f t="shared" si="222"/>
        <v>4.3688430451175736E-3</v>
      </c>
      <c r="BI132" s="538">
        <f t="shared" si="223"/>
        <v>6.1110094747103771E-2</v>
      </c>
      <c r="BJ132" s="538">
        <f t="shared" si="224"/>
        <v>1.7499999999999998E-2</v>
      </c>
      <c r="BK132" s="538">
        <f t="shared" si="225"/>
        <v>8.9117405999999996E-2</v>
      </c>
      <c r="BL132">
        <f t="shared" si="226"/>
        <v>6.6699999999999997E-3</v>
      </c>
      <c r="BM132">
        <f t="shared" si="227"/>
        <v>6.3E-5</v>
      </c>
      <c r="BN132">
        <f t="shared" si="228"/>
        <v>0.1795638753418875</v>
      </c>
      <c r="BO132" s="469">
        <f t="shared" si="229"/>
        <v>178.76634379222133</v>
      </c>
      <c r="BP132" s="177">
        <f t="shared" si="230"/>
        <v>8.8000000000000009E-2</v>
      </c>
      <c r="BQ132" s="177">
        <f t="shared" si="231"/>
        <v>1.7600000000000001E-2</v>
      </c>
      <c r="BR132" s="538"/>
      <c r="BT132" s="469">
        <f t="shared" si="232"/>
        <v>105.60000000000001</v>
      </c>
      <c r="BU132" s="538">
        <f t="shared" si="233"/>
        <v>3.9716754955614305E-3</v>
      </c>
      <c r="BV132" s="538">
        <f t="shared" si="234"/>
        <v>3.8336030221652814E-2</v>
      </c>
      <c r="BW132" s="538">
        <f t="shared" si="235"/>
        <v>2.5557353481101882E-3</v>
      </c>
      <c r="BX132" s="538">
        <f t="shared" si="236"/>
        <v>0</v>
      </c>
      <c r="BY132" s="538">
        <f t="shared" si="180"/>
        <v>5.0428044039708582E-2</v>
      </c>
      <c r="BZ132" s="538">
        <f t="shared" si="166"/>
        <v>4.4863441065324437E-2</v>
      </c>
      <c r="CA132" s="641">
        <f t="shared" si="237"/>
        <v>1.8857142857142857E-2</v>
      </c>
      <c r="CB132" s="469">
        <f t="shared" si="238"/>
        <v>159.0120690275003</v>
      </c>
      <c r="CC132" s="177">
        <f t="shared" si="168"/>
        <v>0.35444906223873895</v>
      </c>
      <c r="CD132" s="5">
        <f t="shared" si="239"/>
        <v>1.32</v>
      </c>
      <c r="CE132" s="177">
        <f t="shared" si="240"/>
        <v>0.78831899385172066</v>
      </c>
      <c r="CF132" s="5">
        <f t="shared" si="241"/>
        <v>78.831899385172065</v>
      </c>
      <c r="CG132">
        <f t="shared" si="242"/>
        <v>22</v>
      </c>
      <c r="CI132" s="571">
        <f t="shared" si="243"/>
        <v>-50</v>
      </c>
      <c r="CJ132">
        <f t="shared" si="244"/>
        <v>-50</v>
      </c>
    </row>
    <row r="133" spans="5:88" x14ac:dyDescent="0.2">
      <c r="E133" s="174">
        <v>23</v>
      </c>
      <c r="F133" s="221">
        <f t="shared" si="245"/>
        <v>0.23</v>
      </c>
      <c r="G133" s="221">
        <f t="shared" si="183"/>
        <v>4.6000000000000006E-2</v>
      </c>
      <c r="H133" s="221">
        <f t="shared" si="184"/>
        <v>1.1500000000000001</v>
      </c>
      <c r="I133" s="221">
        <f t="shared" si="185"/>
        <v>0.23000000000000004</v>
      </c>
      <c r="J133" s="551">
        <f t="shared" si="186"/>
        <v>23</v>
      </c>
      <c r="K133" s="451">
        <f t="shared" si="187"/>
        <v>10.64</v>
      </c>
      <c r="L133" s="451">
        <f t="shared" si="188"/>
        <v>33.64</v>
      </c>
      <c r="M133" s="451"/>
      <c r="N133" s="221">
        <f t="shared" si="189"/>
        <v>0.31629013079667062</v>
      </c>
      <c r="O133" s="176">
        <f t="shared" si="190"/>
        <v>11.184809750297264</v>
      </c>
      <c r="P133" s="176">
        <f t="shared" si="191"/>
        <v>2.6843543400713439</v>
      </c>
      <c r="Q133" s="221">
        <f t="shared" si="192"/>
        <v>2.2369619500594529</v>
      </c>
      <c r="R133" s="221">
        <f t="shared" si="193"/>
        <v>2.2369619500594529</v>
      </c>
      <c r="S133" s="221">
        <f t="shared" si="194"/>
        <v>5</v>
      </c>
      <c r="T133" s="221">
        <f t="shared" si="195"/>
        <v>0.42155388471177951</v>
      </c>
      <c r="U133" s="221">
        <f t="shared" si="196"/>
        <v>0.12829900839054159</v>
      </c>
      <c r="V133" s="221">
        <f t="shared" si="197"/>
        <v>0.27733808204722338</v>
      </c>
      <c r="W133" s="201">
        <f t="shared" si="198"/>
        <v>350</v>
      </c>
      <c r="X133" s="451">
        <f t="shared" si="199"/>
        <v>350</v>
      </c>
      <c r="Z133" s="221">
        <f t="shared" si="200"/>
        <v>2.9692542891116021</v>
      </c>
      <c r="AA133" s="177">
        <f t="shared" si="201"/>
        <v>1.9534567691523697</v>
      </c>
      <c r="AB133" s="177">
        <f t="shared" si="202"/>
        <v>1.6917570513665985</v>
      </c>
      <c r="AC133" s="177"/>
      <c r="AD133" s="177">
        <f t="shared" si="203"/>
        <v>0.53947368421052622</v>
      </c>
      <c r="AE133" s="555">
        <f t="shared" si="204"/>
        <v>519.92861392028567</v>
      </c>
      <c r="AF133" s="538">
        <f t="shared" si="205"/>
        <v>0.15482894736842101</v>
      </c>
      <c r="AH133" s="177">
        <f t="shared" si="206"/>
        <v>1.0613814640575263</v>
      </c>
      <c r="AI133" s="177">
        <f t="shared" si="207"/>
        <v>1.0613814640575263</v>
      </c>
      <c r="AJ133" s="177">
        <f t="shared" si="208"/>
        <v>1.3788010844870566</v>
      </c>
      <c r="AL133" s="555">
        <f t="shared" si="209"/>
        <v>230</v>
      </c>
      <c r="AM133" s="469">
        <f t="shared" si="210"/>
        <v>350</v>
      </c>
      <c r="AO133" s="469">
        <f t="shared" si="211"/>
        <v>230</v>
      </c>
      <c r="AP133" s="469">
        <f t="shared" si="212"/>
        <v>350</v>
      </c>
      <c r="AR133" s="5">
        <f t="shared" si="160"/>
        <v>2.8571428571428572</v>
      </c>
      <c r="AS133" s="5">
        <f t="shared" si="246"/>
        <v>0.32302914123489934</v>
      </c>
      <c r="AT133" s="5">
        <f t="shared" si="247"/>
        <v>2.5341137159079579</v>
      </c>
      <c r="AU133" s="177">
        <f t="shared" si="248"/>
        <v>0.11306019943221476</v>
      </c>
      <c r="AW133" s="5">
        <f t="shared" si="216"/>
        <v>1.4859340496805369</v>
      </c>
      <c r="AX133" s="5"/>
      <c r="AY133" s="5">
        <f t="shared" si="217"/>
        <v>0.29718680993610747</v>
      </c>
      <c r="AZ133" s="5"/>
      <c r="BA133" s="5">
        <f t="shared" si="218"/>
        <v>0.11732007944018323</v>
      </c>
      <c r="BB133" s="5"/>
      <c r="BC133" s="5"/>
      <c r="BD133" s="177">
        <f t="shared" si="219"/>
        <v>0.20604673878103741</v>
      </c>
      <c r="BE133" s="177">
        <f t="shared" si="220"/>
        <v>1.1542182558239695</v>
      </c>
      <c r="BF133" s="177">
        <f t="shared" si="221"/>
        <v>0.23084365116479391</v>
      </c>
      <c r="BG133" s="177"/>
      <c r="BH133" s="538">
        <f t="shared" si="222"/>
        <v>4.6700784418531168E-3</v>
      </c>
      <c r="BI133" s="538">
        <f t="shared" si="223"/>
        <v>6.248352678906658E-2</v>
      </c>
      <c r="BJ133" s="538">
        <f t="shared" si="224"/>
        <v>1.7499999999999998E-2</v>
      </c>
      <c r="BK133" s="538">
        <f t="shared" si="225"/>
        <v>8.9117405999999996E-2</v>
      </c>
      <c r="BL133">
        <f t="shared" si="226"/>
        <v>6.6699999999999997E-3</v>
      </c>
      <c r="BM133">
        <f t="shared" si="227"/>
        <v>6.3E-5</v>
      </c>
      <c r="BN133">
        <f t="shared" si="228"/>
        <v>0.18129067721114847</v>
      </c>
      <c r="BO133" s="469">
        <f t="shared" si="229"/>
        <v>180.44101123091971</v>
      </c>
      <c r="BP133" s="177">
        <f t="shared" si="230"/>
        <v>9.2000000000000012E-2</v>
      </c>
      <c r="BQ133" s="177">
        <f t="shared" si="231"/>
        <v>1.8400000000000003E-2</v>
      </c>
      <c r="BR133" s="538"/>
      <c r="BT133" s="469">
        <f t="shared" si="232"/>
        <v>110.4</v>
      </c>
      <c r="BU133" s="538">
        <f t="shared" si="233"/>
        <v>4.2455258562301068E-3</v>
      </c>
      <c r="BV133" s="538">
        <f t="shared" si="234"/>
        <v>3.9966593462319788E-2</v>
      </c>
      <c r="BW133" s="538">
        <f t="shared" si="235"/>
        <v>2.6644395641546529E-3</v>
      </c>
      <c r="BX133" s="538">
        <f t="shared" si="236"/>
        <v>0</v>
      </c>
      <c r="BY133" s="538">
        <f t="shared" si="180"/>
        <v>5.2699375177717091E-2</v>
      </c>
      <c r="BZ133" s="538">
        <f t="shared" si="166"/>
        <v>4.6876558882704547E-2</v>
      </c>
      <c r="CA133" s="641">
        <f t="shared" si="237"/>
        <v>1.9714285714285715E-2</v>
      </c>
      <c r="CB133" s="469">
        <f t="shared" si="238"/>
        <v>166.1667786574119</v>
      </c>
      <c r="CC133" s="177">
        <f t="shared" si="168"/>
        <v>0.36410433810315135</v>
      </c>
      <c r="CD133" s="5">
        <f t="shared" si="239"/>
        <v>1.3800000000000001</v>
      </c>
      <c r="CE133" s="177">
        <f t="shared" si="240"/>
        <v>0.79123706641361669</v>
      </c>
      <c r="CF133" s="5">
        <f t="shared" si="241"/>
        <v>79.123706641361665</v>
      </c>
      <c r="CG133">
        <f t="shared" si="242"/>
        <v>23</v>
      </c>
      <c r="CI133" s="571">
        <f t="shared" si="243"/>
        <v>-50</v>
      </c>
      <c r="CJ133">
        <f t="shared" si="244"/>
        <v>-50</v>
      </c>
    </row>
    <row r="134" spans="5:88" x14ac:dyDescent="0.2">
      <c r="E134" s="174">
        <v>24</v>
      </c>
      <c r="F134" s="221">
        <f t="shared" si="245"/>
        <v>0.24</v>
      </c>
      <c r="G134" s="221">
        <f t="shared" si="183"/>
        <v>4.8000000000000001E-2</v>
      </c>
      <c r="H134" s="221">
        <f t="shared" si="184"/>
        <v>1.2</v>
      </c>
      <c r="I134" s="221">
        <f t="shared" si="185"/>
        <v>0.24</v>
      </c>
      <c r="J134" s="551">
        <f t="shared" si="186"/>
        <v>23</v>
      </c>
      <c r="K134" s="451">
        <f t="shared" si="187"/>
        <v>10.64</v>
      </c>
      <c r="L134" s="451">
        <f t="shared" si="188"/>
        <v>33.64</v>
      </c>
      <c r="M134" s="451"/>
      <c r="N134" s="221">
        <f t="shared" si="189"/>
        <v>0.31629013079667062</v>
      </c>
      <c r="O134" s="176">
        <f t="shared" si="190"/>
        <v>11.184809750297264</v>
      </c>
      <c r="P134" s="176">
        <f t="shared" si="191"/>
        <v>2.6843543400713439</v>
      </c>
      <c r="Q134" s="221">
        <f t="shared" si="192"/>
        <v>2.2369619500594529</v>
      </c>
      <c r="R134" s="221">
        <f t="shared" si="193"/>
        <v>2.2369619500594529</v>
      </c>
      <c r="S134" s="221">
        <f t="shared" si="194"/>
        <v>5</v>
      </c>
      <c r="T134" s="221">
        <f t="shared" si="195"/>
        <v>0.43988231448185683</v>
      </c>
      <c r="U134" s="221">
        <f t="shared" si="196"/>
        <v>0.1338772261466521</v>
      </c>
      <c r="V134" s="221">
        <f t="shared" si="197"/>
        <v>0.28939625952753739</v>
      </c>
      <c r="W134" s="201">
        <f t="shared" si="198"/>
        <v>350</v>
      </c>
      <c r="X134" s="451">
        <f t="shared" si="199"/>
        <v>350</v>
      </c>
      <c r="Z134" s="221">
        <f t="shared" si="200"/>
        <v>2.9692542891116021</v>
      </c>
      <c r="AA134" s="177">
        <f t="shared" si="201"/>
        <v>1.9534567691523697</v>
      </c>
      <c r="AB134" s="177">
        <f t="shared" si="202"/>
        <v>1.6917570513665985</v>
      </c>
      <c r="AC134" s="177"/>
      <c r="AD134" s="177">
        <f t="shared" si="203"/>
        <v>0.53947368421052622</v>
      </c>
      <c r="AE134" s="555">
        <f t="shared" si="204"/>
        <v>542.53420582986325</v>
      </c>
      <c r="AF134" s="538">
        <f t="shared" si="205"/>
        <v>0.15482894736842101</v>
      </c>
      <c r="AH134" s="177">
        <f t="shared" si="206"/>
        <v>1.0842094834863014</v>
      </c>
      <c r="AI134" s="177">
        <f t="shared" si="207"/>
        <v>1.0842094834863014</v>
      </c>
      <c r="AJ134" s="177">
        <f t="shared" si="208"/>
        <v>1.3957107285083714</v>
      </c>
      <c r="AL134" s="555">
        <f t="shared" si="209"/>
        <v>240</v>
      </c>
      <c r="AM134" s="469">
        <f t="shared" si="210"/>
        <v>350</v>
      </c>
      <c r="AO134" s="469">
        <f t="shared" si="211"/>
        <v>240</v>
      </c>
      <c r="AP134" s="469">
        <f t="shared" si="212"/>
        <v>350</v>
      </c>
      <c r="AR134" s="5">
        <f t="shared" ref="AR134:AR197" si="249">1/AM134*1000</f>
        <v>2.8571428571428572</v>
      </c>
      <c r="AS134" s="5">
        <f t="shared" si="246"/>
        <v>0.32997679932191781</v>
      </c>
      <c r="AT134" s="5">
        <f t="shared" si="247"/>
        <v>2.5271660578209394</v>
      </c>
      <c r="AU134" s="177">
        <f t="shared" si="248"/>
        <v>0.11549187976267124</v>
      </c>
      <c r="AW134" s="5">
        <f t="shared" si="216"/>
        <v>1.5838886367452054</v>
      </c>
      <c r="AX134" s="5"/>
      <c r="AY134" s="5">
        <f t="shared" si="217"/>
        <v>0.31677772734904108</v>
      </c>
      <c r="AZ134" s="5"/>
      <c r="BA134" s="5">
        <f t="shared" si="218"/>
        <v>0.12208531680294391</v>
      </c>
      <c r="BB134" s="5"/>
      <c r="BC134" s="5"/>
      <c r="BD134" s="177">
        <f t="shared" si="219"/>
        <v>0.21272978411558408</v>
      </c>
      <c r="BE134" s="177">
        <f t="shared" si="220"/>
        <v>1.1774256216747017</v>
      </c>
      <c r="BF134" s="177">
        <f t="shared" si="221"/>
        <v>0.23548512433494034</v>
      </c>
      <c r="BG134" s="177"/>
      <c r="BH134" s="538">
        <f t="shared" si="222"/>
        <v>4.9779357154849302E-3</v>
      </c>
      <c r="BI134" s="538">
        <f t="shared" si="223"/>
        <v>6.3827412292838559E-2</v>
      </c>
      <c r="BJ134" s="538">
        <f t="shared" si="224"/>
        <v>1.7499999999999998E-2</v>
      </c>
      <c r="BK134" s="538">
        <f t="shared" si="225"/>
        <v>8.9117405999999996E-2</v>
      </c>
      <c r="BL134">
        <f t="shared" si="226"/>
        <v>6.6699999999999997E-3</v>
      </c>
      <c r="BM134">
        <f t="shared" si="227"/>
        <v>6.3E-5</v>
      </c>
      <c r="BN134">
        <f t="shared" si="228"/>
        <v>0.18299584404549402</v>
      </c>
      <c r="BO134" s="469">
        <f t="shared" si="229"/>
        <v>182.09275400832348</v>
      </c>
      <c r="BP134" s="177">
        <f t="shared" si="230"/>
        <v>9.6000000000000002E-2</v>
      </c>
      <c r="BQ134" s="177">
        <f t="shared" si="231"/>
        <v>1.9200000000000002E-2</v>
      </c>
      <c r="BR134" s="538"/>
      <c r="BT134" s="469">
        <f t="shared" si="232"/>
        <v>115.2</v>
      </c>
      <c r="BU134" s="538">
        <f t="shared" si="233"/>
        <v>4.525396104986301E-3</v>
      </c>
      <c r="BV134" s="538">
        <f t="shared" si="234"/>
        <v>4.1589932837281726E-2</v>
      </c>
      <c r="BW134" s="538">
        <f t="shared" si="235"/>
        <v>2.7726621891521158E-3</v>
      </c>
      <c r="BX134" s="538">
        <f t="shared" si="236"/>
        <v>0</v>
      </c>
      <c r="BY134" s="538">
        <f t="shared" si="180"/>
        <v>5.4969538090443665E-2</v>
      </c>
      <c r="BZ134" s="538">
        <f t="shared" ref="BZ134:BZ197" si="250">SUM(BU134:BX134)</f>
        <v>4.8887991131420137E-2</v>
      </c>
      <c r="CA134" s="641">
        <f t="shared" si="237"/>
        <v>2.057142857142857E-2</v>
      </c>
      <c r="CB134" s="469">
        <f t="shared" si="238"/>
        <v>173.31694892471253</v>
      </c>
      <c r="CC134" s="177">
        <f t="shared" ref="CC134:CC197" si="251">SUM(BN134,BP134:BS134,BY134, CA134)</f>
        <v>0.37373681070736631</v>
      </c>
      <c r="CD134" s="5">
        <f t="shared" si="239"/>
        <v>1.44</v>
      </c>
      <c r="CE134" s="177">
        <f t="shared" si="240"/>
        <v>0.79394099050037636</v>
      </c>
      <c r="CF134" s="5">
        <f t="shared" si="241"/>
        <v>79.394099050037639</v>
      </c>
      <c r="CG134">
        <f t="shared" si="242"/>
        <v>24</v>
      </c>
      <c r="CI134" s="571">
        <f t="shared" si="243"/>
        <v>-50</v>
      </c>
      <c r="CJ134">
        <f t="shared" si="244"/>
        <v>-50</v>
      </c>
    </row>
    <row r="135" spans="5:88" x14ac:dyDescent="0.2">
      <c r="E135" s="174">
        <v>25</v>
      </c>
      <c r="F135" s="221">
        <f t="shared" si="245"/>
        <v>0.25</v>
      </c>
      <c r="G135" s="221">
        <f t="shared" si="183"/>
        <v>0.05</v>
      </c>
      <c r="H135" s="221">
        <f t="shared" si="184"/>
        <v>1.25</v>
      </c>
      <c r="I135" s="221">
        <f t="shared" si="185"/>
        <v>0.25</v>
      </c>
      <c r="J135" s="551">
        <f t="shared" si="186"/>
        <v>23</v>
      </c>
      <c r="K135" s="451">
        <f t="shared" si="187"/>
        <v>10.64</v>
      </c>
      <c r="L135" s="451">
        <f t="shared" si="188"/>
        <v>33.64</v>
      </c>
      <c r="M135" s="451"/>
      <c r="N135" s="221">
        <f t="shared" si="189"/>
        <v>0.31629013079667062</v>
      </c>
      <c r="O135" s="176">
        <f t="shared" si="190"/>
        <v>11.184809750297264</v>
      </c>
      <c r="P135" s="176">
        <f t="shared" si="191"/>
        <v>2.6843543400713439</v>
      </c>
      <c r="Q135" s="221">
        <f t="shared" si="192"/>
        <v>2.2369619500594529</v>
      </c>
      <c r="R135" s="221">
        <f t="shared" si="193"/>
        <v>2.2369619500594529</v>
      </c>
      <c r="S135" s="221">
        <f t="shared" si="194"/>
        <v>5</v>
      </c>
      <c r="T135" s="221">
        <f t="shared" si="195"/>
        <v>0.4582107442519342</v>
      </c>
      <c r="U135" s="221">
        <f t="shared" si="196"/>
        <v>0.13945544390276257</v>
      </c>
      <c r="V135" s="221">
        <f t="shared" si="197"/>
        <v>0.30145443700785141</v>
      </c>
      <c r="W135" s="201">
        <f t="shared" si="198"/>
        <v>350</v>
      </c>
      <c r="X135" s="451">
        <f t="shared" si="199"/>
        <v>350</v>
      </c>
      <c r="Z135" s="221">
        <f t="shared" si="200"/>
        <v>2.9692542891116021</v>
      </c>
      <c r="AA135" s="177">
        <f t="shared" si="201"/>
        <v>1.9534567691523697</v>
      </c>
      <c r="AB135" s="177">
        <f t="shared" si="202"/>
        <v>1.6917570513665985</v>
      </c>
      <c r="AC135" s="177"/>
      <c r="AD135" s="177">
        <f t="shared" si="203"/>
        <v>0.53947368421052622</v>
      </c>
      <c r="AE135" s="555">
        <f t="shared" si="204"/>
        <v>565.13979773944095</v>
      </c>
      <c r="AF135" s="538">
        <f t="shared" si="205"/>
        <v>0.15482894736842101</v>
      </c>
      <c r="AH135" s="177">
        <f t="shared" si="206"/>
        <v>1.1065666703449761</v>
      </c>
      <c r="AI135" s="177">
        <f t="shared" si="207"/>
        <v>1.1065666703449761</v>
      </c>
      <c r="AJ135" s="177">
        <f t="shared" si="208"/>
        <v>1.4122716076629453</v>
      </c>
      <c r="AL135" s="555">
        <f t="shared" si="209"/>
        <v>250</v>
      </c>
      <c r="AM135" s="469">
        <f t="shared" si="210"/>
        <v>350</v>
      </c>
      <c r="AO135" s="469">
        <f t="shared" si="211"/>
        <v>250</v>
      </c>
      <c r="AP135" s="469">
        <f t="shared" si="212"/>
        <v>350</v>
      </c>
      <c r="AR135" s="5">
        <f t="shared" si="249"/>
        <v>2.8571428571428572</v>
      </c>
      <c r="AS135" s="5">
        <f t="shared" si="246"/>
        <v>0.33678116053977536</v>
      </c>
      <c r="AT135" s="5">
        <f t="shared" si="247"/>
        <v>2.5203616966030817</v>
      </c>
      <c r="AU135" s="177">
        <f t="shared" si="248"/>
        <v>0.11787340618892138</v>
      </c>
      <c r="AW135" s="5">
        <f t="shared" si="216"/>
        <v>1.6839058026988769</v>
      </c>
      <c r="AX135" s="5"/>
      <c r="AY135" s="5">
        <f t="shared" si="217"/>
        <v>0.33678116053977541</v>
      </c>
      <c r="AZ135" s="5"/>
      <c r="BA135" s="5">
        <f t="shared" si="218"/>
        <v>0.12682979552149162</v>
      </c>
      <c r="BB135" s="5"/>
      <c r="BC135" s="5"/>
      <c r="BD135" s="177">
        <f t="shared" si="219"/>
        <v>0.21934355327391103</v>
      </c>
      <c r="BE135" s="177">
        <f t="shared" si="220"/>
        <v>1.2000861151489044</v>
      </c>
      <c r="BF135" s="177">
        <f t="shared" si="221"/>
        <v>0.2400172230297809</v>
      </c>
      <c r="BG135" s="177"/>
      <c r="BH135" s="538">
        <f t="shared" si="222"/>
        <v>5.2922753799107556E-3</v>
      </c>
      <c r="BI135" s="538">
        <f t="shared" si="223"/>
        <v>6.5143579883208735E-2</v>
      </c>
      <c r="BJ135" s="538">
        <f t="shared" si="224"/>
        <v>1.7499999999999998E-2</v>
      </c>
      <c r="BK135" s="538">
        <f t="shared" si="225"/>
        <v>8.9117405999999996E-2</v>
      </c>
      <c r="BL135">
        <f t="shared" si="226"/>
        <v>6.6699999999999997E-3</v>
      </c>
      <c r="BM135">
        <f t="shared" si="227"/>
        <v>6.3E-5</v>
      </c>
      <c r="BN135">
        <f t="shared" si="228"/>
        <v>0.18468104559381757</v>
      </c>
      <c r="BO135" s="469">
        <f t="shared" si="229"/>
        <v>183.7232612631195</v>
      </c>
      <c r="BP135" s="177">
        <f t="shared" si="230"/>
        <v>0.1</v>
      </c>
      <c r="BQ135" s="177">
        <f t="shared" si="231"/>
        <v>2.0000000000000004E-2</v>
      </c>
      <c r="BR135" s="538"/>
      <c r="BT135" s="469">
        <f t="shared" si="232"/>
        <v>120.00000000000001</v>
      </c>
      <c r="BU135" s="538">
        <f t="shared" si="233"/>
        <v>4.8111594362825055E-3</v>
      </c>
      <c r="BV135" s="538">
        <f t="shared" si="234"/>
        <v>4.3206200513195681E-2</v>
      </c>
      <c r="BW135" s="538">
        <f t="shared" si="235"/>
        <v>2.8804133675463797E-3</v>
      </c>
      <c r="BX135" s="538">
        <f t="shared" si="236"/>
        <v>0</v>
      </c>
      <c r="BY135" s="538">
        <f t="shared" si="180"/>
        <v>5.7238571381561042E-2</v>
      </c>
      <c r="BZ135" s="538">
        <f t="shared" si="250"/>
        <v>5.0897773317024567E-2</v>
      </c>
      <c r="CA135" s="641">
        <f t="shared" si="237"/>
        <v>2.1428571428571429E-2</v>
      </c>
      <c r="CB135" s="469">
        <f t="shared" si="238"/>
        <v>180.46268944418162</v>
      </c>
      <c r="CC135" s="177">
        <f t="shared" si="251"/>
        <v>0.38334818840395002</v>
      </c>
      <c r="CD135" s="5">
        <f t="shared" si="239"/>
        <v>1.5</v>
      </c>
      <c r="CE135" s="177">
        <f t="shared" si="240"/>
        <v>0.79645389484308804</v>
      </c>
      <c r="CF135" s="5">
        <f t="shared" si="241"/>
        <v>79.645389484308808</v>
      </c>
      <c r="CG135">
        <f t="shared" si="242"/>
        <v>25</v>
      </c>
      <c r="CI135" s="571">
        <f t="shared" si="243"/>
        <v>-50</v>
      </c>
      <c r="CJ135">
        <f t="shared" si="244"/>
        <v>-50</v>
      </c>
    </row>
    <row r="136" spans="5:88" x14ac:dyDescent="0.2">
      <c r="E136" s="174">
        <v>26</v>
      </c>
      <c r="F136" s="221">
        <f t="shared" si="245"/>
        <v>0.26</v>
      </c>
      <c r="G136" s="221">
        <f t="shared" si="183"/>
        <v>5.2000000000000005E-2</v>
      </c>
      <c r="H136" s="221">
        <f t="shared" si="184"/>
        <v>1.3</v>
      </c>
      <c r="I136" s="221">
        <f t="shared" si="185"/>
        <v>0.26</v>
      </c>
      <c r="J136" s="551">
        <f t="shared" si="186"/>
        <v>23</v>
      </c>
      <c r="K136" s="451">
        <f t="shared" si="187"/>
        <v>10.64</v>
      </c>
      <c r="L136" s="451">
        <f t="shared" si="188"/>
        <v>33.64</v>
      </c>
      <c r="M136" s="451"/>
      <c r="N136" s="221">
        <f t="shared" si="189"/>
        <v>0.31629013079667062</v>
      </c>
      <c r="O136" s="176">
        <f t="shared" si="190"/>
        <v>11.184809750297264</v>
      </c>
      <c r="P136" s="176">
        <f t="shared" si="191"/>
        <v>2.6843543400713439</v>
      </c>
      <c r="Q136" s="221">
        <f t="shared" si="192"/>
        <v>2.2369619500594529</v>
      </c>
      <c r="R136" s="221">
        <f t="shared" si="193"/>
        <v>2.2369619500594529</v>
      </c>
      <c r="S136" s="221">
        <f t="shared" si="194"/>
        <v>5</v>
      </c>
      <c r="T136" s="221">
        <f t="shared" si="195"/>
        <v>0.47653917402201157</v>
      </c>
      <c r="U136" s="221">
        <f t="shared" si="196"/>
        <v>0.1450336616588731</v>
      </c>
      <c r="V136" s="221">
        <f t="shared" si="197"/>
        <v>0.31351261448816548</v>
      </c>
      <c r="W136" s="201">
        <f t="shared" si="198"/>
        <v>350</v>
      </c>
      <c r="X136" s="451">
        <f t="shared" si="199"/>
        <v>350</v>
      </c>
      <c r="Z136" s="221">
        <f t="shared" si="200"/>
        <v>2.9692542891116021</v>
      </c>
      <c r="AA136" s="177">
        <f t="shared" si="201"/>
        <v>1.9534567691523697</v>
      </c>
      <c r="AB136" s="177">
        <f t="shared" si="202"/>
        <v>1.6917570513665985</v>
      </c>
      <c r="AC136" s="177"/>
      <c r="AD136" s="177">
        <f t="shared" si="203"/>
        <v>0.53947368421052622</v>
      </c>
      <c r="AE136" s="555">
        <f t="shared" si="204"/>
        <v>587.74538964901853</v>
      </c>
      <c r="AF136" s="538">
        <f t="shared" si="205"/>
        <v>0.15482894736842101</v>
      </c>
      <c r="AH136" s="177">
        <f t="shared" si="206"/>
        <v>1.1284810090360857</v>
      </c>
      <c r="AI136" s="177">
        <f t="shared" si="207"/>
        <v>1.1284810090360857</v>
      </c>
      <c r="AJ136" s="177">
        <f t="shared" si="208"/>
        <v>1.4285044511378413</v>
      </c>
      <c r="AL136" s="555">
        <f t="shared" si="209"/>
        <v>260</v>
      </c>
      <c r="AM136" s="469">
        <f t="shared" si="210"/>
        <v>350</v>
      </c>
      <c r="AO136" s="469">
        <f t="shared" si="211"/>
        <v>260</v>
      </c>
      <c r="AP136" s="469">
        <f t="shared" si="212"/>
        <v>350</v>
      </c>
      <c r="AR136" s="5">
        <f t="shared" si="249"/>
        <v>2.8571428571428572</v>
      </c>
      <c r="AS136" s="5">
        <f t="shared" si="246"/>
        <v>0.34345074188054775</v>
      </c>
      <c r="AT136" s="5">
        <f t="shared" si="247"/>
        <v>2.5136921152623093</v>
      </c>
      <c r="AU136" s="177">
        <f t="shared" si="248"/>
        <v>0.12020775965819171</v>
      </c>
      <c r="AW136" s="5">
        <f t="shared" si="216"/>
        <v>1.7859438577788482</v>
      </c>
      <c r="AX136" s="5"/>
      <c r="AY136" s="5">
        <f t="shared" si="217"/>
        <v>0.35718877155576972</v>
      </c>
      <c r="AZ136" s="5"/>
      <c r="BA136" s="5">
        <f t="shared" si="218"/>
        <v>0.1315539351787843</v>
      </c>
      <c r="BB136" s="5"/>
      <c r="BC136" s="5"/>
      <c r="BD136" s="177">
        <f t="shared" si="219"/>
        <v>0.22589149467191091</v>
      </c>
      <c r="BE136" s="177">
        <f t="shared" si="220"/>
        <v>1.2222321032492272</v>
      </c>
      <c r="BF136" s="177">
        <f t="shared" si="221"/>
        <v>0.24444642064984545</v>
      </c>
      <c r="BG136" s="177"/>
      <c r="BH136" s="538">
        <f t="shared" si="222"/>
        <v>5.6129664101620949E-3</v>
      </c>
      <c r="BI136" s="538">
        <f t="shared" si="223"/>
        <v>6.6433677001954364E-2</v>
      </c>
      <c r="BJ136" s="538">
        <f t="shared" si="224"/>
        <v>1.7499999999999998E-2</v>
      </c>
      <c r="BK136" s="538">
        <f t="shared" si="225"/>
        <v>8.9117405999999996E-2</v>
      </c>
      <c r="BL136">
        <f t="shared" si="226"/>
        <v>6.6699999999999997E-3</v>
      </c>
      <c r="BM136">
        <f t="shared" si="227"/>
        <v>6.3E-5</v>
      </c>
      <c r="BN136">
        <f t="shared" si="228"/>
        <v>0.18634778020428849</v>
      </c>
      <c r="BO136" s="469">
        <f t="shared" si="229"/>
        <v>185.33404941211646</v>
      </c>
      <c r="BP136" s="177">
        <f t="shared" si="230"/>
        <v>0.10400000000000001</v>
      </c>
      <c r="BQ136" s="177">
        <f t="shared" si="231"/>
        <v>2.0800000000000003E-2</v>
      </c>
      <c r="BR136" s="538"/>
      <c r="BT136" s="469">
        <f t="shared" si="232"/>
        <v>124.80000000000001</v>
      </c>
      <c r="BU136" s="538">
        <f t="shared" si="233"/>
        <v>5.1026967365109957E-3</v>
      </c>
      <c r="BV136" s="538">
        <f t="shared" si="234"/>
        <v>4.4815539426390882E-2</v>
      </c>
      <c r="BW136" s="538">
        <f t="shared" si="235"/>
        <v>2.9877026284260595E-3</v>
      </c>
      <c r="BX136" s="538">
        <f t="shared" si="236"/>
        <v>0</v>
      </c>
      <c r="BY136" s="538">
        <f t="shared" si="180"/>
        <v>5.9506511273738003E-2</v>
      </c>
      <c r="BZ136" s="538">
        <f t="shared" si="250"/>
        <v>5.2905938791327933E-2</v>
      </c>
      <c r="CA136" s="641">
        <f t="shared" si="237"/>
        <v>2.2285714285714291E-2</v>
      </c>
      <c r="CB136" s="469">
        <f t="shared" si="238"/>
        <v>187.60410314210819</v>
      </c>
      <c r="CC136" s="177">
        <f t="shared" si="251"/>
        <v>0.39294000576374083</v>
      </c>
      <c r="CD136" s="5">
        <f t="shared" si="239"/>
        <v>1.56</v>
      </c>
      <c r="CE136" s="177">
        <f t="shared" si="240"/>
        <v>0.79879565956760001</v>
      </c>
      <c r="CF136" s="5">
        <f t="shared" si="241"/>
        <v>79.879565956760004</v>
      </c>
      <c r="CG136">
        <f t="shared" si="242"/>
        <v>26</v>
      </c>
      <c r="CI136" s="571">
        <f t="shared" si="243"/>
        <v>-50</v>
      </c>
      <c r="CJ136">
        <f t="shared" si="244"/>
        <v>-50</v>
      </c>
    </row>
    <row r="137" spans="5:88" x14ac:dyDescent="0.2">
      <c r="E137" s="174">
        <v>27</v>
      </c>
      <c r="F137" s="221">
        <f t="shared" si="245"/>
        <v>0.27</v>
      </c>
      <c r="G137" s="221">
        <f t="shared" si="183"/>
        <v>5.4000000000000006E-2</v>
      </c>
      <c r="H137" s="221">
        <f t="shared" si="184"/>
        <v>1.35</v>
      </c>
      <c r="I137" s="221">
        <f t="shared" si="185"/>
        <v>0.27</v>
      </c>
      <c r="J137" s="551">
        <f t="shared" si="186"/>
        <v>23</v>
      </c>
      <c r="K137" s="451">
        <f t="shared" si="187"/>
        <v>10.64</v>
      </c>
      <c r="L137" s="451">
        <f t="shared" si="188"/>
        <v>33.64</v>
      </c>
      <c r="M137" s="451"/>
      <c r="N137" s="221">
        <f t="shared" si="189"/>
        <v>0.31629013079667062</v>
      </c>
      <c r="O137" s="176">
        <f t="shared" si="190"/>
        <v>11.184809750297264</v>
      </c>
      <c r="P137" s="176">
        <f t="shared" si="191"/>
        <v>2.6843543400713439</v>
      </c>
      <c r="Q137" s="221">
        <f t="shared" si="192"/>
        <v>2.2369619500594529</v>
      </c>
      <c r="R137" s="221">
        <f t="shared" si="193"/>
        <v>2.2369619500594529</v>
      </c>
      <c r="S137" s="221">
        <f t="shared" si="194"/>
        <v>5</v>
      </c>
      <c r="T137" s="221">
        <f t="shared" si="195"/>
        <v>0.49486760379208899</v>
      </c>
      <c r="U137" s="221">
        <f t="shared" si="196"/>
        <v>0.15061187941498361</v>
      </c>
      <c r="V137" s="221">
        <f t="shared" si="197"/>
        <v>0.32557079196847954</v>
      </c>
      <c r="W137" s="201">
        <f t="shared" si="198"/>
        <v>350</v>
      </c>
      <c r="X137" s="451">
        <f t="shared" si="199"/>
        <v>350</v>
      </c>
      <c r="Z137" s="221">
        <f t="shared" si="200"/>
        <v>2.9692542891116021</v>
      </c>
      <c r="AA137" s="177">
        <f t="shared" si="201"/>
        <v>1.9534567691523697</v>
      </c>
      <c r="AB137" s="177">
        <f t="shared" si="202"/>
        <v>1.6917570513665985</v>
      </c>
      <c r="AC137" s="177"/>
      <c r="AD137" s="177">
        <f t="shared" si="203"/>
        <v>0.53947368421052622</v>
      </c>
      <c r="AE137" s="555">
        <f t="shared" si="204"/>
        <v>610.35098155859623</v>
      </c>
      <c r="AF137" s="538">
        <f t="shared" si="205"/>
        <v>0.15482894736842101</v>
      </c>
      <c r="AH137" s="177">
        <f t="shared" si="206"/>
        <v>1.149977816999892</v>
      </c>
      <c r="AI137" s="177">
        <f t="shared" si="207"/>
        <v>1.149977816999892</v>
      </c>
      <c r="AJ137" s="177">
        <f t="shared" si="208"/>
        <v>1.4444280125925126</v>
      </c>
      <c r="AL137" s="555">
        <f t="shared" si="209"/>
        <v>270</v>
      </c>
      <c r="AM137" s="469">
        <f t="shared" si="210"/>
        <v>350</v>
      </c>
      <c r="AO137" s="469">
        <f t="shared" si="211"/>
        <v>270</v>
      </c>
      <c r="AP137" s="469">
        <f t="shared" si="212"/>
        <v>350</v>
      </c>
      <c r="AR137" s="5">
        <f t="shared" si="249"/>
        <v>2.8571428571428572</v>
      </c>
      <c r="AS137" s="5">
        <f t="shared" si="246"/>
        <v>0.34999324865214104</v>
      </c>
      <c r="AT137" s="5">
        <f t="shared" si="247"/>
        <v>2.5071496084907161</v>
      </c>
      <c r="AU137" s="177">
        <f t="shared" si="248"/>
        <v>0.12249763702824937</v>
      </c>
      <c r="AW137" s="5">
        <f t="shared" si="216"/>
        <v>1.8899635427215615</v>
      </c>
      <c r="AX137" s="5"/>
      <c r="AY137" s="5">
        <f t="shared" si="217"/>
        <v>0.37799270854431238</v>
      </c>
      <c r="AZ137" s="5"/>
      <c r="BA137" s="5">
        <f t="shared" si="218"/>
        <v>0.13625813089623456</v>
      </c>
      <c r="BB137" s="5"/>
      <c r="BC137" s="5"/>
      <c r="BD137" s="177">
        <f t="shared" si="219"/>
        <v>0.2323767595166806</v>
      </c>
      <c r="BE137" s="177">
        <f t="shared" si="220"/>
        <v>1.2438928702539285</v>
      </c>
      <c r="BF137" s="177">
        <f t="shared" si="221"/>
        <v>0.24877857405078571</v>
      </c>
      <c r="BG137" s="177"/>
      <c r="BH137" s="538">
        <f t="shared" si="222"/>
        <v>5.9398854199820533E-3</v>
      </c>
      <c r="BI137" s="538">
        <f t="shared" si="223"/>
        <v>6.7699194086783654E-2</v>
      </c>
      <c r="BJ137" s="538">
        <f t="shared" si="224"/>
        <v>1.7499999999999998E-2</v>
      </c>
      <c r="BK137" s="538">
        <f t="shared" si="225"/>
        <v>8.9117405999999996E-2</v>
      </c>
      <c r="BL137">
        <f t="shared" si="226"/>
        <v>6.6699999999999997E-3</v>
      </c>
      <c r="BM137">
        <f t="shared" si="227"/>
        <v>6.3E-5</v>
      </c>
      <c r="BN137">
        <f t="shared" si="228"/>
        <v>0.18799739805264362</v>
      </c>
      <c r="BO137" s="469">
        <f t="shared" si="229"/>
        <v>186.92648550676572</v>
      </c>
      <c r="BP137" s="177">
        <f t="shared" si="230"/>
        <v>0.10800000000000001</v>
      </c>
      <c r="BQ137" s="177">
        <f t="shared" si="231"/>
        <v>2.1600000000000005E-2</v>
      </c>
      <c r="BR137" s="538"/>
      <c r="BT137" s="469">
        <f t="shared" si="232"/>
        <v>129.60000000000002</v>
      </c>
      <c r="BU137" s="538">
        <f t="shared" si="233"/>
        <v>5.3998958363473213E-3</v>
      </c>
      <c r="BV137" s="538">
        <f t="shared" si="234"/>
        <v>4.6418084180056697E-2</v>
      </c>
      <c r="BW137" s="538">
        <f t="shared" si="235"/>
        <v>3.0945389453371137E-3</v>
      </c>
      <c r="BX137" s="538">
        <f t="shared" si="236"/>
        <v>0</v>
      </c>
      <c r="BY137" s="538">
        <f t="shared" si="180"/>
        <v>6.1773391841215018E-2</v>
      </c>
      <c r="BZ137" s="538">
        <f t="shared" si="250"/>
        <v>5.4912518961741132E-2</v>
      </c>
      <c r="CA137" s="641">
        <f t="shared" si="237"/>
        <v>2.3142857142857149E-2</v>
      </c>
      <c r="CB137" s="469">
        <f t="shared" si="238"/>
        <v>194.74128690755444</v>
      </c>
      <c r="CC137" s="177">
        <f t="shared" si="251"/>
        <v>0.40251364703671577</v>
      </c>
      <c r="CD137" s="5">
        <f t="shared" si="239"/>
        <v>1.62</v>
      </c>
      <c r="CE137" s="177">
        <f t="shared" si="240"/>
        <v>0.80098347043222273</v>
      </c>
      <c r="CF137" s="5">
        <f t="shared" si="241"/>
        <v>80.098347043222276</v>
      </c>
      <c r="CG137">
        <f t="shared" si="242"/>
        <v>27</v>
      </c>
      <c r="CI137" s="571">
        <f t="shared" si="243"/>
        <v>-50</v>
      </c>
      <c r="CJ137">
        <f t="shared" si="244"/>
        <v>-50</v>
      </c>
    </row>
    <row r="138" spans="5:88" x14ac:dyDescent="0.2">
      <c r="E138" s="174">
        <v>28</v>
      </c>
      <c r="F138" s="221">
        <f t="shared" si="245"/>
        <v>0.28000000000000003</v>
      </c>
      <c r="G138" s="221">
        <f t="shared" si="183"/>
        <v>5.6000000000000008E-2</v>
      </c>
      <c r="H138" s="221">
        <f t="shared" si="184"/>
        <v>1.4000000000000001</v>
      </c>
      <c r="I138" s="221">
        <f t="shared" si="185"/>
        <v>0.28000000000000003</v>
      </c>
      <c r="J138" s="551">
        <f t="shared" si="186"/>
        <v>23</v>
      </c>
      <c r="K138" s="451">
        <f t="shared" si="187"/>
        <v>10.64</v>
      </c>
      <c r="L138" s="451">
        <f t="shared" si="188"/>
        <v>33.64</v>
      </c>
      <c r="M138" s="451"/>
      <c r="N138" s="221">
        <f t="shared" si="189"/>
        <v>0.31629013079667062</v>
      </c>
      <c r="O138" s="176">
        <f t="shared" si="190"/>
        <v>11.184809750297264</v>
      </c>
      <c r="P138" s="176">
        <f t="shared" si="191"/>
        <v>2.6843543400713439</v>
      </c>
      <c r="Q138" s="221">
        <f t="shared" si="192"/>
        <v>2.2369619500594529</v>
      </c>
      <c r="R138" s="221">
        <f t="shared" si="193"/>
        <v>2.2369619500594529</v>
      </c>
      <c r="S138" s="221">
        <f t="shared" si="194"/>
        <v>5</v>
      </c>
      <c r="T138" s="221">
        <f t="shared" si="195"/>
        <v>0.51319603356216636</v>
      </c>
      <c r="U138" s="221">
        <f t="shared" si="196"/>
        <v>0.15619009717109411</v>
      </c>
      <c r="V138" s="221">
        <f t="shared" si="197"/>
        <v>0.33762896944879361</v>
      </c>
      <c r="W138" s="201">
        <f t="shared" si="198"/>
        <v>350</v>
      </c>
      <c r="X138" s="451">
        <f t="shared" si="199"/>
        <v>350</v>
      </c>
      <c r="Z138" s="221">
        <f t="shared" si="200"/>
        <v>2.9692542891116021</v>
      </c>
      <c r="AA138" s="177">
        <f t="shared" si="201"/>
        <v>1.9534567691523697</v>
      </c>
      <c r="AB138" s="177">
        <f t="shared" si="202"/>
        <v>1.6917570513665985</v>
      </c>
      <c r="AC138" s="177"/>
      <c r="AD138" s="177">
        <f t="shared" si="203"/>
        <v>0.53947368421052622</v>
      </c>
      <c r="AE138" s="555">
        <f t="shared" si="204"/>
        <v>632.95657346817381</v>
      </c>
      <c r="AF138" s="538">
        <f t="shared" si="205"/>
        <v>0.15482894736842101</v>
      </c>
      <c r="AH138" s="177">
        <f t="shared" si="206"/>
        <v>1.1710800875382399</v>
      </c>
      <c r="AI138" s="177">
        <f t="shared" si="207"/>
        <v>1.1710800875382399</v>
      </c>
      <c r="AJ138" s="177">
        <f t="shared" si="208"/>
        <v>1.4600593241023998</v>
      </c>
      <c r="AL138" s="555">
        <f t="shared" si="209"/>
        <v>280</v>
      </c>
      <c r="AM138" s="469">
        <f t="shared" si="210"/>
        <v>350</v>
      </c>
      <c r="AO138" s="469">
        <f t="shared" si="211"/>
        <v>280</v>
      </c>
      <c r="AP138" s="469">
        <f t="shared" si="212"/>
        <v>350</v>
      </c>
      <c r="AR138" s="5">
        <f t="shared" si="249"/>
        <v>2.8571428571428572</v>
      </c>
      <c r="AS138" s="5">
        <f t="shared" si="246"/>
        <v>0.35641567881598607</v>
      </c>
      <c r="AT138" s="5">
        <f t="shared" si="247"/>
        <v>2.500727178326871</v>
      </c>
      <c r="AU138" s="177">
        <f t="shared" si="248"/>
        <v>0.12474548758559512</v>
      </c>
      <c r="AW138" s="5">
        <f t="shared" si="216"/>
        <v>1.9959278013695221</v>
      </c>
      <c r="AX138" s="5"/>
      <c r="AY138" s="5">
        <f t="shared" si="217"/>
        <v>0.39918556027390445</v>
      </c>
      <c r="AZ138" s="5"/>
      <c r="BA138" s="5">
        <f t="shared" si="218"/>
        <v>0.14094275562228739</v>
      </c>
      <c r="BB138" s="5"/>
      <c r="BC138" s="5"/>
      <c r="BD138" s="177">
        <f t="shared" si="219"/>
        <v>0.23880223744880988</v>
      </c>
      <c r="BE138" s="177">
        <f t="shared" si="220"/>
        <v>1.265095013874135</v>
      </c>
      <c r="BF138" s="177">
        <f t="shared" si="221"/>
        <v>0.25301900277482703</v>
      </c>
      <c r="BG138" s="177"/>
      <c r="BH138" s="538">
        <f t="shared" si="222"/>
        <v>6.272915947161355E-3</v>
      </c>
      <c r="BI138" s="538">
        <f t="shared" si="223"/>
        <v>6.8941484753376178E-2</v>
      </c>
      <c r="BJ138" s="538">
        <f t="shared" si="224"/>
        <v>1.7499999999999998E-2</v>
      </c>
      <c r="BK138" s="538">
        <f t="shared" si="225"/>
        <v>8.9117405999999996E-2</v>
      </c>
      <c r="BL138">
        <f t="shared" si="226"/>
        <v>6.6699999999999997E-3</v>
      </c>
      <c r="BM138">
        <f t="shared" si="227"/>
        <v>6.3E-5</v>
      </c>
      <c r="BN138">
        <f t="shared" si="228"/>
        <v>0.1896311204981368</v>
      </c>
      <c r="BO138" s="469">
        <f t="shared" si="229"/>
        <v>188.50180670053754</v>
      </c>
      <c r="BP138" s="177">
        <f t="shared" si="230"/>
        <v>0.11200000000000002</v>
      </c>
      <c r="BQ138" s="177">
        <f t="shared" si="231"/>
        <v>2.2400000000000003E-2</v>
      </c>
      <c r="BR138" s="538"/>
      <c r="BT138" s="469">
        <f t="shared" si="232"/>
        <v>134.4</v>
      </c>
      <c r="BU138" s="538">
        <f t="shared" si="233"/>
        <v>5.702650861055778E-3</v>
      </c>
      <c r="BV138" s="538">
        <f t="shared" si="234"/>
        <v>4.8013961823875941E-2</v>
      </c>
      <c r="BW138" s="538">
        <f t="shared" si="235"/>
        <v>3.2009307882583968E-3</v>
      </c>
      <c r="BX138" s="538">
        <f t="shared" si="236"/>
        <v>0</v>
      </c>
      <c r="BY138" s="538">
        <f t="shared" si="180"/>
        <v>6.4039245211839735E-2</v>
      </c>
      <c r="BZ138" s="538">
        <f t="shared" si="250"/>
        <v>5.6917543473190113E-2</v>
      </c>
      <c r="CA138" s="641">
        <f t="shared" si="237"/>
        <v>2.4000000000000004E-2</v>
      </c>
      <c r="CB138" s="469">
        <f t="shared" si="238"/>
        <v>201.87433215821994</v>
      </c>
      <c r="CC138" s="177">
        <f t="shared" si="251"/>
        <v>0.41207036570997652</v>
      </c>
      <c r="CD138" s="5">
        <f t="shared" si="239"/>
        <v>1.6800000000000002</v>
      </c>
      <c r="CE138" s="177">
        <f t="shared" si="240"/>
        <v>0.80303226293722962</v>
      </c>
      <c r="CF138" s="5">
        <f t="shared" si="241"/>
        <v>80.303226293722958</v>
      </c>
      <c r="CG138">
        <f t="shared" si="242"/>
        <v>28.000000000000004</v>
      </c>
      <c r="CI138" s="571">
        <f t="shared" si="243"/>
        <v>-50</v>
      </c>
      <c r="CJ138">
        <f t="shared" si="244"/>
        <v>-50</v>
      </c>
    </row>
    <row r="139" spans="5:88" x14ac:dyDescent="0.2">
      <c r="E139" s="174">
        <v>29</v>
      </c>
      <c r="F139" s="221">
        <f t="shared" si="245"/>
        <v>0.28999999999999998</v>
      </c>
      <c r="G139" s="221">
        <f t="shared" si="183"/>
        <v>5.7999999999999996E-2</v>
      </c>
      <c r="H139" s="221">
        <f t="shared" si="184"/>
        <v>1.45</v>
      </c>
      <c r="I139" s="221">
        <f t="shared" si="185"/>
        <v>0.28999999999999998</v>
      </c>
      <c r="J139" s="551">
        <f t="shared" si="186"/>
        <v>23</v>
      </c>
      <c r="K139" s="451">
        <f t="shared" si="187"/>
        <v>10.64</v>
      </c>
      <c r="L139" s="451">
        <f t="shared" si="188"/>
        <v>33.64</v>
      </c>
      <c r="M139" s="451"/>
      <c r="N139" s="221">
        <f t="shared" si="189"/>
        <v>0.31629013079667062</v>
      </c>
      <c r="O139" s="176">
        <f t="shared" si="190"/>
        <v>11.184809750297264</v>
      </c>
      <c r="P139" s="176">
        <f t="shared" si="191"/>
        <v>2.6843543400713439</v>
      </c>
      <c r="Q139" s="221">
        <f t="shared" si="192"/>
        <v>2.2369619500594529</v>
      </c>
      <c r="R139" s="221">
        <f t="shared" si="193"/>
        <v>2.2369619500594529</v>
      </c>
      <c r="S139" s="221">
        <f t="shared" si="194"/>
        <v>5</v>
      </c>
      <c r="T139" s="221">
        <f t="shared" si="195"/>
        <v>0.53152446333224368</v>
      </c>
      <c r="U139" s="221">
        <f t="shared" si="196"/>
        <v>0.16176831492720459</v>
      </c>
      <c r="V139" s="221">
        <f t="shared" si="197"/>
        <v>0.34968714692910768</v>
      </c>
      <c r="W139" s="201">
        <f t="shared" si="198"/>
        <v>350</v>
      </c>
      <c r="X139" s="451">
        <f t="shared" si="199"/>
        <v>350</v>
      </c>
      <c r="Z139" s="221">
        <f t="shared" si="200"/>
        <v>2.9692542891116021</v>
      </c>
      <c r="AA139" s="177">
        <f t="shared" si="201"/>
        <v>1.9534567691523697</v>
      </c>
      <c r="AB139" s="177">
        <f t="shared" si="202"/>
        <v>1.6917570513665985</v>
      </c>
      <c r="AC139" s="177"/>
      <c r="AD139" s="177">
        <f t="shared" si="203"/>
        <v>0.53947368421052622</v>
      </c>
      <c r="AE139" s="555">
        <f t="shared" si="204"/>
        <v>655.56216537775151</v>
      </c>
      <c r="AF139" s="538">
        <f t="shared" si="205"/>
        <v>0.15482894736842101</v>
      </c>
      <c r="AH139" s="177">
        <f t="shared" si="206"/>
        <v>1.1918087779779549</v>
      </c>
      <c r="AI139" s="177">
        <f t="shared" si="207"/>
        <v>1.1918087779779549</v>
      </c>
      <c r="AJ139" s="177">
        <f t="shared" si="208"/>
        <v>1.4754139096132999</v>
      </c>
      <c r="AL139" s="555">
        <f t="shared" si="209"/>
        <v>290</v>
      </c>
      <c r="AM139" s="469">
        <f t="shared" si="210"/>
        <v>350</v>
      </c>
      <c r="AO139" s="469">
        <f t="shared" si="211"/>
        <v>290</v>
      </c>
      <c r="AP139" s="469">
        <f t="shared" si="212"/>
        <v>350</v>
      </c>
      <c r="AR139" s="5">
        <f t="shared" si="249"/>
        <v>2.8571428571428572</v>
      </c>
      <c r="AS139" s="5">
        <f t="shared" si="246"/>
        <v>0.36272441068894279</v>
      </c>
      <c r="AT139" s="5">
        <f t="shared" si="247"/>
        <v>2.4944184464539143</v>
      </c>
      <c r="AU139" s="177">
        <f t="shared" si="248"/>
        <v>0.12695354374112996</v>
      </c>
      <c r="AW139" s="5">
        <f t="shared" si="216"/>
        <v>2.1038015819958678</v>
      </c>
      <c r="AX139" s="5"/>
      <c r="AY139" s="5">
        <f t="shared" si="217"/>
        <v>0.42076031639917361</v>
      </c>
      <c r="AZ139" s="5"/>
      <c r="BA139" s="5">
        <f t="shared" si="218"/>
        <v>0.14560816213197161</v>
      </c>
      <c r="BB139" s="5"/>
      <c r="BC139" s="5"/>
      <c r="BD139" s="177">
        <f t="shared" si="219"/>
        <v>0.24517058679306003</v>
      </c>
      <c r="BE139" s="177">
        <f t="shared" si="220"/>
        <v>1.2858627782569161</v>
      </c>
      <c r="BF139" s="177">
        <f t="shared" si="221"/>
        <v>0.25717255565138325</v>
      </c>
      <c r="BG139" s="177"/>
      <c r="BH139" s="538">
        <f t="shared" si="222"/>
        <v>6.6119478291298724E-3</v>
      </c>
      <c r="BI139" s="538">
        <f t="shared" si="223"/>
        <v>7.0161782759562197E-2</v>
      </c>
      <c r="BJ139" s="538">
        <f t="shared" si="224"/>
        <v>1.7499999999999998E-2</v>
      </c>
      <c r="BK139" s="538">
        <f t="shared" si="225"/>
        <v>8.9117405999999996E-2</v>
      </c>
      <c r="BL139">
        <f t="shared" si="226"/>
        <v>6.6699999999999997E-3</v>
      </c>
      <c r="BM139">
        <f t="shared" si="227"/>
        <v>6.3E-5</v>
      </c>
      <c r="BN139">
        <f t="shared" si="228"/>
        <v>0.19125005632595515</v>
      </c>
      <c r="BO139" s="469">
        <f t="shared" si="229"/>
        <v>190.06113658869205</v>
      </c>
      <c r="BP139" s="177">
        <f t="shared" si="230"/>
        <v>0.11599999999999999</v>
      </c>
      <c r="BQ139" s="177">
        <f t="shared" si="231"/>
        <v>2.3199999999999998E-2</v>
      </c>
      <c r="BR139" s="538"/>
      <c r="BT139" s="469">
        <f t="shared" si="232"/>
        <v>139.19999999999999</v>
      </c>
      <c r="BU139" s="538">
        <f t="shared" si="233"/>
        <v>6.0108616628453387E-3</v>
      </c>
      <c r="BV139" s="538">
        <f t="shared" si="234"/>
        <v>4.9603292535197852E-2</v>
      </c>
      <c r="BW139" s="538">
        <f t="shared" si="235"/>
        <v>3.3068861690131908E-3</v>
      </c>
      <c r="BX139" s="538">
        <f t="shared" si="236"/>
        <v>0</v>
      </c>
      <c r="BY139" s="538">
        <f t="shared" si="180"/>
        <v>6.63041017435297E-2</v>
      </c>
      <c r="BZ139" s="538">
        <f t="shared" si="250"/>
        <v>5.8921040367056379E-2</v>
      </c>
      <c r="CA139" s="641">
        <f t="shared" si="237"/>
        <v>2.4857142857142862E-2</v>
      </c>
      <c r="CB139" s="469">
        <f t="shared" si="238"/>
        <v>209.00332533478533</v>
      </c>
      <c r="CC139" s="177">
        <f t="shared" si="251"/>
        <v>0.42161130092662769</v>
      </c>
      <c r="CD139" s="5">
        <f t="shared" si="239"/>
        <v>1.74</v>
      </c>
      <c r="CE139" s="177">
        <f t="shared" si="240"/>
        <v>0.80495508107961233</v>
      </c>
      <c r="CF139" s="5">
        <f t="shared" si="241"/>
        <v>80.495508107961228</v>
      </c>
      <c r="CG139">
        <f t="shared" si="242"/>
        <v>28.999999999999996</v>
      </c>
      <c r="CI139" s="571">
        <f t="shared" si="243"/>
        <v>-50</v>
      </c>
      <c r="CJ139">
        <f t="shared" si="244"/>
        <v>-50</v>
      </c>
    </row>
    <row r="140" spans="5:88" x14ac:dyDescent="0.2">
      <c r="E140" s="174">
        <v>30</v>
      </c>
      <c r="F140" s="221">
        <f t="shared" si="245"/>
        <v>0.3</v>
      </c>
      <c r="G140" s="221">
        <f t="shared" si="183"/>
        <v>0.06</v>
      </c>
      <c r="H140" s="221">
        <f t="shared" si="184"/>
        <v>1.5</v>
      </c>
      <c r="I140" s="221">
        <f t="shared" si="185"/>
        <v>0.3</v>
      </c>
      <c r="J140" s="551">
        <f t="shared" si="186"/>
        <v>23</v>
      </c>
      <c r="K140" s="451">
        <f t="shared" si="187"/>
        <v>10.64</v>
      </c>
      <c r="L140" s="451">
        <f t="shared" si="188"/>
        <v>33.64</v>
      </c>
      <c r="M140" s="451"/>
      <c r="N140" s="221">
        <f t="shared" si="189"/>
        <v>0.31629013079667062</v>
      </c>
      <c r="O140" s="176">
        <f t="shared" si="190"/>
        <v>11.184809750297264</v>
      </c>
      <c r="P140" s="176">
        <f t="shared" si="191"/>
        <v>2.6843543400713439</v>
      </c>
      <c r="Q140" s="221">
        <f t="shared" si="192"/>
        <v>2.2369619500594529</v>
      </c>
      <c r="R140" s="221">
        <f t="shared" si="193"/>
        <v>2.2369619500594529</v>
      </c>
      <c r="S140" s="221">
        <f t="shared" si="194"/>
        <v>5</v>
      </c>
      <c r="T140" s="221">
        <f t="shared" si="195"/>
        <v>0.54985289310232111</v>
      </c>
      <c r="U140" s="221">
        <f t="shared" si="196"/>
        <v>0.16734653268331509</v>
      </c>
      <c r="V140" s="221">
        <f t="shared" si="197"/>
        <v>0.36174532440942175</v>
      </c>
      <c r="W140" s="201">
        <f t="shared" si="198"/>
        <v>350</v>
      </c>
      <c r="X140" s="451">
        <f t="shared" si="199"/>
        <v>350</v>
      </c>
      <c r="Z140" s="221">
        <f t="shared" si="200"/>
        <v>2.9692542891116021</v>
      </c>
      <c r="AA140" s="177">
        <f t="shared" si="201"/>
        <v>1.9534567691523697</v>
      </c>
      <c r="AB140" s="177">
        <f t="shared" si="202"/>
        <v>1.6917570513665985</v>
      </c>
      <c r="AC140" s="177"/>
      <c r="AD140" s="177">
        <f t="shared" si="203"/>
        <v>0.53947368421052622</v>
      </c>
      <c r="AE140" s="555">
        <f t="shared" si="204"/>
        <v>678.1677572873291</v>
      </c>
      <c r="AF140" s="538">
        <f t="shared" si="205"/>
        <v>0.15482894736842101</v>
      </c>
      <c r="AH140" s="177">
        <f t="shared" si="206"/>
        <v>1.2121830534626528</v>
      </c>
      <c r="AI140" s="177">
        <f t="shared" si="207"/>
        <v>1.2121830534626528</v>
      </c>
      <c r="AJ140" s="177">
        <f t="shared" si="208"/>
        <v>1.4905059655278909</v>
      </c>
      <c r="AL140" s="555">
        <f t="shared" si="209"/>
        <v>300</v>
      </c>
      <c r="AM140" s="469">
        <f t="shared" si="210"/>
        <v>350</v>
      </c>
      <c r="AO140" s="469">
        <f t="shared" si="211"/>
        <v>300</v>
      </c>
      <c r="AP140" s="469">
        <f t="shared" si="212"/>
        <v>350</v>
      </c>
      <c r="AR140" s="5">
        <f t="shared" si="249"/>
        <v>2.8571428571428572</v>
      </c>
      <c r="AS140" s="5">
        <f t="shared" si="246"/>
        <v>0.36892527714080742</v>
      </c>
      <c r="AT140" s="5">
        <f t="shared" si="247"/>
        <v>2.4882175800020496</v>
      </c>
      <c r="AU140" s="177">
        <f t="shared" si="248"/>
        <v>0.12912384699928259</v>
      </c>
      <c r="AW140" s="5">
        <f t="shared" si="216"/>
        <v>2.2135516628448442</v>
      </c>
      <c r="AX140" s="5"/>
      <c r="AY140" s="5">
        <f t="shared" si="217"/>
        <v>0.44271033256896886</v>
      </c>
      <c r="AZ140" s="5"/>
      <c r="BA140" s="5">
        <f t="shared" si="218"/>
        <v>0.15025468478273243</v>
      </c>
      <c r="BB140" s="5"/>
      <c r="BC140" s="5"/>
      <c r="BD140" s="177">
        <f t="shared" si="219"/>
        <v>0.2514842603904634</v>
      </c>
      <c r="BE140" s="177">
        <f t="shared" si="220"/>
        <v>1.3062183357206536</v>
      </c>
      <c r="BF140" s="177">
        <f t="shared" si="221"/>
        <v>0.26124366714413072</v>
      </c>
      <c r="BG140" s="177"/>
      <c r="BH140" s="538">
        <f t="shared" si="222"/>
        <v>6.956876654655224E-3</v>
      </c>
      <c r="BI140" s="538">
        <f t="shared" si="223"/>
        <v>7.136121635734638E-2</v>
      </c>
      <c r="BJ140" s="538">
        <f t="shared" si="224"/>
        <v>1.7499999999999998E-2</v>
      </c>
      <c r="BK140" s="538">
        <f t="shared" si="225"/>
        <v>8.9117405999999996E-2</v>
      </c>
      <c r="BL140">
        <f t="shared" si="226"/>
        <v>6.6699999999999997E-3</v>
      </c>
      <c r="BM140">
        <f t="shared" si="227"/>
        <v>6.3E-5</v>
      </c>
      <c r="BN140">
        <f t="shared" si="228"/>
        <v>0.19285521546545401</v>
      </c>
      <c r="BO140" s="469">
        <f t="shared" si="229"/>
        <v>191.60549901200162</v>
      </c>
      <c r="BP140" s="177">
        <f t="shared" si="230"/>
        <v>0.12</v>
      </c>
      <c r="BQ140" s="177">
        <f t="shared" si="231"/>
        <v>2.4E-2</v>
      </c>
      <c r="BR140" s="538"/>
      <c r="BT140" s="469">
        <f t="shared" si="232"/>
        <v>144</v>
      </c>
      <c r="BU140" s="538">
        <f t="shared" si="233"/>
        <v>6.3244333224138404E-3</v>
      </c>
      <c r="BV140" s="538">
        <f t="shared" si="234"/>
        <v>5.1186190217185019E-2</v>
      </c>
      <c r="BW140" s="538">
        <f t="shared" si="235"/>
        <v>3.4124126811456686E-3</v>
      </c>
      <c r="BX140" s="538">
        <f t="shared" si="236"/>
        <v>0</v>
      </c>
      <c r="BY140" s="538">
        <f t="shared" si="180"/>
        <v>6.8567990179175448E-2</v>
      </c>
      <c r="BZ140" s="538">
        <f t="shared" si="250"/>
        <v>6.0923036220744534E-2</v>
      </c>
      <c r="CA140" s="641">
        <f t="shared" si="237"/>
        <v>2.571428571428571E-2</v>
      </c>
      <c r="CB140" s="469">
        <f t="shared" si="238"/>
        <v>216.12834833495023</v>
      </c>
      <c r="CC140" s="177">
        <f t="shared" si="251"/>
        <v>0.43113749135891521</v>
      </c>
      <c r="CD140" s="5">
        <f t="shared" si="239"/>
        <v>1.8</v>
      </c>
      <c r="CE140" s="177">
        <f t="shared" si="240"/>
        <v>0.80676336934470005</v>
      </c>
      <c r="CF140" s="5">
        <f t="shared" si="241"/>
        <v>80.676336934470001</v>
      </c>
      <c r="CG140">
        <f t="shared" si="242"/>
        <v>30</v>
      </c>
      <c r="CI140" s="571">
        <f t="shared" si="243"/>
        <v>-50</v>
      </c>
      <c r="CJ140">
        <f t="shared" si="244"/>
        <v>-50</v>
      </c>
    </row>
    <row r="141" spans="5:88" x14ac:dyDescent="0.2">
      <c r="E141" s="174">
        <v>31</v>
      </c>
      <c r="F141" s="221">
        <f t="shared" si="245"/>
        <v>0.31</v>
      </c>
      <c r="G141" s="221">
        <f t="shared" si="183"/>
        <v>6.2E-2</v>
      </c>
      <c r="H141" s="221">
        <f t="shared" si="184"/>
        <v>1.55</v>
      </c>
      <c r="I141" s="221">
        <f t="shared" si="185"/>
        <v>0.31</v>
      </c>
      <c r="J141" s="551">
        <f t="shared" si="186"/>
        <v>23</v>
      </c>
      <c r="K141" s="451">
        <f t="shared" si="187"/>
        <v>10.64</v>
      </c>
      <c r="L141" s="451">
        <f t="shared" si="188"/>
        <v>33.64</v>
      </c>
      <c r="M141" s="451"/>
      <c r="N141" s="221">
        <f t="shared" si="189"/>
        <v>0.31629013079667062</v>
      </c>
      <c r="O141" s="176">
        <f t="shared" si="190"/>
        <v>11.184809750297264</v>
      </c>
      <c r="P141" s="176">
        <f t="shared" si="191"/>
        <v>2.6843543400713439</v>
      </c>
      <c r="Q141" s="221">
        <f t="shared" si="192"/>
        <v>2.2369619500594529</v>
      </c>
      <c r="R141" s="221">
        <f t="shared" si="193"/>
        <v>2.2369619500594529</v>
      </c>
      <c r="S141" s="221">
        <f t="shared" si="194"/>
        <v>5</v>
      </c>
      <c r="T141" s="221">
        <f t="shared" si="195"/>
        <v>0.56818132287239842</v>
      </c>
      <c r="U141" s="221">
        <f t="shared" si="196"/>
        <v>0.1729247504394256</v>
      </c>
      <c r="V141" s="221">
        <f t="shared" si="197"/>
        <v>0.37380350188973577</v>
      </c>
      <c r="W141" s="201">
        <f t="shared" si="198"/>
        <v>350</v>
      </c>
      <c r="X141" s="451">
        <f t="shared" si="199"/>
        <v>350</v>
      </c>
      <c r="Z141" s="221">
        <f t="shared" si="200"/>
        <v>2.9692542891116021</v>
      </c>
      <c r="AA141" s="177">
        <f t="shared" si="201"/>
        <v>1.9534567691523697</v>
      </c>
      <c r="AB141" s="177">
        <f t="shared" si="202"/>
        <v>1.6917570513665985</v>
      </c>
      <c r="AC141" s="177"/>
      <c r="AD141" s="177">
        <f t="shared" si="203"/>
        <v>0.53947368421052622</v>
      </c>
      <c r="AE141" s="555">
        <f t="shared" si="204"/>
        <v>700.77334919690668</v>
      </c>
      <c r="AF141" s="538">
        <f t="shared" si="205"/>
        <v>0.15482894736842101</v>
      </c>
      <c r="AH141" s="177">
        <f t="shared" si="206"/>
        <v>1.2322204944484472</v>
      </c>
      <c r="AI141" s="177">
        <f t="shared" si="207"/>
        <v>1.2322204944484472</v>
      </c>
      <c r="AJ141" s="177">
        <f t="shared" si="208"/>
        <v>1.5053485144062573</v>
      </c>
      <c r="AL141" s="555">
        <f t="shared" si="209"/>
        <v>310</v>
      </c>
      <c r="AM141" s="469">
        <f t="shared" si="210"/>
        <v>350</v>
      </c>
      <c r="AO141" s="469">
        <f t="shared" si="211"/>
        <v>310</v>
      </c>
      <c r="AP141" s="469">
        <f t="shared" si="212"/>
        <v>350</v>
      </c>
      <c r="AR141" s="5">
        <f t="shared" si="249"/>
        <v>2.8571428571428572</v>
      </c>
      <c r="AS141" s="5">
        <f t="shared" si="246"/>
        <v>0.37502362874517953</v>
      </c>
      <c r="AT141" s="5">
        <f t="shared" si="247"/>
        <v>2.4821192283976776</v>
      </c>
      <c r="AU141" s="177">
        <f t="shared" si="248"/>
        <v>0.13125827006081284</v>
      </c>
      <c r="AW141" s="5">
        <f t="shared" si="216"/>
        <v>2.3251464982201129</v>
      </c>
      <c r="AX141" s="5"/>
      <c r="AY141" s="5">
        <f t="shared" si="217"/>
        <v>0.46502929964402256</v>
      </c>
      <c r="AZ141" s="5"/>
      <c r="BA141" s="5">
        <f t="shared" si="218"/>
        <v>0.15488264106346214</v>
      </c>
      <c r="BB141" s="5"/>
      <c r="BC141" s="5"/>
      <c r="BD141" s="177">
        <f t="shared" si="219"/>
        <v>0.25774552778274007</v>
      </c>
      <c r="BE141" s="177">
        <f t="shared" si="220"/>
        <v>1.3261820265522959</v>
      </c>
      <c r="BF141" s="177">
        <f t="shared" si="221"/>
        <v>0.26523640531045917</v>
      </c>
      <c r="BG141" s="177"/>
      <c r="BH141" s="538">
        <f t="shared" si="222"/>
        <v>7.3076032801203559E-3</v>
      </c>
      <c r="BI141" s="538">
        <f t="shared" si="223"/>
        <v>7.2540820508180087E-2</v>
      </c>
      <c r="BJ141" s="538">
        <f t="shared" si="224"/>
        <v>1.7499999999999998E-2</v>
      </c>
      <c r="BK141" s="538">
        <f t="shared" si="225"/>
        <v>8.9117405999999996E-2</v>
      </c>
      <c r="BL141">
        <f t="shared" si="226"/>
        <v>6.6699999999999997E-3</v>
      </c>
      <c r="BM141">
        <f t="shared" si="227"/>
        <v>6.3E-5</v>
      </c>
      <c r="BN141">
        <f t="shared" si="228"/>
        <v>0.19444752064628881</v>
      </c>
      <c r="BO141" s="469">
        <f t="shared" si="229"/>
        <v>193.13582978830047</v>
      </c>
      <c r="BP141" s="177">
        <f t="shared" si="230"/>
        <v>0.124</v>
      </c>
      <c r="BQ141" s="177">
        <f t="shared" si="231"/>
        <v>2.4800000000000003E-2</v>
      </c>
      <c r="BR141" s="538"/>
      <c r="BT141" s="469">
        <f t="shared" si="232"/>
        <v>148.79999999999998</v>
      </c>
      <c r="BU141" s="538">
        <f t="shared" si="233"/>
        <v>6.643275709200324E-3</v>
      </c>
      <c r="BV141" s="538">
        <f t="shared" si="234"/>
        <v>5.2762763026510631E-2</v>
      </c>
      <c r="BW141" s="538">
        <f t="shared" si="235"/>
        <v>3.5175175351007089E-3</v>
      </c>
      <c r="BX141" s="538">
        <f t="shared" si="236"/>
        <v>0</v>
      </c>
      <c r="BY141" s="538">
        <f t="shared" si="180"/>
        <v>7.0830937783254597E-2</v>
      </c>
      <c r="BZ141" s="538">
        <f t="shared" si="250"/>
        <v>6.292355627081167E-2</v>
      </c>
      <c r="CA141" s="641">
        <f t="shared" si="237"/>
        <v>2.6571428571428572E-2</v>
      </c>
      <c r="CB141" s="469">
        <f t="shared" si="238"/>
        <v>223.2494788963065</v>
      </c>
      <c r="CC141" s="177">
        <f t="shared" si="251"/>
        <v>0.44064988700097196</v>
      </c>
      <c r="CD141" s="5">
        <f t="shared" si="239"/>
        <v>1.86</v>
      </c>
      <c r="CE141" s="177">
        <f t="shared" si="240"/>
        <v>0.80846721202964777</v>
      </c>
      <c r="CF141" s="5">
        <f t="shared" si="241"/>
        <v>80.846721202964773</v>
      </c>
      <c r="CG141">
        <f t="shared" si="242"/>
        <v>31</v>
      </c>
      <c r="CI141" s="571">
        <f t="shared" si="243"/>
        <v>-50</v>
      </c>
      <c r="CJ141">
        <f t="shared" si="244"/>
        <v>-50</v>
      </c>
    </row>
    <row r="142" spans="5:88" x14ac:dyDescent="0.2">
      <c r="E142" s="174">
        <v>32</v>
      </c>
      <c r="F142" s="221">
        <f t="shared" si="245"/>
        <v>0.32</v>
      </c>
      <c r="G142" s="221">
        <f t="shared" ref="G142:G173" si="252">IF(PLOT_TYPE=1, E142/100*Iout2, min_I*EXP(Q142*rr/100))</f>
        <v>6.4000000000000001E-2</v>
      </c>
      <c r="H142" s="221">
        <f t="shared" ref="H142:H173" si="253">F142*Vout</f>
        <v>1.6</v>
      </c>
      <c r="I142" s="221">
        <f t="shared" ref="I142:I173" si="254">Vout2*G142</f>
        <v>0.32</v>
      </c>
      <c r="J142" s="551">
        <f t="shared" si="186"/>
        <v>23</v>
      </c>
      <c r="K142" s="451">
        <f t="shared" si="187"/>
        <v>10.64</v>
      </c>
      <c r="L142" s="451">
        <f t="shared" si="188"/>
        <v>33.64</v>
      </c>
      <c r="M142" s="451"/>
      <c r="N142" s="221">
        <f t="shared" si="189"/>
        <v>0.31629013079667062</v>
      </c>
      <c r="O142" s="176">
        <f t="shared" ref="O142:O173" si="255">N142*J142*Isw_max*0.5*Efficiency*Pout/(Pout+Pout2)</f>
        <v>11.184809750297264</v>
      </c>
      <c r="P142" s="176">
        <f t="shared" ref="P142:P173" si="256">N142*J142*Isw_max*0.5*Efficiency*(Pout2/Pout_total)</f>
        <v>2.6843543400713439</v>
      </c>
      <c r="Q142" s="221">
        <f t="shared" si="192"/>
        <v>2.2369619500594529</v>
      </c>
      <c r="R142" s="221">
        <f t="shared" ref="R142:R173" si="257">O142/Vout2</f>
        <v>2.2369619500594529</v>
      </c>
      <c r="S142" s="221">
        <f t="shared" ref="S142:S173" si="258">MIN(Vout,O142/F142)</f>
        <v>5</v>
      </c>
      <c r="T142" s="221">
        <f t="shared" ref="T142:T173" si="259">MIN(2*(Vout*F142+Vout2*G142)/(Efficiency*J142*N142), Isw_max)</f>
        <v>0.58650975264247585</v>
      </c>
      <c r="U142" s="221">
        <f t="shared" si="196"/>
        <v>0.17850296819553613</v>
      </c>
      <c r="V142" s="221">
        <f t="shared" si="197"/>
        <v>0.38586167937004989</v>
      </c>
      <c r="W142" s="201">
        <f t="shared" si="198"/>
        <v>350</v>
      </c>
      <c r="X142" s="451">
        <f t="shared" si="199"/>
        <v>350</v>
      </c>
      <c r="Z142" s="221">
        <f t="shared" si="200"/>
        <v>2.9692542891116021</v>
      </c>
      <c r="AA142" s="177">
        <f t="shared" si="201"/>
        <v>1.9534567691523697</v>
      </c>
      <c r="AB142" s="177">
        <f t="shared" ref="AB142:AB173" si="260">0.5*AA142*Z142*Nps*W142/1000*(Pout/(Pout+Pout2))</f>
        <v>1.6917570513665985</v>
      </c>
      <c r="AC142" s="177"/>
      <c r="AD142" s="177">
        <f t="shared" si="203"/>
        <v>0.53947368421052622</v>
      </c>
      <c r="AE142" s="555">
        <f t="shared" ref="AE142:AE173" si="261">MAX(10, F142/(0.5*AD142/1000000*Isw_min*Nps)/1000*Pout_total/Pout)</f>
        <v>723.37894110648438</v>
      </c>
      <c r="AF142" s="538">
        <f t="shared" ref="AF142:AF173" si="262">0.5*AD142/1000000*Isw_min*Nps*W142*1000*(Pout/Pout_total)</f>
        <v>0.15482894736842101</v>
      </c>
      <c r="AH142" s="177">
        <f t="shared" ref="AH142:AH173" si="263">SQRT((H142+I142)/(0.5*L*Fsw_DCM))</f>
        <v>1.2519372742975226</v>
      </c>
      <c r="AI142" s="177">
        <f t="shared" ref="AI142:AI173" si="264">MAX(IF(F142&gt;AB142,T142,AH142),Isw_min)</f>
        <v>1.2519372742975226</v>
      </c>
      <c r="AJ142" s="177">
        <f t="shared" ref="AJ142:AJ173" si="265">IF(F142&gt;AF142, (AI142-Isw_min)/1.08*0.8+1.2, AE142*0.2/350+1)</f>
        <v>1.5199535365166834</v>
      </c>
      <c r="AL142" s="555">
        <f t="shared" ref="AL142:AL173" si="266">F142*1000</f>
        <v>320</v>
      </c>
      <c r="AM142" s="469">
        <f t="shared" ref="AM142:AM173" si="267">IF(F142&gt;AF142, X142, AE142)</f>
        <v>350</v>
      </c>
      <c r="AO142" s="469">
        <f t="shared" si="211"/>
        <v>320</v>
      </c>
      <c r="AP142" s="469">
        <f t="shared" si="212"/>
        <v>350</v>
      </c>
      <c r="AR142" s="5">
        <f t="shared" si="249"/>
        <v>2.8571428571428572</v>
      </c>
      <c r="AS142" s="5">
        <f t="shared" si="246"/>
        <v>0.38102438782968084</v>
      </c>
      <c r="AT142" s="5">
        <f t="shared" si="247"/>
        <v>2.4761184693131764</v>
      </c>
      <c r="AU142" s="177">
        <f t="shared" si="248"/>
        <v>0.13335853574038828</v>
      </c>
      <c r="AW142" s="5">
        <f t="shared" si="216"/>
        <v>2.4385560821099572</v>
      </c>
      <c r="AX142" s="5"/>
      <c r="AY142" s="5">
        <f t="shared" si="217"/>
        <v>0.4877112164219915</v>
      </c>
      <c r="AZ142" s="5"/>
      <c r="BA142" s="5">
        <f t="shared" si="218"/>
        <v>0.1594923329670323</v>
      </c>
      <c r="BB142" s="5"/>
      <c r="BC142" s="5"/>
      <c r="BD142" s="177">
        <f t="shared" si="219"/>
        <v>0.26395649436493762</v>
      </c>
      <c r="BE142" s="177">
        <f t="shared" si="220"/>
        <v>1.3457725642535732</v>
      </c>
      <c r="BF142" s="177">
        <f t="shared" si="221"/>
        <v>0.26915451285071462</v>
      </c>
      <c r="BG142" s="177"/>
      <c r="BH142" s="538">
        <f t="shared" si="222"/>
        <v>7.6640334009170086E-3</v>
      </c>
      <c r="BI142" s="538">
        <f t="shared" si="223"/>
        <v>7.3701547337895162E-2</v>
      </c>
      <c r="BJ142" s="538">
        <f t="shared" si="224"/>
        <v>1.7499999999999998E-2</v>
      </c>
      <c r="BK142" s="538">
        <f t="shared" si="225"/>
        <v>8.9117405999999996E-2</v>
      </c>
      <c r="BL142">
        <f t="shared" si="226"/>
        <v>6.6699999999999997E-3</v>
      </c>
      <c r="BM142">
        <f t="shared" ref="BM142:BM173" si="268">(J142-Vdd)*Qg*AM142</f>
        <v>6.3E-5</v>
      </c>
      <c r="BN142">
        <f t="shared" ref="BN142:BN173" si="269">(BI142+BJ142+BK142+BL142+BM142+BH142*(1+RdsonTC*(Ta-25)))/(1-BH142*RdsonTC*ThetaJA)</f>
        <v>0.19602781735791802</v>
      </c>
      <c r="BO142" s="469">
        <f t="shared" si="229"/>
        <v>194.65298673881219</v>
      </c>
      <c r="BP142" s="177">
        <f t="shared" si="230"/>
        <v>0.128</v>
      </c>
      <c r="BQ142" s="177">
        <f t="shared" si="231"/>
        <v>2.5600000000000001E-2</v>
      </c>
      <c r="BR142" s="538"/>
      <c r="BT142" s="469">
        <f t="shared" si="232"/>
        <v>153.60000000000002</v>
      </c>
      <c r="BU142" s="538">
        <f t="shared" si="233"/>
        <v>6.967303091742736E-3</v>
      </c>
      <c r="BV142" s="538">
        <f t="shared" si="234"/>
        <v>5.4333113840929134E-2</v>
      </c>
      <c r="BW142" s="538">
        <f t="shared" si="235"/>
        <v>3.6222075893952753E-3</v>
      </c>
      <c r="BX142" s="538">
        <f t="shared" si="236"/>
        <v>0</v>
      </c>
      <c r="BY142" s="538">
        <f t="shared" si="180"/>
        <v>7.3092970462840121E-2</v>
      </c>
      <c r="BZ142" s="538">
        <f t="shared" si="250"/>
        <v>6.4922624522067138E-2</v>
      </c>
      <c r="CA142" s="641">
        <f t="shared" ref="CA142:CA173" si="270">0.5*Lleak*0.000000001*AI142^2*AM142*1000</f>
        <v>2.7428571428571427E-2</v>
      </c>
      <c r="CB142" s="469">
        <f t="shared" si="238"/>
        <v>230.36679093554579</v>
      </c>
      <c r="CC142" s="177">
        <f t="shared" si="251"/>
        <v>0.45014935924932958</v>
      </c>
      <c r="CD142" s="5">
        <f t="shared" si="239"/>
        <v>1.9200000000000002</v>
      </c>
      <c r="CE142" s="177">
        <f t="shared" si="240"/>
        <v>0.81007553068642879</v>
      </c>
      <c r="CF142" s="5">
        <f t="shared" si="241"/>
        <v>81.007553068642878</v>
      </c>
      <c r="CG142">
        <f t="shared" si="242"/>
        <v>32</v>
      </c>
      <c r="CI142" s="571">
        <f t="shared" ref="CI142:CI173" si="271">IF(ABS(F142-Ioutmax_Vinmin)&lt;Iout/200, AM142, -50)</f>
        <v>-50</v>
      </c>
      <c r="CJ142">
        <f t="shared" ref="CJ142:CJ173" si="272">IF(ABS(F142-Ioutmax_Vinmin)&lt;Iout/200, (O142+P142)*CE142, -50)</f>
        <v>-50</v>
      </c>
    </row>
    <row r="143" spans="5:88" x14ac:dyDescent="0.2">
      <c r="E143" s="174">
        <v>33</v>
      </c>
      <c r="F143" s="221">
        <f t="shared" ref="F143:F174" si="273">IF(PLOT_TYPE=1, E143/100*Iout_max, min_I*EXP(O143*rr/100))</f>
        <v>0.33</v>
      </c>
      <c r="G143" s="221">
        <f t="shared" si="252"/>
        <v>6.6000000000000003E-2</v>
      </c>
      <c r="H143" s="221">
        <f t="shared" si="253"/>
        <v>1.6500000000000001</v>
      </c>
      <c r="I143" s="221">
        <f t="shared" si="254"/>
        <v>0.33</v>
      </c>
      <c r="J143" s="551">
        <f t="shared" si="186"/>
        <v>23</v>
      </c>
      <c r="K143" s="451">
        <f t="shared" si="187"/>
        <v>10.64</v>
      </c>
      <c r="L143" s="451">
        <f t="shared" si="188"/>
        <v>33.64</v>
      </c>
      <c r="M143" s="451"/>
      <c r="N143" s="221">
        <f t="shared" si="189"/>
        <v>0.31629013079667062</v>
      </c>
      <c r="O143" s="176">
        <f t="shared" si="255"/>
        <v>11.184809750297264</v>
      </c>
      <c r="P143" s="176">
        <f t="shared" si="256"/>
        <v>2.6843543400713439</v>
      </c>
      <c r="Q143" s="221">
        <f t="shared" si="192"/>
        <v>2.2369619500594529</v>
      </c>
      <c r="R143" s="221">
        <f t="shared" si="257"/>
        <v>2.2369619500594529</v>
      </c>
      <c r="S143" s="221">
        <f t="shared" si="258"/>
        <v>5</v>
      </c>
      <c r="T143" s="221">
        <f t="shared" si="259"/>
        <v>0.60483818241255327</v>
      </c>
      <c r="U143" s="221">
        <f t="shared" si="196"/>
        <v>0.18408118595164666</v>
      </c>
      <c r="V143" s="221">
        <f t="shared" si="197"/>
        <v>0.39791985685036402</v>
      </c>
      <c r="W143" s="201">
        <f t="shared" si="198"/>
        <v>350</v>
      </c>
      <c r="X143" s="451">
        <f t="shared" si="199"/>
        <v>350</v>
      </c>
      <c r="Z143" s="221">
        <f t="shared" si="200"/>
        <v>2.9692542891116021</v>
      </c>
      <c r="AA143" s="177">
        <f t="shared" si="201"/>
        <v>1.9534567691523697</v>
      </c>
      <c r="AB143" s="177">
        <f t="shared" si="260"/>
        <v>1.6917570513665985</v>
      </c>
      <c r="AC143" s="177"/>
      <c r="AD143" s="177">
        <f t="shared" si="203"/>
        <v>0.53947368421052622</v>
      </c>
      <c r="AE143" s="555">
        <f t="shared" si="261"/>
        <v>745.98453301606196</v>
      </c>
      <c r="AF143" s="538">
        <f t="shared" si="262"/>
        <v>0.15482894736842101</v>
      </c>
      <c r="AH143" s="177">
        <f t="shared" si="263"/>
        <v>1.2713483120735423</v>
      </c>
      <c r="AI143" s="177">
        <f t="shared" si="264"/>
        <v>1.2713483120735423</v>
      </c>
      <c r="AJ143" s="177">
        <f t="shared" si="265"/>
        <v>1.5343320830174387</v>
      </c>
      <c r="AL143" s="555">
        <f t="shared" si="266"/>
        <v>330</v>
      </c>
      <c r="AM143" s="469">
        <f t="shared" si="267"/>
        <v>350</v>
      </c>
      <c r="AO143" s="469">
        <f t="shared" si="211"/>
        <v>330</v>
      </c>
      <c r="AP143" s="469">
        <f t="shared" si="212"/>
        <v>350</v>
      </c>
      <c r="AR143" s="5">
        <f t="shared" si="249"/>
        <v>2.8571428571428572</v>
      </c>
      <c r="AS143" s="5">
        <f t="shared" si="246"/>
        <v>0.38693209497890418</v>
      </c>
      <c r="AT143" s="5">
        <f t="shared" si="247"/>
        <v>2.4702107621639531</v>
      </c>
      <c r="AU143" s="177">
        <f t="shared" si="248"/>
        <v>0.13542623324261646</v>
      </c>
      <c r="AW143" s="5">
        <f t="shared" si="216"/>
        <v>2.5537518268607675</v>
      </c>
      <c r="AX143" s="5"/>
      <c r="AY143" s="5">
        <f t="shared" si="217"/>
        <v>0.51075036537215357</v>
      </c>
      <c r="AZ143" s="5"/>
      <c r="BA143" s="5">
        <f t="shared" si="218"/>
        <v>0.16408404821137368</v>
      </c>
      <c r="BB143" s="5"/>
      <c r="BC143" s="5"/>
      <c r="BD143" s="177">
        <f t="shared" si="219"/>
        <v>0.27011911800223926</v>
      </c>
      <c r="BE143" s="177">
        <f t="shared" si="220"/>
        <v>1.3650072121329968</v>
      </c>
      <c r="BF143" s="177">
        <f t="shared" si="221"/>
        <v>0.27300144242659935</v>
      </c>
      <c r="BG143" s="177"/>
      <c r="BH143" s="538">
        <f t="shared" si="222"/>
        <v>8.0260771701338423E-3</v>
      </c>
      <c r="BI143" s="538">
        <f t="shared" si="223"/>
        <v>7.484427513176943E-2</v>
      </c>
      <c r="BJ143" s="538">
        <f t="shared" si="224"/>
        <v>1.7499999999999998E-2</v>
      </c>
      <c r="BK143" s="538">
        <f t="shared" si="225"/>
        <v>8.9117405999999996E-2</v>
      </c>
      <c r="BL143">
        <f t="shared" si="226"/>
        <v>6.6699999999999997E-3</v>
      </c>
      <c r="BM143">
        <f t="shared" si="268"/>
        <v>6.3E-5</v>
      </c>
      <c r="BN143">
        <f t="shared" si="269"/>
        <v>0.19759688240390699</v>
      </c>
      <c r="BO143" s="469">
        <f t="shared" si="229"/>
        <v>196.1577583019033</v>
      </c>
      <c r="BP143" s="177">
        <f t="shared" si="230"/>
        <v>0.13200000000000001</v>
      </c>
      <c r="BQ143" s="177">
        <f t="shared" si="231"/>
        <v>2.6400000000000003E-2</v>
      </c>
      <c r="BR143" s="538"/>
      <c r="BT143" s="469">
        <f t="shared" si="232"/>
        <v>158.4</v>
      </c>
      <c r="BU143" s="538">
        <f t="shared" si="233"/>
        <v>7.2964337910307658E-3</v>
      </c>
      <c r="BV143" s="538">
        <f t="shared" si="234"/>
        <v>5.5897340675252885E-2</v>
      </c>
      <c r="BW143" s="538">
        <f t="shared" si="235"/>
        <v>3.7264893783501918E-3</v>
      </c>
      <c r="BX143" s="538">
        <f t="shared" si="236"/>
        <v>0</v>
      </c>
      <c r="BY143" s="538">
        <f t="shared" si="180"/>
        <v>7.5354112875220966E-2</v>
      </c>
      <c r="BZ143" s="538">
        <f t="shared" si="250"/>
        <v>6.6920263844633843E-2</v>
      </c>
      <c r="CA143" s="641">
        <f t="shared" si="270"/>
        <v>2.8285714285714289E-2</v>
      </c>
      <c r="CB143" s="469">
        <f t="shared" si="238"/>
        <v>237.48035485020296</v>
      </c>
      <c r="CC143" s="177">
        <f t="shared" si="251"/>
        <v>0.45963670956484226</v>
      </c>
      <c r="CD143" s="5">
        <f t="shared" si="239"/>
        <v>1.9800000000000002</v>
      </c>
      <c r="CE143" s="177">
        <f t="shared" si="240"/>
        <v>0.81159624801398089</v>
      </c>
      <c r="CF143" s="5">
        <f t="shared" si="241"/>
        <v>81.159624801398095</v>
      </c>
      <c r="CG143">
        <f t="shared" si="242"/>
        <v>33</v>
      </c>
      <c r="CI143" s="571">
        <f t="shared" si="271"/>
        <v>-50</v>
      </c>
      <c r="CJ143">
        <f t="shared" si="272"/>
        <v>-50</v>
      </c>
    </row>
    <row r="144" spans="5:88" x14ac:dyDescent="0.2">
      <c r="E144" s="174">
        <v>34</v>
      </c>
      <c r="F144" s="221">
        <f t="shared" si="273"/>
        <v>0.34</v>
      </c>
      <c r="G144" s="221">
        <f t="shared" si="252"/>
        <v>6.8000000000000005E-2</v>
      </c>
      <c r="H144" s="221">
        <f t="shared" si="253"/>
        <v>1.7000000000000002</v>
      </c>
      <c r="I144" s="221">
        <f t="shared" si="254"/>
        <v>0.34</v>
      </c>
      <c r="J144" s="551">
        <f t="shared" si="186"/>
        <v>23</v>
      </c>
      <c r="K144" s="451">
        <f t="shared" si="187"/>
        <v>10.64</v>
      </c>
      <c r="L144" s="451">
        <f t="shared" si="188"/>
        <v>33.64</v>
      </c>
      <c r="M144" s="451"/>
      <c r="N144" s="221">
        <f t="shared" si="189"/>
        <v>0.31629013079667062</v>
      </c>
      <c r="O144" s="176">
        <f t="shared" si="255"/>
        <v>11.184809750297264</v>
      </c>
      <c r="P144" s="176">
        <f t="shared" si="256"/>
        <v>2.6843543400713439</v>
      </c>
      <c r="Q144" s="221">
        <f t="shared" si="192"/>
        <v>2.2369619500594529</v>
      </c>
      <c r="R144" s="221">
        <f t="shared" si="257"/>
        <v>2.2369619500594529</v>
      </c>
      <c r="S144" s="221">
        <f t="shared" si="258"/>
        <v>5</v>
      </c>
      <c r="T144" s="221">
        <f t="shared" si="259"/>
        <v>0.62316661218263059</v>
      </c>
      <c r="U144" s="221">
        <f t="shared" si="196"/>
        <v>0.18965940370775711</v>
      </c>
      <c r="V144" s="221">
        <f t="shared" si="197"/>
        <v>0.40997803433067792</v>
      </c>
      <c r="W144" s="201">
        <f t="shared" si="198"/>
        <v>350</v>
      </c>
      <c r="X144" s="451">
        <f t="shared" si="199"/>
        <v>350</v>
      </c>
      <c r="Z144" s="221">
        <f t="shared" si="200"/>
        <v>2.9692542891116021</v>
      </c>
      <c r="AA144" s="177">
        <f t="shared" si="201"/>
        <v>1.9534567691523697</v>
      </c>
      <c r="AB144" s="177">
        <f t="shared" si="260"/>
        <v>1.6917570513665985</v>
      </c>
      <c r="AC144" s="177"/>
      <c r="AD144" s="177">
        <f t="shared" si="203"/>
        <v>0.53947368421052622</v>
      </c>
      <c r="AE144" s="555">
        <f t="shared" si="261"/>
        <v>768.59012492563966</v>
      </c>
      <c r="AF144" s="538">
        <f t="shared" si="262"/>
        <v>0.15482894736842101</v>
      </c>
      <c r="AH144" s="177">
        <f t="shared" si="263"/>
        <v>1.2904674046441389</v>
      </c>
      <c r="AI144" s="177">
        <f t="shared" si="264"/>
        <v>1.2904674046441389</v>
      </c>
      <c r="AJ144" s="177">
        <f t="shared" si="265"/>
        <v>1.5484943738104733</v>
      </c>
      <c r="AL144" s="555">
        <f t="shared" si="266"/>
        <v>340</v>
      </c>
      <c r="AM144" s="469">
        <f t="shared" si="267"/>
        <v>350</v>
      </c>
      <c r="AO144" s="469">
        <f t="shared" si="211"/>
        <v>340</v>
      </c>
      <c r="AP144" s="469">
        <f t="shared" si="212"/>
        <v>350</v>
      </c>
      <c r="AR144" s="5">
        <f t="shared" si="249"/>
        <v>2.8571428571428572</v>
      </c>
      <c r="AS144" s="5">
        <f t="shared" si="246"/>
        <v>0.39275094923952053</v>
      </c>
      <c r="AT144" s="5">
        <f t="shared" si="247"/>
        <v>2.4643919079033365</v>
      </c>
      <c r="AU144" s="177">
        <f t="shared" si="248"/>
        <v>0.13746283223383218</v>
      </c>
      <c r="AW144" s="5">
        <f t="shared" si="216"/>
        <v>2.6707064548287396</v>
      </c>
      <c r="AX144" s="5"/>
      <c r="AY144" s="5">
        <f t="shared" si="217"/>
        <v>0.53414129096574792</v>
      </c>
      <c r="AZ144" s="5"/>
      <c r="BA144" s="5">
        <f t="shared" si="218"/>
        <v>0.16865806132993846</v>
      </c>
      <c r="BB144" s="5"/>
      <c r="BC144" s="5"/>
      <c r="BD144" s="177">
        <f t="shared" si="219"/>
        <v>0.27623522351320906</v>
      </c>
      <c r="BE144" s="177">
        <f t="shared" si="220"/>
        <v>1.3839019359867</v>
      </c>
      <c r="BF144" s="177">
        <f t="shared" si="221"/>
        <v>0.27678038719733999</v>
      </c>
      <c r="BG144" s="177"/>
      <c r="BH144" s="538">
        <f t="shared" si="222"/>
        <v>8.3936488580331828E-3</v>
      </c>
      <c r="BI144" s="538">
        <f t="shared" si="223"/>
        <v>7.5969816111400454E-2</v>
      </c>
      <c r="BJ144" s="538">
        <f t="shared" si="224"/>
        <v>1.7499999999999998E-2</v>
      </c>
      <c r="BK144" s="538">
        <f t="shared" si="225"/>
        <v>8.9117405999999996E-2</v>
      </c>
      <c r="BL144">
        <f t="shared" si="226"/>
        <v>6.6699999999999997E-3</v>
      </c>
      <c r="BM144">
        <f t="shared" si="268"/>
        <v>6.3E-5</v>
      </c>
      <c r="BN144">
        <f t="shared" si="269"/>
        <v>0.19915543128518887</v>
      </c>
      <c r="BO144" s="469">
        <f t="shared" si="229"/>
        <v>197.65087096943364</v>
      </c>
      <c r="BP144" s="177">
        <f t="shared" si="230"/>
        <v>0.13600000000000001</v>
      </c>
      <c r="BQ144" s="177">
        <f t="shared" si="231"/>
        <v>2.7200000000000002E-2</v>
      </c>
      <c r="BR144" s="538"/>
      <c r="BT144" s="469">
        <f t="shared" si="232"/>
        <v>163.20000000000002</v>
      </c>
      <c r="BU144" s="538">
        <f t="shared" si="233"/>
        <v>7.6305898709392575E-3</v>
      </c>
      <c r="BV144" s="538">
        <f t="shared" si="234"/>
        <v>5.7455537052832087E-2</v>
      </c>
      <c r="BW144" s="538">
        <f t="shared" si="235"/>
        <v>3.8303691368554724E-3</v>
      </c>
      <c r="BX144" s="538">
        <f t="shared" si="236"/>
        <v>0</v>
      </c>
      <c r="BY144" s="538">
        <f t="shared" si="180"/>
        <v>7.7614388523978894E-2</v>
      </c>
      <c r="BZ144" s="538">
        <f t="shared" si="250"/>
        <v>6.8916496060626817E-2</v>
      </c>
      <c r="CA144" s="641">
        <f t="shared" si="270"/>
        <v>2.9142857142857147E-2</v>
      </c>
      <c r="CB144" s="469">
        <f t="shared" si="238"/>
        <v>244.59023778808969</v>
      </c>
      <c r="CC144" s="177">
        <f t="shared" si="251"/>
        <v>0.46911267695202491</v>
      </c>
      <c r="CD144" s="5">
        <f t="shared" si="239"/>
        <v>2.04</v>
      </c>
      <c r="CE144" s="177">
        <f t="shared" si="240"/>
        <v>0.81303642468464776</v>
      </c>
      <c r="CF144" s="5">
        <f t="shared" si="241"/>
        <v>81.303642468464773</v>
      </c>
      <c r="CG144">
        <f t="shared" si="242"/>
        <v>34</v>
      </c>
      <c r="CI144" s="571">
        <f t="shared" si="271"/>
        <v>-50</v>
      </c>
      <c r="CJ144">
        <f t="shared" si="272"/>
        <v>-50</v>
      </c>
    </row>
    <row r="145" spans="5:88" x14ac:dyDescent="0.2">
      <c r="E145" s="174">
        <v>35</v>
      </c>
      <c r="F145" s="221">
        <f t="shared" si="273"/>
        <v>0.35</v>
      </c>
      <c r="G145" s="221">
        <f t="shared" si="252"/>
        <v>6.9999999999999993E-2</v>
      </c>
      <c r="H145" s="221">
        <f t="shared" si="253"/>
        <v>1.75</v>
      </c>
      <c r="I145" s="221">
        <f t="shared" si="254"/>
        <v>0.35</v>
      </c>
      <c r="J145" s="551">
        <f t="shared" si="186"/>
        <v>23</v>
      </c>
      <c r="K145" s="451">
        <f t="shared" si="187"/>
        <v>10.64</v>
      </c>
      <c r="L145" s="451">
        <f t="shared" si="188"/>
        <v>33.64</v>
      </c>
      <c r="M145" s="451"/>
      <c r="N145" s="221">
        <f t="shared" si="189"/>
        <v>0.31629013079667062</v>
      </c>
      <c r="O145" s="176">
        <f t="shared" si="255"/>
        <v>11.184809750297264</v>
      </c>
      <c r="P145" s="176">
        <f t="shared" si="256"/>
        <v>2.6843543400713439</v>
      </c>
      <c r="Q145" s="221">
        <f t="shared" si="192"/>
        <v>2.2369619500594529</v>
      </c>
      <c r="R145" s="221">
        <f t="shared" si="257"/>
        <v>2.2369619500594529</v>
      </c>
      <c r="S145" s="221">
        <f t="shared" si="258"/>
        <v>5</v>
      </c>
      <c r="T145" s="221">
        <f t="shared" si="259"/>
        <v>0.6414950419527079</v>
      </c>
      <c r="U145" s="221">
        <f t="shared" si="196"/>
        <v>0.19523762146386761</v>
      </c>
      <c r="V145" s="221">
        <f t="shared" si="197"/>
        <v>0.42203621181099205</v>
      </c>
      <c r="W145" s="201">
        <f t="shared" si="198"/>
        <v>350</v>
      </c>
      <c r="X145" s="451">
        <f t="shared" si="199"/>
        <v>350</v>
      </c>
      <c r="Z145" s="221">
        <f t="shared" si="200"/>
        <v>2.9692542891116021</v>
      </c>
      <c r="AA145" s="177">
        <f t="shared" si="201"/>
        <v>1.9534567691523697</v>
      </c>
      <c r="AB145" s="177">
        <f t="shared" si="260"/>
        <v>1.6917570513665985</v>
      </c>
      <c r="AC145" s="177"/>
      <c r="AD145" s="177">
        <f t="shared" si="203"/>
        <v>0.53947368421052622</v>
      </c>
      <c r="AE145" s="555">
        <f t="shared" si="261"/>
        <v>791.19571683521724</v>
      </c>
      <c r="AF145" s="538">
        <f t="shared" si="262"/>
        <v>0.15482894736842101</v>
      </c>
      <c r="AH145" s="177">
        <f t="shared" si="263"/>
        <v>1.3093073414159542</v>
      </c>
      <c r="AI145" s="177">
        <f t="shared" si="264"/>
        <v>1.3093073414159542</v>
      </c>
      <c r="AJ145" s="177">
        <f t="shared" si="265"/>
        <v>1.5624498825303363</v>
      </c>
      <c r="AL145" s="555">
        <f t="shared" si="266"/>
        <v>350</v>
      </c>
      <c r="AM145" s="469">
        <f t="shared" si="267"/>
        <v>350</v>
      </c>
      <c r="AO145" s="469">
        <f t="shared" si="211"/>
        <v>350</v>
      </c>
      <c r="AP145" s="469">
        <f t="shared" si="212"/>
        <v>350</v>
      </c>
      <c r="AR145" s="5">
        <f t="shared" si="249"/>
        <v>2.8571428571428572</v>
      </c>
      <c r="AS145" s="5">
        <f t="shared" si="246"/>
        <v>0.39848484303963821</v>
      </c>
      <c r="AT145" s="5">
        <f t="shared" si="247"/>
        <v>2.4586580141032188</v>
      </c>
      <c r="AU145" s="177">
        <f t="shared" si="248"/>
        <v>0.13946969506387338</v>
      </c>
      <c r="AW145" s="5">
        <f t="shared" si="216"/>
        <v>2.7893939012774669</v>
      </c>
      <c r="AX145" s="5"/>
      <c r="AY145" s="5">
        <f t="shared" si="217"/>
        <v>0.55787878025549353</v>
      </c>
      <c r="AZ145" s="5"/>
      <c r="BA145" s="5">
        <f t="shared" si="218"/>
        <v>0.17321463464897877</v>
      </c>
      <c r="BB145" s="5"/>
      <c r="BC145" s="5"/>
      <c r="BD145" s="177">
        <f t="shared" si="219"/>
        <v>0.28230651534799484</v>
      </c>
      <c r="BE145" s="177">
        <f t="shared" si="220"/>
        <v>1.4024715367103089</v>
      </c>
      <c r="BF145" s="177">
        <f t="shared" si="221"/>
        <v>0.28049430734206177</v>
      </c>
      <c r="BG145" s="177"/>
      <c r="BH145" s="538">
        <f t="shared" si="222"/>
        <v>8.7666665468720418E-3</v>
      </c>
      <c r="BI145" s="538">
        <f t="shared" si="223"/>
        <v>7.7078923189157225E-2</v>
      </c>
      <c r="BJ145" s="538">
        <f t="shared" si="224"/>
        <v>1.7499999999999998E-2</v>
      </c>
      <c r="BK145" s="538">
        <f t="shared" si="225"/>
        <v>8.9117405999999996E-2</v>
      </c>
      <c r="BL145">
        <f t="shared" si="226"/>
        <v>6.6699999999999997E-3</v>
      </c>
      <c r="BM145">
        <f t="shared" si="268"/>
        <v>6.3E-5</v>
      </c>
      <c r="BN145">
        <f t="shared" si="269"/>
        <v>0.20070412460175815</v>
      </c>
      <c r="BO145" s="469">
        <f t="shared" si="229"/>
        <v>199.13299573602927</v>
      </c>
      <c r="BP145" s="177">
        <f t="shared" si="230"/>
        <v>0.13999999999999999</v>
      </c>
      <c r="BQ145" s="177">
        <f t="shared" si="231"/>
        <v>2.7999999999999997E-2</v>
      </c>
      <c r="BR145" s="538"/>
      <c r="BT145" s="469">
        <f t="shared" si="232"/>
        <v>167.99999999999997</v>
      </c>
      <c r="BU145" s="538">
        <f t="shared" si="233"/>
        <v>7.9696968607927653E-3</v>
      </c>
      <c r="BV145" s="538">
        <f t="shared" si="234"/>
        <v>5.9007792338477257E-2</v>
      </c>
      <c r="BW145" s="538">
        <f t="shared" si="235"/>
        <v>3.9338528225651504E-3</v>
      </c>
      <c r="BX145" s="538">
        <f t="shared" si="236"/>
        <v>0</v>
      </c>
      <c r="BY145" s="538">
        <f t="shared" si="180"/>
        <v>7.9873819845065322E-2</v>
      </c>
      <c r="BZ145" s="538">
        <f t="shared" si="250"/>
        <v>7.0911342021835175E-2</v>
      </c>
      <c r="CA145" s="641">
        <f t="shared" si="270"/>
        <v>0.03</v>
      </c>
      <c r="CB145" s="469">
        <f t="shared" si="238"/>
        <v>251.69650388873566</v>
      </c>
      <c r="CC145" s="177">
        <f t="shared" si="251"/>
        <v>0.47857794444682344</v>
      </c>
      <c r="CD145" s="5">
        <f t="shared" si="239"/>
        <v>2.1</v>
      </c>
      <c r="CE145" s="177">
        <f t="shared" si="240"/>
        <v>0.81440237419331074</v>
      </c>
      <c r="CF145" s="5">
        <f t="shared" si="241"/>
        <v>81.440237419331069</v>
      </c>
      <c r="CG145">
        <f t="shared" si="242"/>
        <v>35</v>
      </c>
      <c r="CI145" s="571">
        <f t="shared" si="271"/>
        <v>-50</v>
      </c>
      <c r="CJ145">
        <f t="shared" si="272"/>
        <v>-50</v>
      </c>
    </row>
    <row r="146" spans="5:88" x14ac:dyDescent="0.2">
      <c r="E146" s="174">
        <v>36</v>
      </c>
      <c r="F146" s="221">
        <f t="shared" si="273"/>
        <v>0.36</v>
      </c>
      <c r="G146" s="221">
        <f t="shared" si="252"/>
        <v>7.1999999999999995E-2</v>
      </c>
      <c r="H146" s="221">
        <f t="shared" si="253"/>
        <v>1.7999999999999998</v>
      </c>
      <c r="I146" s="221">
        <f t="shared" si="254"/>
        <v>0.36</v>
      </c>
      <c r="J146" s="551">
        <f t="shared" si="186"/>
        <v>23</v>
      </c>
      <c r="K146" s="451">
        <f t="shared" si="187"/>
        <v>10.64</v>
      </c>
      <c r="L146" s="451">
        <f t="shared" si="188"/>
        <v>33.64</v>
      </c>
      <c r="M146" s="451"/>
      <c r="N146" s="221">
        <f t="shared" si="189"/>
        <v>0.31629013079667062</v>
      </c>
      <c r="O146" s="176">
        <f t="shared" si="255"/>
        <v>11.184809750297264</v>
      </c>
      <c r="P146" s="176">
        <f t="shared" si="256"/>
        <v>2.6843543400713439</v>
      </c>
      <c r="Q146" s="221">
        <f t="shared" si="192"/>
        <v>2.2369619500594529</v>
      </c>
      <c r="R146" s="221">
        <f t="shared" si="257"/>
        <v>2.2369619500594529</v>
      </c>
      <c r="S146" s="221">
        <f t="shared" si="258"/>
        <v>5</v>
      </c>
      <c r="T146" s="221">
        <f t="shared" si="259"/>
        <v>0.65982347172278522</v>
      </c>
      <c r="U146" s="221">
        <f t="shared" si="196"/>
        <v>0.20081583921997809</v>
      </c>
      <c r="V146" s="221">
        <f t="shared" si="197"/>
        <v>0.43409438929130606</v>
      </c>
      <c r="W146" s="201">
        <f t="shared" si="198"/>
        <v>350</v>
      </c>
      <c r="X146" s="451">
        <f t="shared" si="199"/>
        <v>350</v>
      </c>
      <c r="Z146" s="221">
        <f t="shared" si="200"/>
        <v>2.9692542891116021</v>
      </c>
      <c r="AA146" s="177">
        <f t="shared" si="201"/>
        <v>1.9534567691523697</v>
      </c>
      <c r="AB146" s="177">
        <f t="shared" si="260"/>
        <v>1.6917570513665985</v>
      </c>
      <c r="AC146" s="177"/>
      <c r="AD146" s="177">
        <f t="shared" si="203"/>
        <v>0.53947368421052622</v>
      </c>
      <c r="AE146" s="555">
        <f t="shared" si="261"/>
        <v>813.80130874479494</v>
      </c>
      <c r="AF146" s="538">
        <f t="shared" si="262"/>
        <v>0.15482894736842101</v>
      </c>
      <c r="AH146" s="177">
        <f t="shared" si="263"/>
        <v>1.3278800044139714</v>
      </c>
      <c r="AI146" s="177">
        <f t="shared" si="264"/>
        <v>1.3278800044139714</v>
      </c>
      <c r="AJ146" s="177">
        <f t="shared" si="265"/>
        <v>1.5762074106770159</v>
      </c>
      <c r="AL146" s="555">
        <f t="shared" si="266"/>
        <v>360</v>
      </c>
      <c r="AM146" s="469">
        <f t="shared" si="267"/>
        <v>350</v>
      </c>
      <c r="AO146" s="469">
        <f t="shared" si="211"/>
        <v>360</v>
      </c>
      <c r="AP146" s="469">
        <f t="shared" si="212"/>
        <v>350</v>
      </c>
      <c r="AR146" s="5">
        <f t="shared" si="249"/>
        <v>2.8571428571428572</v>
      </c>
      <c r="AS146" s="5">
        <f t="shared" si="246"/>
        <v>0.40413739264773041</v>
      </c>
      <c r="AT146" s="5">
        <f t="shared" si="247"/>
        <v>2.4530054644951269</v>
      </c>
      <c r="AU146" s="177">
        <f t="shared" si="248"/>
        <v>0.14144808742670564</v>
      </c>
      <c r="AW146" s="5">
        <f t="shared" si="216"/>
        <v>2.9097892270636589</v>
      </c>
      <c r="AX146" s="5"/>
      <c r="AY146" s="5">
        <f t="shared" si="217"/>
        <v>0.58195784541273166</v>
      </c>
      <c r="AZ146" s="5"/>
      <c r="BA146" s="5">
        <f t="shared" si="218"/>
        <v>0.17775401916631348</v>
      </c>
      <c r="BB146" s="5"/>
      <c r="BC146" s="5"/>
      <c r="BD146" s="177">
        <f t="shared" si="219"/>
        <v>0.28833458873149725</v>
      </c>
      <c r="BE146" s="177">
        <f t="shared" si="220"/>
        <v>1.420729765975014</v>
      </c>
      <c r="BF146" s="177">
        <f t="shared" si="221"/>
        <v>0.2841459531950028</v>
      </c>
      <c r="BG146" s="177"/>
      <c r="BH146" s="538">
        <f t="shared" si="222"/>
        <v>9.1450518564857829E-3</v>
      </c>
      <c r="BI146" s="538">
        <f t="shared" si="223"/>
        <v>7.8172295859850499E-2</v>
      </c>
      <c r="BJ146" s="538">
        <f t="shared" si="224"/>
        <v>1.7499999999999998E-2</v>
      </c>
      <c r="BK146" s="538">
        <f t="shared" si="225"/>
        <v>8.9117405999999996E-2</v>
      </c>
      <c r="BL146">
        <f t="shared" si="226"/>
        <v>6.6699999999999997E-3</v>
      </c>
      <c r="BM146">
        <f t="shared" si="268"/>
        <v>6.3E-5</v>
      </c>
      <c r="BN146">
        <f t="shared" si="269"/>
        <v>0.20224357362714299</v>
      </c>
      <c r="BO146" s="469">
        <f t="shared" si="229"/>
        <v>200.60475371633629</v>
      </c>
      <c r="BP146" s="177">
        <f t="shared" si="230"/>
        <v>0.14399999999999999</v>
      </c>
      <c r="BQ146" s="177">
        <f t="shared" si="231"/>
        <v>2.8799999999999999E-2</v>
      </c>
      <c r="BR146" s="538"/>
      <c r="BT146" s="469">
        <f t="shared" si="232"/>
        <v>172.79999999999998</v>
      </c>
      <c r="BU146" s="538">
        <f t="shared" si="233"/>
        <v>8.3136835058961658E-3</v>
      </c>
      <c r="BV146" s="538">
        <f t="shared" si="234"/>
        <v>6.0554192037822543E-2</v>
      </c>
      <c r="BW146" s="538">
        <f t="shared" si="235"/>
        <v>4.0369461358548365E-3</v>
      </c>
      <c r="BX146" s="538">
        <f t="shared" si="236"/>
        <v>0</v>
      </c>
      <c r="BY146" s="538">
        <f t="shared" si="180"/>
        <v>8.2132428284175829E-2</v>
      </c>
      <c r="BZ146" s="538">
        <f t="shared" si="250"/>
        <v>7.2904821679573545E-2</v>
      </c>
      <c r="CA146" s="641">
        <f t="shared" si="270"/>
        <v>3.085714285714285E-2</v>
      </c>
      <c r="CB146" s="469">
        <f t="shared" si="238"/>
        <v>258.79921450046578</v>
      </c>
      <c r="CC146" s="177">
        <f t="shared" si="251"/>
        <v>0.48803314476846166</v>
      </c>
      <c r="CD146" s="5">
        <f t="shared" si="239"/>
        <v>2.1599999999999997</v>
      </c>
      <c r="CE146" s="177">
        <f t="shared" si="240"/>
        <v>0.81569975975087938</v>
      </c>
      <c r="CF146" s="5">
        <f t="shared" si="241"/>
        <v>81.569975975087942</v>
      </c>
      <c r="CG146">
        <f t="shared" si="242"/>
        <v>36</v>
      </c>
      <c r="CI146" s="571">
        <f t="shared" si="271"/>
        <v>-50</v>
      </c>
      <c r="CJ146">
        <f t="shared" si="272"/>
        <v>-50</v>
      </c>
    </row>
    <row r="147" spans="5:88" x14ac:dyDescent="0.2">
      <c r="E147" s="174">
        <v>37</v>
      </c>
      <c r="F147" s="221">
        <f t="shared" si="273"/>
        <v>0.37</v>
      </c>
      <c r="G147" s="221">
        <f t="shared" si="252"/>
        <v>7.3999999999999996E-2</v>
      </c>
      <c r="H147" s="221">
        <f t="shared" si="253"/>
        <v>1.85</v>
      </c>
      <c r="I147" s="221">
        <f t="shared" si="254"/>
        <v>0.37</v>
      </c>
      <c r="J147" s="551">
        <f t="shared" si="186"/>
        <v>23</v>
      </c>
      <c r="K147" s="451">
        <f t="shared" si="187"/>
        <v>10.64</v>
      </c>
      <c r="L147" s="451">
        <f t="shared" si="188"/>
        <v>33.64</v>
      </c>
      <c r="M147" s="451"/>
      <c r="N147" s="221">
        <f t="shared" si="189"/>
        <v>0.31629013079667062</v>
      </c>
      <c r="O147" s="176">
        <f t="shared" si="255"/>
        <v>11.184809750297264</v>
      </c>
      <c r="P147" s="176">
        <f t="shared" si="256"/>
        <v>2.6843543400713439</v>
      </c>
      <c r="Q147" s="221">
        <f t="shared" si="192"/>
        <v>2.2369619500594529</v>
      </c>
      <c r="R147" s="221">
        <f t="shared" si="257"/>
        <v>2.2369619500594529</v>
      </c>
      <c r="S147" s="221">
        <f t="shared" si="258"/>
        <v>5</v>
      </c>
      <c r="T147" s="221">
        <f t="shared" si="259"/>
        <v>0.67815190149286264</v>
      </c>
      <c r="U147" s="221">
        <f t="shared" si="196"/>
        <v>0.20639405697608865</v>
      </c>
      <c r="V147" s="221">
        <f t="shared" si="197"/>
        <v>0.44615256677162018</v>
      </c>
      <c r="W147" s="201">
        <f t="shared" si="198"/>
        <v>350</v>
      </c>
      <c r="X147" s="451">
        <f t="shared" si="199"/>
        <v>350</v>
      </c>
      <c r="Z147" s="221">
        <f t="shared" si="200"/>
        <v>2.9692542891116021</v>
      </c>
      <c r="AA147" s="177">
        <f t="shared" si="201"/>
        <v>1.9534567691523697</v>
      </c>
      <c r="AB147" s="177">
        <f t="shared" si="260"/>
        <v>1.6917570513665985</v>
      </c>
      <c r="AC147" s="177"/>
      <c r="AD147" s="177">
        <f t="shared" si="203"/>
        <v>0.53947368421052622</v>
      </c>
      <c r="AE147" s="555">
        <f t="shared" si="261"/>
        <v>836.40690065437252</v>
      </c>
      <c r="AF147" s="538">
        <f t="shared" si="262"/>
        <v>0.15482894736842101</v>
      </c>
      <c r="AH147" s="177">
        <f t="shared" si="263"/>
        <v>1.3461964559302568</v>
      </c>
      <c r="AI147" s="177">
        <f t="shared" si="264"/>
        <v>1.3461964559302568</v>
      </c>
      <c r="AJ147" s="177">
        <f t="shared" si="265"/>
        <v>1.5897751525409309</v>
      </c>
      <c r="AL147" s="555">
        <f t="shared" si="266"/>
        <v>370</v>
      </c>
      <c r="AM147" s="469">
        <f t="shared" si="267"/>
        <v>350</v>
      </c>
      <c r="AO147" s="469">
        <f t="shared" si="211"/>
        <v>370</v>
      </c>
      <c r="AP147" s="469">
        <f t="shared" si="212"/>
        <v>350</v>
      </c>
      <c r="AR147" s="5">
        <f t="shared" si="249"/>
        <v>2.8571428571428572</v>
      </c>
      <c r="AS147" s="5">
        <f t="shared" si="246"/>
        <v>0.40971196484833905</v>
      </c>
      <c r="AT147" s="5">
        <f t="shared" si="247"/>
        <v>2.447430892294518</v>
      </c>
      <c r="AU147" s="177">
        <f t="shared" si="248"/>
        <v>0.14339918769691867</v>
      </c>
      <c r="AW147" s="5">
        <f t="shared" si="216"/>
        <v>3.031868539877709</v>
      </c>
      <c r="AX147" s="5"/>
      <c r="AY147" s="5">
        <f t="shared" si="217"/>
        <v>0.6063737079755418</v>
      </c>
      <c r="AZ147" s="5"/>
      <c r="BA147" s="5">
        <f t="shared" si="218"/>
        <v>0.18227645534399589</v>
      </c>
      <c r="BB147" s="5"/>
      <c r="BC147" s="5"/>
      <c r="BD147" s="177">
        <f t="shared" si="219"/>
        <v>0.29432093949475868</v>
      </c>
      <c r="BE147" s="177">
        <f t="shared" si="220"/>
        <v>1.4386894275388054</v>
      </c>
      <c r="BF147" s="177">
        <f t="shared" si="221"/>
        <v>0.28773788550776108</v>
      </c>
      <c r="BG147" s="177"/>
      <c r="BH147" s="538">
        <f t="shared" si="222"/>
        <v>9.5287296967585134E-3</v>
      </c>
      <c r="BI147" s="538">
        <f t="shared" si="223"/>
        <v>7.9250585360614217E-2</v>
      </c>
      <c r="BJ147" s="538">
        <f t="shared" si="224"/>
        <v>1.7499999999999998E-2</v>
      </c>
      <c r="BK147" s="538">
        <f t="shared" si="225"/>
        <v>8.9117405999999996E-2</v>
      </c>
      <c r="BL147">
        <f t="shared" si="226"/>
        <v>6.6699999999999997E-3</v>
      </c>
      <c r="BM147">
        <f t="shared" si="268"/>
        <v>6.3E-5</v>
      </c>
      <c r="BN147">
        <f t="shared" si="269"/>
        <v>0.2037743451821673</v>
      </c>
      <c r="BO147" s="469">
        <f t="shared" si="229"/>
        <v>202.06672105737272</v>
      </c>
      <c r="BP147" s="177">
        <f t="shared" si="230"/>
        <v>0.14799999999999999</v>
      </c>
      <c r="BQ147" s="177">
        <f t="shared" si="231"/>
        <v>2.9600000000000001E-2</v>
      </c>
      <c r="BR147" s="538"/>
      <c r="BT147" s="469">
        <f t="shared" si="232"/>
        <v>177.59999999999997</v>
      </c>
      <c r="BU147" s="538">
        <f t="shared" si="233"/>
        <v>8.6624815425077398E-3</v>
      </c>
      <c r="BV147" s="538">
        <f t="shared" si="234"/>
        <v>6.209481806735806E-2</v>
      </c>
      <c r="BW147" s="538">
        <f t="shared" si="235"/>
        <v>4.1396545378238709E-3</v>
      </c>
      <c r="BX147" s="538">
        <f t="shared" si="236"/>
        <v>0</v>
      </c>
      <c r="BY147" s="538">
        <f t="shared" si="180"/>
        <v>8.4390234366521405E-2</v>
      </c>
      <c r="BZ147" s="538">
        <f t="shared" si="250"/>
        <v>7.4896954147689668E-2</v>
      </c>
      <c r="CA147" s="641">
        <f t="shared" si="270"/>
        <v>3.1714285714285723E-2</v>
      </c>
      <c r="CB147" s="469">
        <f t="shared" si="238"/>
        <v>265.89842837618647</v>
      </c>
      <c r="CC147" s="177">
        <f t="shared" si="251"/>
        <v>0.49747886526297447</v>
      </c>
      <c r="CD147" s="5">
        <f t="shared" si="239"/>
        <v>2.2200000000000002</v>
      </c>
      <c r="CE147" s="177">
        <f t="shared" si="240"/>
        <v>0.81693367642260106</v>
      </c>
      <c r="CF147" s="5">
        <f t="shared" si="241"/>
        <v>81.6933676422601</v>
      </c>
      <c r="CG147">
        <f t="shared" si="242"/>
        <v>37</v>
      </c>
      <c r="CI147" s="571">
        <f t="shared" si="271"/>
        <v>-50</v>
      </c>
      <c r="CJ147">
        <f t="shared" si="272"/>
        <v>-50</v>
      </c>
    </row>
    <row r="148" spans="5:88" x14ac:dyDescent="0.2">
      <c r="E148" s="174">
        <v>38</v>
      </c>
      <c r="F148" s="221">
        <f t="shared" si="273"/>
        <v>0.38</v>
      </c>
      <c r="G148" s="221">
        <f t="shared" si="252"/>
        <v>7.6000000000000012E-2</v>
      </c>
      <c r="H148" s="221">
        <f t="shared" si="253"/>
        <v>1.9</v>
      </c>
      <c r="I148" s="221">
        <f t="shared" si="254"/>
        <v>0.38000000000000006</v>
      </c>
      <c r="J148" s="551">
        <f t="shared" si="186"/>
        <v>23</v>
      </c>
      <c r="K148" s="451">
        <f t="shared" si="187"/>
        <v>10.64</v>
      </c>
      <c r="L148" s="451">
        <f t="shared" si="188"/>
        <v>33.64</v>
      </c>
      <c r="M148" s="451"/>
      <c r="N148" s="221">
        <f t="shared" si="189"/>
        <v>0.31629013079667062</v>
      </c>
      <c r="O148" s="176">
        <f t="shared" si="255"/>
        <v>11.184809750297264</v>
      </c>
      <c r="P148" s="176">
        <f t="shared" si="256"/>
        <v>2.6843543400713439</v>
      </c>
      <c r="Q148" s="221">
        <f t="shared" si="192"/>
        <v>2.2369619500594529</v>
      </c>
      <c r="R148" s="221">
        <f t="shared" si="257"/>
        <v>2.2369619500594529</v>
      </c>
      <c r="S148" s="221">
        <f t="shared" si="258"/>
        <v>5</v>
      </c>
      <c r="T148" s="221">
        <f t="shared" si="259"/>
        <v>0.69648033126293996</v>
      </c>
      <c r="U148" s="221">
        <f t="shared" si="196"/>
        <v>0.2119722747321991</v>
      </c>
      <c r="V148" s="221">
        <f t="shared" si="197"/>
        <v>0.45821074425193409</v>
      </c>
      <c r="W148" s="201">
        <f t="shared" si="198"/>
        <v>350</v>
      </c>
      <c r="X148" s="451">
        <f t="shared" si="199"/>
        <v>350</v>
      </c>
      <c r="Z148" s="221">
        <f t="shared" si="200"/>
        <v>2.9692542891116021</v>
      </c>
      <c r="AA148" s="177">
        <f t="shared" si="201"/>
        <v>1.9534567691523697</v>
      </c>
      <c r="AB148" s="177">
        <f t="shared" si="260"/>
        <v>1.6917570513665985</v>
      </c>
      <c r="AC148" s="177"/>
      <c r="AD148" s="177">
        <f t="shared" si="203"/>
        <v>0.53947368421052622</v>
      </c>
      <c r="AE148" s="555">
        <f t="shared" si="261"/>
        <v>859.01249256394999</v>
      </c>
      <c r="AF148" s="538">
        <f t="shared" si="262"/>
        <v>0.15482894736842101</v>
      </c>
      <c r="AH148" s="177">
        <f t="shared" si="263"/>
        <v>1.3642670155786651</v>
      </c>
      <c r="AI148" s="177">
        <f t="shared" si="264"/>
        <v>1.3642670155786651</v>
      </c>
      <c r="AJ148" s="177">
        <f t="shared" si="265"/>
        <v>1.6031607522804927</v>
      </c>
      <c r="AL148" s="555">
        <f t="shared" si="266"/>
        <v>380</v>
      </c>
      <c r="AM148" s="469">
        <f t="shared" si="267"/>
        <v>350</v>
      </c>
      <c r="AO148" s="469">
        <f t="shared" si="211"/>
        <v>380</v>
      </c>
      <c r="AP148" s="469">
        <f t="shared" si="212"/>
        <v>350</v>
      </c>
      <c r="AR148" s="5">
        <f t="shared" si="249"/>
        <v>2.8571428571428572</v>
      </c>
      <c r="AS148" s="5">
        <f t="shared" si="246"/>
        <v>0.4152117003935068</v>
      </c>
      <c r="AT148" s="5">
        <f t="shared" si="247"/>
        <v>2.4419311567493502</v>
      </c>
      <c r="AU148" s="177">
        <f t="shared" si="248"/>
        <v>0.14532409513772737</v>
      </c>
      <c r="AW148" s="5">
        <f t="shared" si="216"/>
        <v>3.1556089229906519</v>
      </c>
      <c r="AX148" s="5"/>
      <c r="AY148" s="5">
        <f t="shared" si="217"/>
        <v>0.6311217845981304</v>
      </c>
      <c r="AZ148" s="5"/>
      <c r="BA148" s="5">
        <f t="shared" si="218"/>
        <v>0.18678217382543338</v>
      </c>
      <c r="BB148" s="5"/>
      <c r="BC148" s="5"/>
      <c r="BD148" s="177">
        <f t="shared" si="219"/>
        <v>0.30026697278020775</v>
      </c>
      <c r="BE148" s="177">
        <f t="shared" si="220"/>
        <v>1.4563624663149155</v>
      </c>
      <c r="BF148" s="177">
        <f t="shared" si="221"/>
        <v>0.2912724932629831</v>
      </c>
      <c r="BG148" s="177"/>
      <c r="BH148" s="538">
        <f t="shared" si="222"/>
        <v>9.9176280436849024E-3</v>
      </c>
      <c r="BI148" s="538">
        <f t="shared" si="223"/>
        <v>8.0314399207116013E-2</v>
      </c>
      <c r="BJ148" s="538">
        <f t="shared" si="224"/>
        <v>1.7499999999999998E-2</v>
      </c>
      <c r="BK148" s="538">
        <f t="shared" si="225"/>
        <v>8.9117405999999996E-2</v>
      </c>
      <c r="BL148">
        <f t="shared" si="226"/>
        <v>6.6699999999999997E-3</v>
      </c>
      <c r="BM148">
        <f t="shared" si="268"/>
        <v>6.3E-5</v>
      </c>
      <c r="BN148">
        <f t="shared" si="269"/>
        <v>0.20529696591231203</v>
      </c>
      <c r="BO148" s="469">
        <f t="shared" si="229"/>
        <v>203.51943325080092</v>
      </c>
      <c r="BP148" s="177">
        <f t="shared" si="230"/>
        <v>0.15200000000000002</v>
      </c>
      <c r="BQ148" s="177">
        <f t="shared" si="231"/>
        <v>3.0400000000000007E-2</v>
      </c>
      <c r="BR148" s="538"/>
      <c r="BT148" s="469">
        <f t="shared" si="232"/>
        <v>182.40000000000003</v>
      </c>
      <c r="BU148" s="538">
        <f t="shared" si="233"/>
        <v>9.0160254942590039E-3</v>
      </c>
      <c r="BV148" s="538">
        <f t="shared" si="234"/>
        <v>6.3629748998725894E-2</v>
      </c>
      <c r="BW148" s="538">
        <f t="shared" si="235"/>
        <v>4.2419832665817267E-3</v>
      </c>
      <c r="BX148" s="538">
        <f t="shared" si="236"/>
        <v>0</v>
      </c>
      <c r="BY148" s="538">
        <f t="shared" si="180"/>
        <v>8.6647257759928722E-2</v>
      </c>
      <c r="BZ148" s="538">
        <f t="shared" si="250"/>
        <v>7.6887757759566633E-2</v>
      </c>
      <c r="CA148" s="641">
        <f t="shared" si="270"/>
        <v>3.2571428571428564E-2</v>
      </c>
      <c r="CB148" s="469">
        <f t="shared" si="238"/>
        <v>272.99420185049058</v>
      </c>
      <c r="CC148" s="177">
        <f t="shared" si="251"/>
        <v>0.5069156522436693</v>
      </c>
      <c r="CD148" s="5">
        <f t="shared" si="239"/>
        <v>2.2799999999999998</v>
      </c>
      <c r="CE148" s="177">
        <f t="shared" si="240"/>
        <v>0.81810872107465271</v>
      </c>
      <c r="CF148" s="5">
        <f t="shared" si="241"/>
        <v>81.810872107465272</v>
      </c>
      <c r="CG148">
        <f t="shared" si="242"/>
        <v>38</v>
      </c>
      <c r="CI148" s="571">
        <f t="shared" si="271"/>
        <v>-50</v>
      </c>
      <c r="CJ148">
        <f t="shared" si="272"/>
        <v>-50</v>
      </c>
    </row>
    <row r="149" spans="5:88" x14ac:dyDescent="0.2">
      <c r="E149" s="174">
        <v>39</v>
      </c>
      <c r="F149" s="221">
        <f t="shared" si="273"/>
        <v>0.39</v>
      </c>
      <c r="G149" s="221">
        <f t="shared" si="252"/>
        <v>7.8000000000000014E-2</v>
      </c>
      <c r="H149" s="221">
        <f t="shared" si="253"/>
        <v>1.9500000000000002</v>
      </c>
      <c r="I149" s="221">
        <f t="shared" si="254"/>
        <v>0.39000000000000007</v>
      </c>
      <c r="J149" s="551">
        <f t="shared" si="186"/>
        <v>23</v>
      </c>
      <c r="K149" s="451">
        <f t="shared" si="187"/>
        <v>10.64</v>
      </c>
      <c r="L149" s="451">
        <f t="shared" si="188"/>
        <v>33.64</v>
      </c>
      <c r="M149" s="451"/>
      <c r="N149" s="221">
        <f t="shared" si="189"/>
        <v>0.31629013079667062</v>
      </c>
      <c r="O149" s="176">
        <f t="shared" si="255"/>
        <v>11.184809750297264</v>
      </c>
      <c r="P149" s="176">
        <f t="shared" si="256"/>
        <v>2.6843543400713439</v>
      </c>
      <c r="Q149" s="221">
        <f t="shared" si="192"/>
        <v>2.2369619500594529</v>
      </c>
      <c r="R149" s="221">
        <f t="shared" si="257"/>
        <v>2.2369619500594529</v>
      </c>
      <c r="S149" s="221">
        <f t="shared" si="258"/>
        <v>5</v>
      </c>
      <c r="T149" s="221">
        <f t="shared" si="259"/>
        <v>0.71480876103301749</v>
      </c>
      <c r="U149" s="221">
        <f t="shared" si="196"/>
        <v>0.21755049248830968</v>
      </c>
      <c r="V149" s="221">
        <f t="shared" si="197"/>
        <v>0.47026892173224832</v>
      </c>
      <c r="W149" s="201">
        <f t="shared" si="198"/>
        <v>350</v>
      </c>
      <c r="X149" s="451">
        <f t="shared" si="199"/>
        <v>350</v>
      </c>
      <c r="Z149" s="221">
        <f t="shared" si="200"/>
        <v>2.9692542891116021</v>
      </c>
      <c r="AA149" s="177">
        <f t="shared" si="201"/>
        <v>1.9534567691523697</v>
      </c>
      <c r="AB149" s="177">
        <f t="shared" si="260"/>
        <v>1.6917570513665985</v>
      </c>
      <c r="AC149" s="177"/>
      <c r="AD149" s="177">
        <f t="shared" si="203"/>
        <v>0.53947368421052622</v>
      </c>
      <c r="AE149" s="555">
        <f t="shared" si="261"/>
        <v>881.6180844735278</v>
      </c>
      <c r="AF149" s="538">
        <f t="shared" si="262"/>
        <v>0.15482894736842101</v>
      </c>
      <c r="AH149" s="177">
        <f t="shared" si="263"/>
        <v>1.3821013282797514</v>
      </c>
      <c r="AI149" s="177">
        <f t="shared" si="264"/>
        <v>1.3821013282797514</v>
      </c>
      <c r="AJ149" s="177">
        <f t="shared" si="265"/>
        <v>1.6163713542812974</v>
      </c>
      <c r="AL149" s="555">
        <f t="shared" si="266"/>
        <v>390</v>
      </c>
      <c r="AM149" s="469">
        <f t="shared" si="267"/>
        <v>350</v>
      </c>
      <c r="AO149" s="469">
        <f t="shared" si="211"/>
        <v>390</v>
      </c>
      <c r="AP149" s="469">
        <f t="shared" si="212"/>
        <v>350</v>
      </c>
      <c r="AR149" s="5">
        <f t="shared" si="249"/>
        <v>2.8571428571428572</v>
      </c>
      <c r="AS149" s="5">
        <f t="shared" si="246"/>
        <v>0.42063953469383736</v>
      </c>
      <c r="AT149" s="5">
        <f t="shared" si="247"/>
        <v>2.43650332244902</v>
      </c>
      <c r="AU149" s="177">
        <f t="shared" si="248"/>
        <v>0.14722383714284307</v>
      </c>
      <c r="AW149" s="5">
        <f t="shared" si="216"/>
        <v>3.2809883706119312</v>
      </c>
      <c r="AX149" s="5"/>
      <c r="AY149" s="5">
        <f t="shared" si="217"/>
        <v>0.6561976741223865</v>
      </c>
      <c r="AZ149" s="5"/>
      <c r="BA149" s="5">
        <f t="shared" si="218"/>
        <v>0.19127139608597379</v>
      </c>
      <c r="BB149" s="5"/>
      <c r="BC149" s="5"/>
      <c r="BD149" s="177">
        <f t="shared" si="219"/>
        <v>0.30617401077594192</v>
      </c>
      <c r="BE149" s="177">
        <f t="shared" si="220"/>
        <v>1.473760046958696</v>
      </c>
      <c r="BF149" s="177">
        <f t="shared" si="221"/>
        <v>0.29475200939173923</v>
      </c>
      <c r="BG149" s="177"/>
      <c r="BH149" s="538">
        <f t="shared" si="222"/>
        <v>1.0311677736208925E-2</v>
      </c>
      <c r="BI149" s="538">
        <f t="shared" si="223"/>
        <v>8.1364305195828962E-2</v>
      </c>
      <c r="BJ149" s="538">
        <f t="shared" si="224"/>
        <v>1.7499999999999998E-2</v>
      </c>
      <c r="BK149" s="538">
        <f t="shared" si="225"/>
        <v>8.9117405999999996E-2</v>
      </c>
      <c r="BL149">
        <f t="shared" si="226"/>
        <v>6.6699999999999997E-3</v>
      </c>
      <c r="BM149">
        <f t="shared" si="268"/>
        <v>6.3E-5</v>
      </c>
      <c r="BN149">
        <f t="shared" si="269"/>
        <v>0.20681192605515417</v>
      </c>
      <c r="BO149" s="469">
        <f t="shared" si="229"/>
        <v>204.9633889320379</v>
      </c>
      <c r="BP149" s="177">
        <f t="shared" si="230"/>
        <v>0.15600000000000003</v>
      </c>
      <c r="BQ149" s="177">
        <f t="shared" si="231"/>
        <v>3.1200000000000006E-2</v>
      </c>
      <c r="BR149" s="538"/>
      <c r="BT149" s="469">
        <f t="shared" si="232"/>
        <v>187.20000000000005</v>
      </c>
      <c r="BU149" s="538">
        <f t="shared" si="233"/>
        <v>9.3742524874626601E-3</v>
      </c>
      <c r="BV149" s="538">
        <f t="shared" si="234"/>
        <v>6.5159060280350928E-2</v>
      </c>
      <c r="BW149" s="538">
        <f t="shared" si="235"/>
        <v>4.3439373520233965E-3</v>
      </c>
      <c r="BX149" s="538">
        <f t="shared" si="236"/>
        <v>0</v>
      </c>
      <c r="BY149" s="538">
        <f t="shared" si="180"/>
        <v>8.8903517332068221E-2</v>
      </c>
      <c r="BZ149" s="538">
        <f t="shared" si="250"/>
        <v>7.8877250119836984E-2</v>
      </c>
      <c r="CA149" s="641">
        <f t="shared" si="270"/>
        <v>3.3428571428571432E-2</v>
      </c>
      <c r="CB149" s="469">
        <f t="shared" si="238"/>
        <v>280.08658900031361</v>
      </c>
      <c r="CC149" s="177">
        <f t="shared" si="251"/>
        <v>0.51634401481579395</v>
      </c>
      <c r="CD149" s="5">
        <f t="shared" si="239"/>
        <v>2.3400000000000003</v>
      </c>
      <c r="CE149" s="177">
        <f t="shared" si="240"/>
        <v>0.81922905219485853</v>
      </c>
      <c r="CF149" s="5">
        <f t="shared" si="241"/>
        <v>81.922905219485855</v>
      </c>
      <c r="CG149">
        <f t="shared" si="242"/>
        <v>39</v>
      </c>
      <c r="CI149" s="571">
        <f t="shared" si="271"/>
        <v>-50</v>
      </c>
      <c r="CJ149">
        <f t="shared" si="272"/>
        <v>-50</v>
      </c>
    </row>
    <row r="150" spans="5:88" x14ac:dyDescent="0.2">
      <c r="E150" s="174">
        <v>40</v>
      </c>
      <c r="F150" s="221">
        <f t="shared" si="273"/>
        <v>0.4</v>
      </c>
      <c r="G150" s="221">
        <f t="shared" si="252"/>
        <v>8.0000000000000016E-2</v>
      </c>
      <c r="H150" s="221">
        <f t="shared" si="253"/>
        <v>2</v>
      </c>
      <c r="I150" s="221">
        <f t="shared" si="254"/>
        <v>0.40000000000000008</v>
      </c>
      <c r="J150" s="551">
        <f t="shared" si="186"/>
        <v>23</v>
      </c>
      <c r="K150" s="451">
        <f t="shared" si="187"/>
        <v>10.64</v>
      </c>
      <c r="L150" s="451">
        <f t="shared" si="188"/>
        <v>33.64</v>
      </c>
      <c r="M150" s="451"/>
      <c r="N150" s="221">
        <f t="shared" si="189"/>
        <v>0.31629013079667062</v>
      </c>
      <c r="O150" s="176">
        <f t="shared" si="255"/>
        <v>11.184809750297264</v>
      </c>
      <c r="P150" s="176">
        <f t="shared" si="256"/>
        <v>2.6843543400713439</v>
      </c>
      <c r="Q150" s="221">
        <f t="shared" si="192"/>
        <v>2.2369619500594529</v>
      </c>
      <c r="R150" s="221">
        <f t="shared" si="257"/>
        <v>2.2369619500594529</v>
      </c>
      <c r="S150" s="221">
        <f t="shared" si="258"/>
        <v>5</v>
      </c>
      <c r="T150" s="221">
        <f t="shared" si="259"/>
        <v>0.7331371908030947</v>
      </c>
      <c r="U150" s="221">
        <f t="shared" si="196"/>
        <v>0.2231287102444201</v>
      </c>
      <c r="V150" s="221">
        <f t="shared" si="197"/>
        <v>0.48232709921256223</v>
      </c>
      <c r="W150" s="201">
        <f t="shared" si="198"/>
        <v>350</v>
      </c>
      <c r="X150" s="451">
        <f t="shared" si="199"/>
        <v>350</v>
      </c>
      <c r="Z150" s="221">
        <f t="shared" si="200"/>
        <v>2.9692542891116021</v>
      </c>
      <c r="AA150" s="177">
        <f t="shared" si="201"/>
        <v>1.9534567691523697</v>
      </c>
      <c r="AB150" s="177">
        <f t="shared" si="260"/>
        <v>1.6917570513665985</v>
      </c>
      <c r="AC150" s="177"/>
      <c r="AD150" s="177">
        <f t="shared" si="203"/>
        <v>0.53947368421052622</v>
      </c>
      <c r="AE150" s="555">
        <f t="shared" si="261"/>
        <v>904.2236763831055</v>
      </c>
      <c r="AF150" s="538">
        <f t="shared" si="262"/>
        <v>0.15482894736842101</v>
      </c>
      <c r="AH150" s="177">
        <f t="shared" si="263"/>
        <v>1.3997084244475302</v>
      </c>
      <c r="AI150" s="177">
        <f t="shared" si="264"/>
        <v>1.3997084244475302</v>
      </c>
      <c r="AJ150" s="177">
        <f t="shared" si="265"/>
        <v>1.6294136477389112</v>
      </c>
      <c r="AL150" s="555">
        <f t="shared" si="266"/>
        <v>400</v>
      </c>
      <c r="AM150" s="469">
        <f t="shared" si="267"/>
        <v>350</v>
      </c>
      <c r="AO150" s="469">
        <f t="shared" si="211"/>
        <v>400</v>
      </c>
      <c r="AP150" s="469">
        <f t="shared" si="212"/>
        <v>350</v>
      </c>
      <c r="AR150" s="5">
        <f t="shared" si="249"/>
        <v>2.8571428571428572</v>
      </c>
      <c r="AS150" s="5">
        <f t="shared" si="246"/>
        <v>0.42599821613620487</v>
      </c>
      <c r="AT150" s="5">
        <f t="shared" si="247"/>
        <v>2.4311446410066524</v>
      </c>
      <c r="AU150" s="177">
        <f t="shared" si="248"/>
        <v>0.1490993756476717</v>
      </c>
      <c r="AW150" s="5">
        <f t="shared" si="216"/>
        <v>3.4079857290896394</v>
      </c>
      <c r="AX150" s="5"/>
      <c r="AY150" s="5">
        <f t="shared" si="217"/>
        <v>0.68159714581792785</v>
      </c>
      <c r="AZ150" s="5"/>
      <c r="BA150" s="5">
        <f t="shared" si="218"/>
        <v>0.19574433502469016</v>
      </c>
      <c r="BB150" s="5"/>
      <c r="BC150" s="5"/>
      <c r="BD150" s="177">
        <f t="shared" si="219"/>
        <v>0.31204329960941724</v>
      </c>
      <c r="BE150" s="177">
        <f t="shared" si="220"/>
        <v>1.4908926234422963</v>
      </c>
      <c r="BF150" s="177">
        <f t="shared" si="221"/>
        <v>0.29817852468845929</v>
      </c>
      <c r="BG150" s="177"/>
      <c r="BH150" s="538">
        <f t="shared" si="222"/>
        <v>1.0710812291424577E-2</v>
      </c>
      <c r="BI150" s="538">
        <f t="shared" si="223"/>
        <v>8.2400834947226109E-2</v>
      </c>
      <c r="BJ150" s="538">
        <f t="shared" si="224"/>
        <v>1.7499999999999998E-2</v>
      </c>
      <c r="BK150" s="538">
        <f t="shared" si="225"/>
        <v>8.9117405999999996E-2</v>
      </c>
      <c r="BL150">
        <f t="shared" si="226"/>
        <v>6.6699999999999997E-3</v>
      </c>
      <c r="BM150">
        <f t="shared" si="268"/>
        <v>6.3E-5</v>
      </c>
      <c r="BN150">
        <f t="shared" si="269"/>
        <v>0.20831968276995388</v>
      </c>
      <c r="BO150" s="469">
        <f t="shared" si="229"/>
        <v>206.39905323865071</v>
      </c>
      <c r="BP150" s="177">
        <f t="shared" si="230"/>
        <v>0.16000000000000003</v>
      </c>
      <c r="BQ150" s="177">
        <f t="shared" si="231"/>
        <v>3.2000000000000008E-2</v>
      </c>
      <c r="BR150" s="538"/>
      <c r="BT150" s="469">
        <f t="shared" si="232"/>
        <v>192.00000000000003</v>
      </c>
      <c r="BU150" s="538">
        <f t="shared" si="233"/>
        <v>9.7371020831132533E-3</v>
      </c>
      <c r="BV150" s="538">
        <f t="shared" si="234"/>
        <v>6.6682824439039584E-2</v>
      </c>
      <c r="BW150" s="538">
        <f t="shared" si="235"/>
        <v>4.4455216292693068E-3</v>
      </c>
      <c r="BX150" s="538">
        <f t="shared" si="236"/>
        <v>0</v>
      </c>
      <c r="BY150" s="538">
        <f t="shared" si="180"/>
        <v>9.1159031202491927E-2</v>
      </c>
      <c r="BZ150" s="538">
        <f t="shared" si="250"/>
        <v>8.0865448151422145E-2</v>
      </c>
      <c r="CA150" s="641">
        <f t="shared" si="270"/>
        <v>3.4285714285714274E-2</v>
      </c>
      <c r="CB150" s="469">
        <f t="shared" si="238"/>
        <v>287.17564179105051</v>
      </c>
      <c r="CC150" s="177">
        <f t="shared" si="251"/>
        <v>0.52576442825816017</v>
      </c>
      <c r="CD150" s="5">
        <f t="shared" si="239"/>
        <v>2.4</v>
      </c>
      <c r="CE150" s="177">
        <f t="shared" si="240"/>
        <v>0.82029844126200835</v>
      </c>
      <c r="CF150" s="5">
        <f t="shared" si="241"/>
        <v>82.029844126200828</v>
      </c>
      <c r="CG150">
        <f t="shared" si="242"/>
        <v>40</v>
      </c>
      <c r="CI150" s="571">
        <f t="shared" si="271"/>
        <v>-50</v>
      </c>
      <c r="CJ150">
        <f t="shared" si="272"/>
        <v>-50</v>
      </c>
    </row>
    <row r="151" spans="5:88" x14ac:dyDescent="0.2">
      <c r="E151" s="174">
        <v>41</v>
      </c>
      <c r="F151" s="221">
        <f t="shared" si="273"/>
        <v>0.41</v>
      </c>
      <c r="G151" s="221">
        <f t="shared" si="252"/>
        <v>8.2000000000000003E-2</v>
      </c>
      <c r="H151" s="221">
        <f t="shared" si="253"/>
        <v>2.0499999999999998</v>
      </c>
      <c r="I151" s="221">
        <f t="shared" si="254"/>
        <v>0.41000000000000003</v>
      </c>
      <c r="J151" s="551">
        <f t="shared" si="186"/>
        <v>23</v>
      </c>
      <c r="K151" s="451">
        <f t="shared" si="187"/>
        <v>10.64</v>
      </c>
      <c r="L151" s="451">
        <f t="shared" si="188"/>
        <v>33.64</v>
      </c>
      <c r="M151" s="451"/>
      <c r="N151" s="221">
        <f t="shared" si="189"/>
        <v>0.31629013079667062</v>
      </c>
      <c r="O151" s="176">
        <f t="shared" si="255"/>
        <v>11.184809750297264</v>
      </c>
      <c r="P151" s="176">
        <f t="shared" si="256"/>
        <v>2.6843543400713439</v>
      </c>
      <c r="Q151" s="221">
        <f t="shared" si="192"/>
        <v>2.2369619500594529</v>
      </c>
      <c r="R151" s="221">
        <f t="shared" si="257"/>
        <v>2.2369619500594529</v>
      </c>
      <c r="S151" s="221">
        <f t="shared" si="258"/>
        <v>5</v>
      </c>
      <c r="T151" s="221">
        <f t="shared" si="259"/>
        <v>0.75146562057317212</v>
      </c>
      <c r="U151" s="221">
        <f t="shared" si="196"/>
        <v>0.22870692800053066</v>
      </c>
      <c r="V151" s="221">
        <f t="shared" si="197"/>
        <v>0.49438527669287635</v>
      </c>
      <c r="W151" s="201">
        <f t="shared" si="198"/>
        <v>350</v>
      </c>
      <c r="X151" s="451">
        <f t="shared" si="199"/>
        <v>350</v>
      </c>
      <c r="Z151" s="221">
        <f t="shared" si="200"/>
        <v>2.9692542891116021</v>
      </c>
      <c r="AA151" s="177">
        <f t="shared" si="201"/>
        <v>1.9534567691523697</v>
      </c>
      <c r="AB151" s="177">
        <f t="shared" si="260"/>
        <v>1.6917570513665985</v>
      </c>
      <c r="AC151" s="177"/>
      <c r="AD151" s="177">
        <f t="shared" si="203"/>
        <v>0.53947368421052622</v>
      </c>
      <c r="AE151" s="555">
        <f t="shared" si="261"/>
        <v>926.82926829268308</v>
      </c>
      <c r="AF151" s="538">
        <f t="shared" si="262"/>
        <v>0.15482894736842101</v>
      </c>
      <c r="AH151" s="177">
        <f t="shared" si="263"/>
        <v>1.4170967734442563</v>
      </c>
      <c r="AI151" s="177">
        <f t="shared" si="264"/>
        <v>1.4170967734442563</v>
      </c>
      <c r="AJ151" s="177">
        <f t="shared" si="265"/>
        <v>1.6422939062550048</v>
      </c>
      <c r="AL151" s="555">
        <f t="shared" si="266"/>
        <v>410</v>
      </c>
      <c r="AM151" s="469">
        <f t="shared" si="267"/>
        <v>350</v>
      </c>
      <c r="AO151" s="469">
        <f t="shared" si="211"/>
        <v>410</v>
      </c>
      <c r="AP151" s="469">
        <f t="shared" si="212"/>
        <v>350</v>
      </c>
      <c r="AR151" s="5">
        <f t="shared" si="249"/>
        <v>2.8571428571428572</v>
      </c>
      <c r="AS151" s="5">
        <f t="shared" si="246"/>
        <v>0.43129032235259973</v>
      </c>
      <c r="AT151" s="5">
        <f t="shared" si="247"/>
        <v>2.4258525347902573</v>
      </c>
      <c r="AU151" s="177">
        <f t="shared" si="248"/>
        <v>0.15095161282340991</v>
      </c>
      <c r="AW151" s="5">
        <f t="shared" si="216"/>
        <v>3.5365806432913178</v>
      </c>
      <c r="AX151" s="5"/>
      <c r="AY151" s="5">
        <f t="shared" si="217"/>
        <v>0.70731612865826354</v>
      </c>
      <c r="AZ151" s="5"/>
      <c r="BA151" s="5">
        <f t="shared" si="218"/>
        <v>0.20020119550402685</v>
      </c>
      <c r="BB151" s="5"/>
      <c r="BC151" s="5"/>
      <c r="BD151" s="177">
        <f t="shared" si="219"/>
        <v>0.3178760155105993</v>
      </c>
      <c r="BE151" s="177">
        <f t="shared" si="220"/>
        <v>1.5077700008491293</v>
      </c>
      <c r="BF151" s="177">
        <f t="shared" si="221"/>
        <v>0.30155400016982586</v>
      </c>
      <c r="BG151" s="177"/>
      <c r="BH151" s="538">
        <f t="shared" si="222"/>
        <v>1.1114967736058424E-2</v>
      </c>
      <c r="BI151" s="538">
        <f t="shared" si="223"/>
        <v>8.3424487052663365E-2</v>
      </c>
      <c r="BJ151" s="538">
        <f t="shared" si="224"/>
        <v>1.7499999999999998E-2</v>
      </c>
      <c r="BK151" s="538">
        <f t="shared" si="225"/>
        <v>8.9117405999999996E-2</v>
      </c>
      <c r="BL151">
        <f t="shared" si="226"/>
        <v>6.6699999999999997E-3</v>
      </c>
      <c r="BM151">
        <f t="shared" si="268"/>
        <v>6.3E-5</v>
      </c>
      <c r="BN151">
        <f t="shared" si="269"/>
        <v>0.20982066308975056</v>
      </c>
      <c r="BO151" s="469">
        <f t="shared" si="229"/>
        <v>207.8268607887218</v>
      </c>
      <c r="BP151" s="177">
        <f t="shared" si="230"/>
        <v>0.16400000000000001</v>
      </c>
      <c r="BQ151" s="177">
        <f t="shared" si="231"/>
        <v>3.2800000000000003E-2</v>
      </c>
      <c r="BR151" s="538"/>
      <c r="BT151" s="469">
        <f t="shared" si="232"/>
        <v>196.8</v>
      </c>
      <c r="BU151" s="538">
        <f t="shared" si="233"/>
        <v>1.0104516123689476E-2</v>
      </c>
      <c r="BV151" s="538">
        <f t="shared" si="234"/>
        <v>6.8201111263817504E-2</v>
      </c>
      <c r="BW151" s="538">
        <f t="shared" si="235"/>
        <v>4.5467407509211669E-3</v>
      </c>
      <c r="BX151" s="538">
        <f t="shared" si="236"/>
        <v>0</v>
      </c>
      <c r="BY151" s="538">
        <f t="shared" si="180"/>
        <v>9.3413816790072074E-2</v>
      </c>
      <c r="BZ151" s="538">
        <f t="shared" si="250"/>
        <v>8.2852368138428154E-2</v>
      </c>
      <c r="CA151" s="641">
        <f t="shared" si="270"/>
        <v>3.5142857142857142E-2</v>
      </c>
      <c r="CB151" s="469">
        <f t="shared" si="238"/>
        <v>294.26141020978554</v>
      </c>
      <c r="CC151" s="177">
        <f t="shared" si="251"/>
        <v>0.53517733702267978</v>
      </c>
      <c r="CD151" s="5">
        <f t="shared" si="239"/>
        <v>2.46</v>
      </c>
      <c r="CE151" s="177">
        <f t="shared" si="240"/>
        <v>0.82132031702848463</v>
      </c>
      <c r="CF151" s="5">
        <f t="shared" si="241"/>
        <v>82.132031702848465</v>
      </c>
      <c r="CG151">
        <f t="shared" si="242"/>
        <v>41</v>
      </c>
      <c r="CI151" s="571">
        <f t="shared" si="271"/>
        <v>-50</v>
      </c>
      <c r="CJ151">
        <f t="shared" si="272"/>
        <v>-50</v>
      </c>
    </row>
    <row r="152" spans="5:88" x14ac:dyDescent="0.2">
      <c r="E152" s="174">
        <v>42</v>
      </c>
      <c r="F152" s="221">
        <f t="shared" si="273"/>
        <v>0.42</v>
      </c>
      <c r="G152" s="221">
        <f t="shared" si="252"/>
        <v>8.4000000000000005E-2</v>
      </c>
      <c r="H152" s="221">
        <f t="shared" si="253"/>
        <v>2.1</v>
      </c>
      <c r="I152" s="221">
        <f t="shared" si="254"/>
        <v>0.42000000000000004</v>
      </c>
      <c r="J152" s="551">
        <f t="shared" si="186"/>
        <v>23</v>
      </c>
      <c r="K152" s="451">
        <f t="shared" si="187"/>
        <v>10.64</v>
      </c>
      <c r="L152" s="451">
        <f t="shared" si="188"/>
        <v>33.64</v>
      </c>
      <c r="M152" s="451"/>
      <c r="N152" s="221">
        <f t="shared" si="189"/>
        <v>0.31629013079667062</v>
      </c>
      <c r="O152" s="176">
        <f t="shared" si="255"/>
        <v>11.184809750297264</v>
      </c>
      <c r="P152" s="176">
        <f t="shared" si="256"/>
        <v>2.6843543400713439</v>
      </c>
      <c r="Q152" s="221">
        <f t="shared" si="192"/>
        <v>2.2369619500594529</v>
      </c>
      <c r="R152" s="221">
        <f t="shared" si="257"/>
        <v>2.2369619500594529</v>
      </c>
      <c r="S152" s="221">
        <f t="shared" si="258"/>
        <v>5</v>
      </c>
      <c r="T152" s="221">
        <f t="shared" si="259"/>
        <v>0.76979405034324944</v>
      </c>
      <c r="U152" s="221">
        <f t="shared" si="196"/>
        <v>0.23428514575664111</v>
      </c>
      <c r="V152" s="221">
        <f t="shared" si="197"/>
        <v>0.50644345417319037</v>
      </c>
      <c r="W152" s="201">
        <f t="shared" si="198"/>
        <v>350</v>
      </c>
      <c r="X152" s="451">
        <f t="shared" si="199"/>
        <v>350</v>
      </c>
      <c r="Z152" s="221">
        <f t="shared" si="200"/>
        <v>2.9692542891116021</v>
      </c>
      <c r="AA152" s="177">
        <f t="shared" si="201"/>
        <v>1.9534567691523697</v>
      </c>
      <c r="AB152" s="177">
        <f t="shared" si="260"/>
        <v>1.6917570513665985</v>
      </c>
      <c r="AC152" s="177"/>
      <c r="AD152" s="177">
        <f t="shared" si="203"/>
        <v>0.53947368421052622</v>
      </c>
      <c r="AE152" s="555">
        <f t="shared" si="261"/>
        <v>949.43486020226067</v>
      </c>
      <c r="AF152" s="538">
        <f t="shared" si="262"/>
        <v>0.15482894736842101</v>
      </c>
      <c r="AH152" s="177">
        <f t="shared" si="263"/>
        <v>1.4342743312012722</v>
      </c>
      <c r="AI152" s="177">
        <f t="shared" si="264"/>
        <v>1.4342743312012722</v>
      </c>
      <c r="AJ152" s="177">
        <f t="shared" si="265"/>
        <v>1.6550180231120535</v>
      </c>
      <c r="AL152" s="555">
        <f t="shared" si="266"/>
        <v>420</v>
      </c>
      <c r="AM152" s="469">
        <f t="shared" si="267"/>
        <v>350</v>
      </c>
      <c r="AO152" s="469">
        <f t="shared" si="211"/>
        <v>420</v>
      </c>
      <c r="AP152" s="469">
        <f t="shared" si="212"/>
        <v>350</v>
      </c>
      <c r="AR152" s="5">
        <f t="shared" si="249"/>
        <v>2.8571428571428572</v>
      </c>
      <c r="AS152" s="5">
        <f t="shared" si="246"/>
        <v>0.43651827471343069</v>
      </c>
      <c r="AT152" s="5">
        <f t="shared" si="247"/>
        <v>2.4206245824294266</v>
      </c>
      <c r="AU152" s="177">
        <f t="shared" si="248"/>
        <v>0.15278139614970074</v>
      </c>
      <c r="AW152" s="5">
        <f t="shared" si="216"/>
        <v>3.6667535075928175</v>
      </c>
      <c r="AX152" s="5"/>
      <c r="AY152" s="5">
        <f t="shared" si="217"/>
        <v>0.73335070151856363</v>
      </c>
      <c r="AZ152" s="5"/>
      <c r="BA152" s="5">
        <f t="shared" si="218"/>
        <v>0.20464217484306743</v>
      </c>
      <c r="BB152" s="5"/>
      <c r="BC152" s="5"/>
      <c r="BD152" s="177">
        <f t="shared" si="219"/>
        <v>0.32367327033788768</v>
      </c>
      <c r="BE152" s="177">
        <f t="shared" si="220"/>
        <v>1.5244013904258449</v>
      </c>
      <c r="BF152" s="177">
        <f t="shared" si="221"/>
        <v>0.30488027808516899</v>
      </c>
      <c r="BG152" s="177"/>
      <c r="BH152" s="538">
        <f t="shared" si="222"/>
        <v>1.1524082452434565E-2</v>
      </c>
      <c r="BI152" s="538">
        <f t="shared" si="223"/>
        <v>8.4435729877818874E-2</v>
      </c>
      <c r="BJ152" s="538">
        <f t="shared" si="224"/>
        <v>1.7499999999999998E-2</v>
      </c>
      <c r="BK152" s="538">
        <f t="shared" si="225"/>
        <v>8.9117405999999996E-2</v>
      </c>
      <c r="BL152">
        <f t="shared" si="226"/>
        <v>6.6699999999999997E-3</v>
      </c>
      <c r="BM152">
        <f t="shared" si="268"/>
        <v>6.3E-5</v>
      </c>
      <c r="BN152">
        <f t="shared" si="269"/>
        <v>0.21131526654675598</v>
      </c>
      <c r="BO152" s="469">
        <f t="shared" si="229"/>
        <v>209.24721833025345</v>
      </c>
      <c r="BP152" s="177">
        <f t="shared" si="230"/>
        <v>0.16800000000000001</v>
      </c>
      <c r="BQ152" s="177">
        <f t="shared" si="231"/>
        <v>3.3600000000000005E-2</v>
      </c>
      <c r="BR152" s="538"/>
      <c r="BT152" s="469">
        <f t="shared" si="232"/>
        <v>201.6</v>
      </c>
      <c r="BU152" s="538">
        <f t="shared" si="233"/>
        <v>1.0476438593122334E-2</v>
      </c>
      <c r="BV152" s="538">
        <f t="shared" si="234"/>
        <v>6.9713987973967481E-2</v>
      </c>
      <c r="BW152" s="538">
        <f t="shared" si="235"/>
        <v>4.6475991982644991E-3</v>
      </c>
      <c r="BX152" s="538">
        <f t="shared" si="236"/>
        <v>0</v>
      </c>
      <c r="BY152" s="538">
        <f t="shared" si="180"/>
        <v>9.5667890856347887E-2</v>
      </c>
      <c r="BZ152" s="538">
        <f t="shared" si="250"/>
        <v>8.4838025765354319E-2</v>
      </c>
      <c r="CA152" s="641">
        <f t="shared" si="270"/>
        <v>3.6000000000000004E-2</v>
      </c>
      <c r="CB152" s="469">
        <f t="shared" si="238"/>
        <v>301.34394238705653</v>
      </c>
      <c r="CC152" s="177">
        <f t="shared" si="251"/>
        <v>0.54458315740310392</v>
      </c>
      <c r="CD152" s="5">
        <f t="shared" si="239"/>
        <v>2.52</v>
      </c>
      <c r="CE152" s="177">
        <f t="shared" si="240"/>
        <v>0.82229780383424877</v>
      </c>
      <c r="CF152" s="5">
        <f t="shared" si="241"/>
        <v>82.229780383424881</v>
      </c>
      <c r="CG152">
        <f t="shared" si="242"/>
        <v>42</v>
      </c>
      <c r="CI152" s="571">
        <f t="shared" si="271"/>
        <v>-50</v>
      </c>
      <c r="CJ152">
        <f t="shared" si="272"/>
        <v>-50</v>
      </c>
    </row>
    <row r="153" spans="5:88" x14ac:dyDescent="0.2">
      <c r="E153" s="174">
        <v>43</v>
      </c>
      <c r="F153" s="221">
        <f t="shared" si="273"/>
        <v>0.43</v>
      </c>
      <c r="G153" s="221">
        <f t="shared" si="252"/>
        <v>8.6000000000000007E-2</v>
      </c>
      <c r="H153" s="221">
        <f t="shared" si="253"/>
        <v>2.15</v>
      </c>
      <c r="I153" s="221">
        <f t="shared" si="254"/>
        <v>0.43000000000000005</v>
      </c>
      <c r="J153" s="551">
        <f t="shared" si="186"/>
        <v>23</v>
      </c>
      <c r="K153" s="451">
        <f t="shared" si="187"/>
        <v>10.64</v>
      </c>
      <c r="L153" s="451">
        <f t="shared" si="188"/>
        <v>33.64</v>
      </c>
      <c r="M153" s="451"/>
      <c r="N153" s="221">
        <f t="shared" si="189"/>
        <v>0.31629013079667062</v>
      </c>
      <c r="O153" s="176">
        <f t="shared" si="255"/>
        <v>11.184809750297264</v>
      </c>
      <c r="P153" s="176">
        <f t="shared" si="256"/>
        <v>2.6843543400713439</v>
      </c>
      <c r="Q153" s="221">
        <f t="shared" si="192"/>
        <v>2.2369619500594529</v>
      </c>
      <c r="R153" s="221">
        <f t="shared" si="257"/>
        <v>2.2369619500594529</v>
      </c>
      <c r="S153" s="221">
        <f t="shared" si="258"/>
        <v>5</v>
      </c>
      <c r="T153" s="221">
        <f t="shared" si="259"/>
        <v>0.78812248011332686</v>
      </c>
      <c r="U153" s="221">
        <f t="shared" si="196"/>
        <v>0.23986336351275167</v>
      </c>
      <c r="V153" s="221">
        <f t="shared" si="197"/>
        <v>0.51850163165350438</v>
      </c>
      <c r="W153" s="201">
        <f t="shared" si="198"/>
        <v>350</v>
      </c>
      <c r="X153" s="451">
        <f t="shared" si="199"/>
        <v>350</v>
      </c>
      <c r="Z153" s="221">
        <f t="shared" si="200"/>
        <v>2.9692542891116021</v>
      </c>
      <c r="AA153" s="177">
        <f t="shared" si="201"/>
        <v>1.9534567691523697</v>
      </c>
      <c r="AB153" s="177">
        <f t="shared" si="260"/>
        <v>1.6917570513665985</v>
      </c>
      <c r="AC153" s="177"/>
      <c r="AD153" s="177">
        <f t="shared" si="203"/>
        <v>0.53947368421052622</v>
      </c>
      <c r="AE153" s="555">
        <f t="shared" si="261"/>
        <v>972.04045211183836</v>
      </c>
      <c r="AF153" s="538">
        <f t="shared" si="262"/>
        <v>0.15482894736842101</v>
      </c>
      <c r="AH153" s="177">
        <f t="shared" si="263"/>
        <v>1.451248582765748</v>
      </c>
      <c r="AI153" s="177">
        <f t="shared" si="264"/>
        <v>1.451248582765748</v>
      </c>
      <c r="AJ153" s="177">
        <f t="shared" si="265"/>
        <v>1.667591542789443</v>
      </c>
      <c r="AL153" s="555">
        <f t="shared" si="266"/>
        <v>430</v>
      </c>
      <c r="AM153" s="469">
        <f t="shared" si="267"/>
        <v>350</v>
      </c>
      <c r="AO153" s="469">
        <f t="shared" si="211"/>
        <v>430</v>
      </c>
      <c r="AP153" s="469">
        <f t="shared" si="212"/>
        <v>350</v>
      </c>
      <c r="AR153" s="5">
        <f t="shared" si="249"/>
        <v>2.8571428571428572</v>
      </c>
      <c r="AS153" s="5">
        <f t="shared" si="246"/>
        <v>0.44168435127653199</v>
      </c>
      <c r="AT153" s="5">
        <f t="shared" si="247"/>
        <v>2.4154585058663254</v>
      </c>
      <c r="AU153" s="177">
        <f t="shared" si="248"/>
        <v>0.15458952294678618</v>
      </c>
      <c r="AW153" s="5">
        <f t="shared" si="216"/>
        <v>3.7984854209781749</v>
      </c>
      <c r="AX153" s="5"/>
      <c r="AY153" s="5">
        <f t="shared" si="217"/>
        <v>0.75969708419563509</v>
      </c>
      <c r="AZ153" s="5"/>
      <c r="BA153" s="5">
        <f t="shared" si="218"/>
        <v>0.20906746326942829</v>
      </c>
      <c r="BB153" s="5"/>
      <c r="BC153" s="5"/>
      <c r="BD153" s="177">
        <f t="shared" si="219"/>
        <v>0.32943611654627475</v>
      </c>
      <c r="BE153" s="177">
        <f t="shared" si="220"/>
        <v>1.5407954587698394</v>
      </c>
      <c r="BF153" s="177">
        <f t="shared" si="221"/>
        <v>0.30815909175396788</v>
      </c>
      <c r="BG153" s="177"/>
      <c r="BH153" s="538">
        <f t="shared" si="222"/>
        <v>1.193809703735998E-2</v>
      </c>
      <c r="BI153" s="538">
        <f t="shared" si="223"/>
        <v>8.5435004067419579E-2</v>
      </c>
      <c r="BJ153" s="538">
        <f t="shared" si="224"/>
        <v>1.7499999999999998E-2</v>
      </c>
      <c r="BK153" s="538">
        <f t="shared" si="225"/>
        <v>8.9117405999999996E-2</v>
      </c>
      <c r="BL153">
        <f t="shared" si="226"/>
        <v>6.6699999999999997E-3</v>
      </c>
      <c r="BM153">
        <f t="shared" si="268"/>
        <v>6.3E-5</v>
      </c>
      <c r="BN153">
        <f t="shared" si="269"/>
        <v>0.21280386751396985</v>
      </c>
      <c r="BO153" s="469">
        <f t="shared" si="229"/>
        <v>210.66050710477958</v>
      </c>
      <c r="BP153" s="177">
        <f t="shared" si="230"/>
        <v>0.17200000000000001</v>
      </c>
      <c r="BQ153" s="177">
        <f t="shared" si="231"/>
        <v>3.4400000000000007E-2</v>
      </c>
      <c r="BR153" s="538"/>
      <c r="BT153" s="469">
        <f t="shared" si="232"/>
        <v>206.40000000000003</v>
      </c>
      <c r="BU153" s="538">
        <f t="shared" si="233"/>
        <v>1.0852815488509074E-2</v>
      </c>
      <c r="BV153" s="538">
        <f t="shared" si="234"/>
        <v>7.1221519372972802E-2</v>
      </c>
      <c r="BW153" s="538">
        <f t="shared" si="235"/>
        <v>4.7481012915315205E-3</v>
      </c>
      <c r="BX153" s="538">
        <f t="shared" si="236"/>
        <v>0</v>
      </c>
      <c r="BY153" s="538">
        <f t="shared" si="180"/>
        <v>9.7921269545223996E-2</v>
      </c>
      <c r="BZ153" s="538">
        <f t="shared" si="250"/>
        <v>8.6822436153013396E-2</v>
      </c>
      <c r="CA153" s="641">
        <f t="shared" si="270"/>
        <v>3.6857142857142866E-2</v>
      </c>
      <c r="CB153" s="469">
        <f t="shared" si="238"/>
        <v>308.42328470839362</v>
      </c>
      <c r="CC153" s="177">
        <f t="shared" si="251"/>
        <v>0.55398227991633675</v>
      </c>
      <c r="CD153" s="5">
        <f t="shared" si="239"/>
        <v>2.58</v>
      </c>
      <c r="CE153" s="177">
        <f t="shared" si="240"/>
        <v>0.82323375487269013</v>
      </c>
      <c r="CF153" s="5">
        <f t="shared" si="241"/>
        <v>82.323375487269018</v>
      </c>
      <c r="CG153">
        <f t="shared" si="242"/>
        <v>43</v>
      </c>
      <c r="CI153" s="571">
        <f t="shared" si="271"/>
        <v>-50</v>
      </c>
      <c r="CJ153">
        <f t="shared" si="272"/>
        <v>-50</v>
      </c>
    </row>
    <row r="154" spans="5:88" x14ac:dyDescent="0.2">
      <c r="E154" s="174">
        <v>44</v>
      </c>
      <c r="F154" s="221">
        <f t="shared" si="273"/>
        <v>0.44</v>
      </c>
      <c r="G154" s="221">
        <f t="shared" si="252"/>
        <v>8.8000000000000009E-2</v>
      </c>
      <c r="H154" s="221">
        <f t="shared" si="253"/>
        <v>2.2000000000000002</v>
      </c>
      <c r="I154" s="221">
        <f t="shared" si="254"/>
        <v>0.44000000000000006</v>
      </c>
      <c r="J154" s="551">
        <f t="shared" si="186"/>
        <v>23</v>
      </c>
      <c r="K154" s="451">
        <f t="shared" si="187"/>
        <v>10.64</v>
      </c>
      <c r="L154" s="451">
        <f t="shared" si="188"/>
        <v>33.64</v>
      </c>
      <c r="M154" s="451"/>
      <c r="N154" s="221">
        <f t="shared" si="189"/>
        <v>0.31629013079667062</v>
      </c>
      <c r="O154" s="176">
        <f t="shared" si="255"/>
        <v>11.184809750297264</v>
      </c>
      <c r="P154" s="176">
        <f t="shared" si="256"/>
        <v>2.6843543400713439</v>
      </c>
      <c r="Q154" s="221">
        <f t="shared" si="192"/>
        <v>2.2369619500594529</v>
      </c>
      <c r="R154" s="221">
        <f t="shared" si="257"/>
        <v>2.2369619500594529</v>
      </c>
      <c r="S154" s="221">
        <f t="shared" si="258"/>
        <v>5</v>
      </c>
      <c r="T154" s="221">
        <f t="shared" si="259"/>
        <v>0.80645090988340429</v>
      </c>
      <c r="U154" s="221">
        <f t="shared" si="196"/>
        <v>0.24544158126886215</v>
      </c>
      <c r="V154" s="221">
        <f t="shared" si="197"/>
        <v>0.53055980913381851</v>
      </c>
      <c r="W154" s="201">
        <f t="shared" si="198"/>
        <v>350</v>
      </c>
      <c r="X154" s="451">
        <f t="shared" si="199"/>
        <v>350</v>
      </c>
      <c r="Z154" s="221">
        <f t="shared" si="200"/>
        <v>2.9692542891116021</v>
      </c>
      <c r="AA154" s="177">
        <f t="shared" si="201"/>
        <v>1.9534567691523697</v>
      </c>
      <c r="AB154" s="177">
        <f t="shared" si="260"/>
        <v>1.6917570513665985</v>
      </c>
      <c r="AC154" s="177"/>
      <c r="AD154" s="177">
        <f t="shared" si="203"/>
        <v>0.53947368421052622</v>
      </c>
      <c r="AE154" s="555">
        <f t="shared" si="261"/>
        <v>994.64604402141595</v>
      </c>
      <c r="AF154" s="538">
        <f t="shared" si="262"/>
        <v>0.15482894736842101</v>
      </c>
      <c r="AH154" s="177">
        <f t="shared" si="263"/>
        <v>1.4680265804188719</v>
      </c>
      <c r="AI154" s="177">
        <f t="shared" si="264"/>
        <v>1.4680265804188719</v>
      </c>
      <c r="AJ154" s="177">
        <f t="shared" si="265"/>
        <v>1.6800196891991643</v>
      </c>
      <c r="AL154" s="555">
        <f t="shared" si="266"/>
        <v>440</v>
      </c>
      <c r="AM154" s="469">
        <f t="shared" si="267"/>
        <v>350</v>
      </c>
      <c r="AO154" s="469">
        <f t="shared" si="211"/>
        <v>440</v>
      </c>
      <c r="AP154" s="469">
        <f t="shared" si="212"/>
        <v>350</v>
      </c>
      <c r="AR154" s="5">
        <f t="shared" si="249"/>
        <v>2.8571428571428572</v>
      </c>
      <c r="AS154" s="5">
        <f t="shared" si="246"/>
        <v>0.44679069838835228</v>
      </c>
      <c r="AT154" s="5">
        <f t="shared" si="247"/>
        <v>2.4103521587545051</v>
      </c>
      <c r="AU154" s="177">
        <f t="shared" si="248"/>
        <v>0.15637674443592328</v>
      </c>
      <c r="AW154" s="5">
        <f t="shared" si="216"/>
        <v>3.9317581458175002</v>
      </c>
      <c r="AX154" s="5"/>
      <c r="AY154" s="5">
        <f t="shared" si="217"/>
        <v>0.7863516291635001</v>
      </c>
      <c r="AZ154" s="5"/>
      <c r="BA154" s="5">
        <f t="shared" si="218"/>
        <v>0.2134772443341349</v>
      </c>
      <c r="BB154" s="5"/>
      <c r="BC154" s="5"/>
      <c r="BD154" s="177">
        <f t="shared" si="219"/>
        <v>0.3351655516656763</v>
      </c>
      <c r="BE154" s="177">
        <f t="shared" si="220"/>
        <v>1.5569603718982936</v>
      </c>
      <c r="BF154" s="177">
        <f t="shared" si="221"/>
        <v>0.31139207437965877</v>
      </c>
      <c r="BG154" s="177"/>
      <c r="BH154" s="538">
        <f t="shared" si="222"/>
        <v>1.2356954172569283E-2</v>
      </c>
      <c r="BI154" s="538">
        <f t="shared" si="223"/>
        <v>8.6422724789258984E-2</v>
      </c>
      <c r="BJ154" s="538">
        <f t="shared" si="224"/>
        <v>1.7499999999999998E-2</v>
      </c>
      <c r="BK154" s="538">
        <f t="shared" si="225"/>
        <v>8.9117405999999996E-2</v>
      </c>
      <c r="BL154">
        <f t="shared" si="226"/>
        <v>6.6699999999999997E-3</v>
      </c>
      <c r="BM154">
        <f t="shared" si="268"/>
        <v>6.3E-5</v>
      </c>
      <c r="BN154">
        <f t="shared" si="269"/>
        <v>0.21428681729944821</v>
      </c>
      <c r="BO154" s="469">
        <f t="shared" si="229"/>
        <v>212.06708496182827</v>
      </c>
      <c r="BP154" s="177">
        <f t="shared" si="230"/>
        <v>0.17600000000000002</v>
      </c>
      <c r="BQ154" s="177">
        <f t="shared" si="231"/>
        <v>3.5200000000000002E-2</v>
      </c>
      <c r="BR154" s="538"/>
      <c r="BT154" s="469">
        <f t="shared" si="232"/>
        <v>211.20000000000002</v>
      </c>
      <c r="BU154" s="538">
        <f t="shared" si="233"/>
        <v>1.1233594702335713E-2</v>
      </c>
      <c r="BV154" s="538">
        <f t="shared" si="234"/>
        <v>7.2723767989850183E-2</v>
      </c>
      <c r="BW154" s="538">
        <f t="shared" si="235"/>
        <v>4.8482511993233474E-3</v>
      </c>
      <c r="BX154" s="538">
        <f t="shared" si="236"/>
        <v>0</v>
      </c>
      <c r="BY154" s="538">
        <f t="shared" si="180"/>
        <v>0.10017396841940507</v>
      </c>
      <c r="BZ154" s="538">
        <f t="shared" si="250"/>
        <v>8.8805613891509247E-2</v>
      </c>
      <c r="CA154" s="641">
        <f t="shared" si="270"/>
        <v>3.7714285714285721E-2</v>
      </c>
      <c r="CB154" s="469">
        <f t="shared" si="238"/>
        <v>315.49948191670927</v>
      </c>
      <c r="CC154" s="177">
        <f t="shared" si="251"/>
        <v>0.56337507143313903</v>
      </c>
      <c r="CD154" s="5">
        <f t="shared" si="239"/>
        <v>2.64</v>
      </c>
      <c r="CE154" s="177">
        <f t="shared" si="240"/>
        <v>0.82413078116978222</v>
      </c>
      <c r="CF154" s="5">
        <f t="shared" si="241"/>
        <v>82.413078116978227</v>
      </c>
      <c r="CG154">
        <f t="shared" si="242"/>
        <v>44</v>
      </c>
      <c r="CI154" s="571">
        <f t="shared" si="271"/>
        <v>-50</v>
      </c>
      <c r="CJ154">
        <f t="shared" si="272"/>
        <v>-50</v>
      </c>
    </row>
    <row r="155" spans="5:88" x14ac:dyDescent="0.2">
      <c r="E155" s="174">
        <v>45</v>
      </c>
      <c r="F155" s="221">
        <f t="shared" si="273"/>
        <v>0.45</v>
      </c>
      <c r="G155" s="221">
        <f t="shared" si="252"/>
        <v>9.0000000000000011E-2</v>
      </c>
      <c r="H155" s="221">
        <f t="shared" si="253"/>
        <v>2.25</v>
      </c>
      <c r="I155" s="221">
        <f t="shared" si="254"/>
        <v>0.45000000000000007</v>
      </c>
      <c r="J155" s="551">
        <f t="shared" si="186"/>
        <v>23</v>
      </c>
      <c r="K155" s="451">
        <f t="shared" si="187"/>
        <v>10.64</v>
      </c>
      <c r="L155" s="451">
        <f t="shared" si="188"/>
        <v>33.64</v>
      </c>
      <c r="M155" s="451"/>
      <c r="N155" s="221">
        <f t="shared" si="189"/>
        <v>0.31629013079667062</v>
      </c>
      <c r="O155" s="176">
        <f t="shared" si="255"/>
        <v>11.184809750297264</v>
      </c>
      <c r="P155" s="176">
        <f t="shared" si="256"/>
        <v>2.6843543400713439</v>
      </c>
      <c r="Q155" s="221">
        <f t="shared" si="192"/>
        <v>2.2369619500594529</v>
      </c>
      <c r="R155" s="221">
        <f t="shared" si="257"/>
        <v>2.2369619500594529</v>
      </c>
      <c r="S155" s="221">
        <f t="shared" si="258"/>
        <v>5</v>
      </c>
      <c r="T155" s="221">
        <f t="shared" si="259"/>
        <v>0.8247793396534816</v>
      </c>
      <c r="U155" s="221">
        <f t="shared" si="196"/>
        <v>0.25101979902497268</v>
      </c>
      <c r="V155" s="221">
        <f t="shared" si="197"/>
        <v>0.54261798661413263</v>
      </c>
      <c r="W155" s="201">
        <f t="shared" si="198"/>
        <v>350</v>
      </c>
      <c r="X155" s="451">
        <f t="shared" si="199"/>
        <v>350</v>
      </c>
      <c r="Z155" s="221">
        <f t="shared" si="200"/>
        <v>2.9692542891116021</v>
      </c>
      <c r="AA155" s="177">
        <f t="shared" si="201"/>
        <v>1.9534567691523697</v>
      </c>
      <c r="AB155" s="177">
        <f t="shared" si="260"/>
        <v>1.6917570513665985</v>
      </c>
      <c r="AC155" s="177"/>
      <c r="AD155" s="177">
        <f t="shared" si="203"/>
        <v>0.53947368421052622</v>
      </c>
      <c r="AE155" s="555">
        <f t="shared" si="261"/>
        <v>1017.2516359309936</v>
      </c>
      <c r="AF155" s="538">
        <f t="shared" si="262"/>
        <v>0.15482894736842101</v>
      </c>
      <c r="AH155" s="177">
        <f t="shared" si="263"/>
        <v>1.4846149779161804</v>
      </c>
      <c r="AI155" s="177">
        <f t="shared" si="264"/>
        <v>1.4846149779161804</v>
      </c>
      <c r="AJ155" s="177">
        <f t="shared" si="265"/>
        <v>1.6923073910490225</v>
      </c>
      <c r="AL155" s="555">
        <f t="shared" si="266"/>
        <v>450</v>
      </c>
      <c r="AM155" s="469">
        <f t="shared" si="267"/>
        <v>350</v>
      </c>
      <c r="AO155" s="469">
        <f t="shared" si="211"/>
        <v>450</v>
      </c>
      <c r="AP155" s="469">
        <f t="shared" si="212"/>
        <v>350</v>
      </c>
      <c r="AR155" s="5">
        <f t="shared" si="249"/>
        <v>2.8571428571428572</v>
      </c>
      <c r="AS155" s="5">
        <f t="shared" si="246"/>
        <v>0.45183934110492446</v>
      </c>
      <c r="AT155" s="5">
        <f t="shared" si="247"/>
        <v>2.4053035160379328</v>
      </c>
      <c r="AU155" s="177">
        <f t="shared" si="248"/>
        <v>0.15814376938672356</v>
      </c>
      <c r="AW155" s="5">
        <f t="shared" si="216"/>
        <v>4.0665540699443206</v>
      </c>
      <c r="AX155" s="5"/>
      <c r="AY155" s="5">
        <f t="shared" si="217"/>
        <v>0.81331081398886407</v>
      </c>
      <c r="AZ155" s="5"/>
      <c r="BA155" s="5">
        <f t="shared" si="218"/>
        <v>0.21787169529329095</v>
      </c>
      <c r="BB155" s="5"/>
      <c r="BC155" s="5"/>
      <c r="BD155" s="177">
        <f t="shared" si="219"/>
        <v>0.34086252234774395</v>
      </c>
      <c r="BE155" s="177">
        <f t="shared" si="220"/>
        <v>1.5729038348351168</v>
      </c>
      <c r="BF155" s="177">
        <f t="shared" si="221"/>
        <v>0.31458076696702336</v>
      </c>
      <c r="BG155" s="177"/>
      <c r="BH155" s="538">
        <f t="shared" si="222"/>
        <v>1.2780598505539286E-2</v>
      </c>
      <c r="BI155" s="538">
        <f t="shared" si="223"/>
        <v>8.7399283749925533E-2</v>
      </c>
      <c r="BJ155" s="538">
        <f t="shared" si="224"/>
        <v>1.7499999999999998E-2</v>
      </c>
      <c r="BK155" s="538">
        <f t="shared" si="225"/>
        <v>8.9117405999999996E-2</v>
      </c>
      <c r="BL155">
        <f t="shared" si="226"/>
        <v>6.6699999999999997E-3</v>
      </c>
      <c r="BM155">
        <f t="shared" si="268"/>
        <v>6.3E-5</v>
      </c>
      <c r="BN155">
        <f t="shared" si="269"/>
        <v>0.21576444602426958</v>
      </c>
      <c r="BO155" s="469">
        <f t="shared" si="229"/>
        <v>213.46728825546481</v>
      </c>
      <c r="BP155" s="177">
        <f t="shared" si="230"/>
        <v>0.18000000000000002</v>
      </c>
      <c r="BQ155" s="177">
        <f t="shared" si="231"/>
        <v>3.6000000000000004E-2</v>
      </c>
      <c r="BR155" s="538"/>
      <c r="BT155" s="469">
        <f t="shared" si="232"/>
        <v>216.00000000000003</v>
      </c>
      <c r="BU155" s="538">
        <f t="shared" si="233"/>
        <v>1.1618725914126625E-2</v>
      </c>
      <c r="BV155" s="538">
        <f t="shared" si="234"/>
        <v>7.4220794209170479E-2</v>
      </c>
      <c r="BW155" s="538">
        <f t="shared" si="235"/>
        <v>4.9480529472780335E-3</v>
      </c>
      <c r="BX155" s="538">
        <f t="shared" si="236"/>
        <v>0</v>
      </c>
      <c r="BY155" s="538">
        <f t="shared" si="180"/>
        <v>0.10242600249390352</v>
      </c>
      <c r="BZ155" s="538">
        <f t="shared" si="250"/>
        <v>9.0787573070575125E-2</v>
      </c>
      <c r="CA155" s="641">
        <f t="shared" si="270"/>
        <v>3.8571428571428562E-2</v>
      </c>
      <c r="CB155" s="469">
        <f t="shared" si="238"/>
        <v>322.57257720648238</v>
      </c>
      <c r="CC155" s="177">
        <f t="shared" si="251"/>
        <v>0.5727618770896018</v>
      </c>
      <c r="CD155" s="5">
        <f t="shared" si="239"/>
        <v>2.7</v>
      </c>
      <c r="CE155" s="177">
        <f t="shared" si="240"/>
        <v>0.82499127690923035</v>
      </c>
      <c r="CF155" s="5">
        <f t="shared" si="241"/>
        <v>82.499127690923032</v>
      </c>
      <c r="CG155">
        <f t="shared" si="242"/>
        <v>45</v>
      </c>
      <c r="CI155" s="571">
        <f t="shared" si="271"/>
        <v>-50</v>
      </c>
      <c r="CJ155">
        <f t="shared" si="272"/>
        <v>-50</v>
      </c>
    </row>
    <row r="156" spans="5:88" s="77" customFormat="1" x14ac:dyDescent="0.2">
      <c r="E156" s="193">
        <v>46</v>
      </c>
      <c r="F156" s="333">
        <f t="shared" si="273"/>
        <v>0.46</v>
      </c>
      <c r="G156" s="221">
        <f t="shared" si="252"/>
        <v>9.2000000000000012E-2</v>
      </c>
      <c r="H156" s="333">
        <f t="shared" si="253"/>
        <v>2.3000000000000003</v>
      </c>
      <c r="I156" s="221">
        <f t="shared" si="254"/>
        <v>0.46000000000000008</v>
      </c>
      <c r="J156" s="551">
        <f t="shared" si="186"/>
        <v>23</v>
      </c>
      <c r="K156" s="545">
        <f t="shared" si="187"/>
        <v>10.64</v>
      </c>
      <c r="L156" s="545">
        <f t="shared" si="188"/>
        <v>33.64</v>
      </c>
      <c r="M156" s="545"/>
      <c r="N156" s="333">
        <f t="shared" si="189"/>
        <v>0.31629013079667062</v>
      </c>
      <c r="O156" s="176">
        <f t="shared" si="255"/>
        <v>11.184809750297264</v>
      </c>
      <c r="P156" s="176">
        <f t="shared" si="256"/>
        <v>2.6843543400713439</v>
      </c>
      <c r="Q156" s="333">
        <f t="shared" si="192"/>
        <v>2.2369619500594529</v>
      </c>
      <c r="R156" s="221">
        <f t="shared" si="257"/>
        <v>2.2369619500594529</v>
      </c>
      <c r="S156" s="333">
        <f t="shared" si="258"/>
        <v>5</v>
      </c>
      <c r="T156" s="221">
        <f t="shared" si="259"/>
        <v>0.84310776942355903</v>
      </c>
      <c r="U156" s="333">
        <f t="shared" si="196"/>
        <v>0.25659801678108318</v>
      </c>
      <c r="V156" s="333">
        <f t="shared" si="197"/>
        <v>0.55467616409444676</v>
      </c>
      <c r="W156" s="547">
        <f t="shared" si="198"/>
        <v>350</v>
      </c>
      <c r="X156" s="545">
        <f t="shared" si="199"/>
        <v>350</v>
      </c>
      <c r="Z156" s="333">
        <f t="shared" si="200"/>
        <v>2.9692542891116021</v>
      </c>
      <c r="AA156" s="548">
        <f t="shared" si="201"/>
        <v>1.9534567691523697</v>
      </c>
      <c r="AB156" s="177">
        <f t="shared" si="260"/>
        <v>1.6917570513665985</v>
      </c>
      <c r="AC156" s="548"/>
      <c r="AD156" s="548">
        <f t="shared" si="203"/>
        <v>0.53947368421052622</v>
      </c>
      <c r="AE156" s="555">
        <f t="shared" si="261"/>
        <v>1039.8572278405713</v>
      </c>
      <c r="AF156" s="538">
        <f t="shared" si="262"/>
        <v>0.15482894736842101</v>
      </c>
      <c r="AH156" s="177">
        <f t="shared" si="263"/>
        <v>1.5010200613215654</v>
      </c>
      <c r="AI156" s="548">
        <f t="shared" si="264"/>
        <v>1.5010200613215654</v>
      </c>
      <c r="AJ156" s="548">
        <f t="shared" si="265"/>
        <v>1.7044593046826408</v>
      </c>
      <c r="AL156" s="573">
        <f t="shared" si="266"/>
        <v>460</v>
      </c>
      <c r="AM156" s="574">
        <f t="shared" si="267"/>
        <v>350</v>
      </c>
      <c r="AO156" s="77">
        <f t="shared" si="211"/>
        <v>460</v>
      </c>
      <c r="AP156" s="77">
        <f t="shared" si="212"/>
        <v>350</v>
      </c>
      <c r="AR156" s="544">
        <f t="shared" si="249"/>
        <v>2.8571428571428572</v>
      </c>
      <c r="AS156" s="5">
        <f t="shared" si="246"/>
        <v>0.45683219257612856</v>
      </c>
      <c r="AT156" s="5">
        <f t="shared" si="247"/>
        <v>2.4003106645667285</v>
      </c>
      <c r="AU156" s="177">
        <f t="shared" si="248"/>
        <v>0.159891267401645</v>
      </c>
      <c r="AW156" s="5">
        <f t="shared" si="216"/>
        <v>4.2028561717003834</v>
      </c>
      <c r="AX156" s="5"/>
      <c r="AY156" s="5">
        <f t="shared" si="217"/>
        <v>0.84057123434007652</v>
      </c>
      <c r="AZ156" s="5"/>
      <c r="BA156" s="5">
        <f t="shared" si="218"/>
        <v>0.22225098745988225</v>
      </c>
      <c r="BB156" s="5"/>
      <c r="BC156" s="5"/>
      <c r="BD156" s="177">
        <f t="shared" si="219"/>
        <v>0.34652792803138571</v>
      </c>
      <c r="BE156" s="177">
        <f t="shared" si="220"/>
        <v>1.5886331272607155</v>
      </c>
      <c r="BF156" s="177">
        <f t="shared" si="221"/>
        <v>0.31772662545214314</v>
      </c>
      <c r="BG156" s="177"/>
      <c r="BH156" s="538">
        <f t="shared" si="222"/>
        <v>1.3208976539629776E-2</v>
      </c>
      <c r="BI156" s="538">
        <f t="shared" si="223"/>
        <v>8.8365051010000556E-2</v>
      </c>
      <c r="BJ156" s="538">
        <f t="shared" si="224"/>
        <v>1.7499999999999998E-2</v>
      </c>
      <c r="BK156" s="538">
        <f t="shared" si="225"/>
        <v>8.9117405999999996E-2</v>
      </c>
      <c r="BL156">
        <f t="shared" si="226"/>
        <v>6.6699999999999997E-3</v>
      </c>
      <c r="BM156">
        <f t="shared" si="268"/>
        <v>6.3E-5</v>
      </c>
      <c r="BN156">
        <f t="shared" si="269"/>
        <v>0.21723706431075079</v>
      </c>
      <c r="BO156" s="469">
        <f t="shared" si="229"/>
        <v>214.86143354963033</v>
      </c>
      <c r="BP156" s="177">
        <f t="shared" si="230"/>
        <v>0.18400000000000002</v>
      </c>
      <c r="BQ156" s="177">
        <f t="shared" si="231"/>
        <v>3.6800000000000006E-2</v>
      </c>
      <c r="BR156" s="538"/>
      <c r="BS156"/>
      <c r="BT156" s="469">
        <f t="shared" si="232"/>
        <v>220.8</v>
      </c>
      <c r="BU156" s="538">
        <f t="shared" si="233"/>
        <v>1.2008160490572524E-2</v>
      </c>
      <c r="BV156" s="538">
        <f t="shared" si="234"/>
        <v>7.5712656390904812E-2</v>
      </c>
      <c r="BW156" s="538">
        <f t="shared" si="235"/>
        <v>5.0475104260603232E-3</v>
      </c>
      <c r="BX156" s="538">
        <f t="shared" si="236"/>
        <v>0</v>
      </c>
      <c r="BY156" s="538">
        <f t="shared" si="180"/>
        <v>0.10467738626691472</v>
      </c>
      <c r="BZ156" s="538">
        <f t="shared" si="250"/>
        <v>9.276832730753766E-2</v>
      </c>
      <c r="CA156" s="641">
        <f t="shared" si="270"/>
        <v>3.9428571428571431E-2</v>
      </c>
      <c r="CB156" s="469">
        <f t="shared" si="238"/>
        <v>329.64261231056145</v>
      </c>
      <c r="CC156" s="177">
        <f t="shared" si="251"/>
        <v>0.58214302200623702</v>
      </c>
      <c r="CD156" s="5">
        <f t="shared" si="239"/>
        <v>2.7600000000000002</v>
      </c>
      <c r="CE156" s="177">
        <f t="shared" si="240"/>
        <v>0.82581744163157156</v>
      </c>
      <c r="CF156" s="5">
        <f t="shared" si="241"/>
        <v>82.581744163157154</v>
      </c>
      <c r="CG156">
        <f t="shared" si="242"/>
        <v>46</v>
      </c>
      <c r="CI156" s="571">
        <f t="shared" si="271"/>
        <v>-50</v>
      </c>
      <c r="CJ156">
        <f t="shared" si="272"/>
        <v>-50</v>
      </c>
    </row>
    <row r="157" spans="5:88" x14ac:dyDescent="0.2">
      <c r="E157" s="174">
        <v>47</v>
      </c>
      <c r="F157" s="221">
        <f t="shared" si="273"/>
        <v>0.47</v>
      </c>
      <c r="G157" s="221">
        <f t="shared" si="252"/>
        <v>9.4E-2</v>
      </c>
      <c r="H157" s="221">
        <f t="shared" si="253"/>
        <v>2.3499999999999996</v>
      </c>
      <c r="I157" s="221">
        <f t="shared" si="254"/>
        <v>0.47</v>
      </c>
      <c r="J157" s="551">
        <f t="shared" si="186"/>
        <v>23</v>
      </c>
      <c r="K157" s="451">
        <f t="shared" si="187"/>
        <v>10.64</v>
      </c>
      <c r="L157" s="451">
        <f t="shared" si="188"/>
        <v>33.64</v>
      </c>
      <c r="M157" s="451"/>
      <c r="N157" s="221">
        <f t="shared" si="189"/>
        <v>0.31629013079667062</v>
      </c>
      <c r="O157" s="176">
        <f t="shared" si="255"/>
        <v>11.184809750297264</v>
      </c>
      <c r="P157" s="176">
        <f t="shared" si="256"/>
        <v>2.6843543400713439</v>
      </c>
      <c r="Q157" s="221">
        <f t="shared" si="192"/>
        <v>2.2369619500594529</v>
      </c>
      <c r="R157" s="221">
        <f t="shared" si="257"/>
        <v>2.2369619500594529</v>
      </c>
      <c r="S157" s="221">
        <f t="shared" si="258"/>
        <v>5</v>
      </c>
      <c r="T157" s="221">
        <f t="shared" si="259"/>
        <v>0.86143619919363612</v>
      </c>
      <c r="U157" s="221">
        <f t="shared" si="196"/>
        <v>0.26217623453719358</v>
      </c>
      <c r="V157" s="221">
        <f t="shared" si="197"/>
        <v>0.56673434157476055</v>
      </c>
      <c r="W157" s="201">
        <f t="shared" si="198"/>
        <v>350</v>
      </c>
      <c r="X157" s="451">
        <f t="shared" si="199"/>
        <v>350</v>
      </c>
      <c r="Z157" s="221">
        <f t="shared" si="200"/>
        <v>2.9692542891116021</v>
      </c>
      <c r="AA157" s="177">
        <f t="shared" si="201"/>
        <v>1.9534567691523697</v>
      </c>
      <c r="AB157" s="177">
        <f t="shared" si="260"/>
        <v>1.6917570513665985</v>
      </c>
      <c r="AC157" s="177"/>
      <c r="AD157" s="177">
        <f t="shared" si="203"/>
        <v>0.53947368421052622</v>
      </c>
      <c r="AE157" s="555">
        <f t="shared" si="261"/>
        <v>1062.4628197501488</v>
      </c>
      <c r="AF157" s="538">
        <f t="shared" si="262"/>
        <v>0.15482894736842101</v>
      </c>
      <c r="AH157" s="177">
        <f t="shared" si="263"/>
        <v>1.5172477768402002</v>
      </c>
      <c r="AI157" s="177">
        <f t="shared" si="264"/>
        <v>1.5172477768402002</v>
      </c>
      <c r="AJ157" s="177">
        <f t="shared" si="265"/>
        <v>1.7164798346964445</v>
      </c>
      <c r="AL157" s="555">
        <f t="shared" si="266"/>
        <v>470</v>
      </c>
      <c r="AM157" s="469">
        <f t="shared" si="267"/>
        <v>350</v>
      </c>
      <c r="AO157">
        <f t="shared" si="211"/>
        <v>470</v>
      </c>
      <c r="AP157">
        <f t="shared" si="212"/>
        <v>350</v>
      </c>
      <c r="AR157" s="5">
        <f t="shared" si="249"/>
        <v>2.8571428571428572</v>
      </c>
      <c r="AS157" s="5">
        <f t="shared" si="246"/>
        <v>0.46177106251658268</v>
      </c>
      <c r="AT157" s="5">
        <f t="shared" si="247"/>
        <v>2.3953717946262745</v>
      </c>
      <c r="AU157" s="177">
        <f t="shared" si="248"/>
        <v>0.16161987188080393</v>
      </c>
      <c r="AW157" s="5">
        <f t="shared" si="216"/>
        <v>4.3406479876558768</v>
      </c>
      <c r="AX157" s="5"/>
      <c r="AY157" s="5">
        <f t="shared" si="217"/>
        <v>0.86812959753117547</v>
      </c>
      <c r="AZ157" s="5"/>
      <c r="BA157" s="5">
        <f t="shared" si="218"/>
        <v>0.22661528652865309</v>
      </c>
      <c r="BB157" s="5"/>
      <c r="BC157" s="5"/>
      <c r="BD157" s="177">
        <f t="shared" si="219"/>
        <v>0.35216262427041434</v>
      </c>
      <c r="BE157" s="177">
        <f t="shared" si="220"/>
        <v>1.6041551356929105</v>
      </c>
      <c r="BF157" s="177">
        <f t="shared" si="221"/>
        <v>0.32083102713858214</v>
      </c>
      <c r="BG157" s="177"/>
      <c r="BH157" s="538">
        <f t="shared" si="222"/>
        <v>1.3642036532632752E-2</v>
      </c>
      <c r="BI157" s="538">
        <f t="shared" si="223"/>
        <v>8.932037662258259E-2</v>
      </c>
      <c r="BJ157" s="538">
        <f t="shared" si="224"/>
        <v>1.7499999999999998E-2</v>
      </c>
      <c r="BK157" s="538">
        <f t="shared" si="225"/>
        <v>8.9117405999999996E-2</v>
      </c>
      <c r="BL157">
        <f t="shared" si="226"/>
        <v>6.6699999999999997E-3</v>
      </c>
      <c r="BM157">
        <f t="shared" si="268"/>
        <v>6.3E-5</v>
      </c>
      <c r="BN157">
        <f t="shared" si="269"/>
        <v>0.21870496480370921</v>
      </c>
      <c r="BO157" s="469">
        <f t="shared" si="229"/>
        <v>216.24981915521536</v>
      </c>
      <c r="BP157" s="177">
        <f t="shared" si="230"/>
        <v>0.188</v>
      </c>
      <c r="BQ157" s="177">
        <f t="shared" si="231"/>
        <v>3.7600000000000001E-2</v>
      </c>
      <c r="BR157" s="538"/>
      <c r="BT157" s="469">
        <f t="shared" si="232"/>
        <v>225.6</v>
      </c>
      <c r="BU157" s="538">
        <f t="shared" si="233"/>
        <v>1.2401851393302502E-2</v>
      </c>
      <c r="BV157" s="538">
        <f t="shared" si="234"/>
        <v>7.7199410981098199E-2</v>
      </c>
      <c r="BW157" s="538">
        <f t="shared" si="235"/>
        <v>5.1466273987398822E-3</v>
      </c>
      <c r="BX157" s="538">
        <f t="shared" si="236"/>
        <v>0</v>
      </c>
      <c r="BY157" s="538">
        <f t="shared" si="180"/>
        <v>0.10692813374832014</v>
      </c>
      <c r="BZ157" s="538">
        <f t="shared" si="250"/>
        <v>9.4747889773140581E-2</v>
      </c>
      <c r="CA157" s="641">
        <f t="shared" si="270"/>
        <v>4.0285714285714272E-2</v>
      </c>
      <c r="CB157" s="469">
        <f t="shared" si="238"/>
        <v>336.70962758031555</v>
      </c>
      <c r="CC157" s="177">
        <f t="shared" si="251"/>
        <v>0.59151881283774366</v>
      </c>
      <c r="CD157" s="5">
        <f t="shared" si="239"/>
        <v>2.8199999999999994</v>
      </c>
      <c r="CE157" s="177">
        <f t="shared" si="240"/>
        <v>0.82661129974959424</v>
      </c>
      <c r="CF157" s="5">
        <f t="shared" si="241"/>
        <v>82.661129974959422</v>
      </c>
      <c r="CG157">
        <f t="shared" si="242"/>
        <v>47</v>
      </c>
      <c r="CI157" s="571">
        <f t="shared" si="271"/>
        <v>-50</v>
      </c>
      <c r="CJ157">
        <f t="shared" si="272"/>
        <v>-50</v>
      </c>
    </row>
    <row r="158" spans="5:88" x14ac:dyDescent="0.2">
      <c r="E158" s="174">
        <v>48</v>
      </c>
      <c r="F158" s="221">
        <f t="shared" si="273"/>
        <v>0.48</v>
      </c>
      <c r="G158" s="221">
        <f t="shared" si="252"/>
        <v>9.6000000000000002E-2</v>
      </c>
      <c r="H158" s="221">
        <f t="shared" si="253"/>
        <v>2.4</v>
      </c>
      <c r="I158" s="221">
        <f t="shared" si="254"/>
        <v>0.48</v>
      </c>
      <c r="J158" s="551">
        <f t="shared" si="186"/>
        <v>23</v>
      </c>
      <c r="K158" s="451">
        <f t="shared" si="187"/>
        <v>10.64</v>
      </c>
      <c r="L158" s="451">
        <f t="shared" si="188"/>
        <v>33.64</v>
      </c>
      <c r="M158" s="451"/>
      <c r="N158" s="221">
        <f t="shared" si="189"/>
        <v>0.31629013079667062</v>
      </c>
      <c r="O158" s="176">
        <f t="shared" si="255"/>
        <v>11.184809750297264</v>
      </c>
      <c r="P158" s="176">
        <f t="shared" si="256"/>
        <v>2.6843543400713439</v>
      </c>
      <c r="Q158" s="221">
        <f t="shared" si="192"/>
        <v>2.2369619500594529</v>
      </c>
      <c r="R158" s="221">
        <f t="shared" si="257"/>
        <v>2.2369619500594529</v>
      </c>
      <c r="S158" s="221">
        <f t="shared" si="258"/>
        <v>5</v>
      </c>
      <c r="T158" s="221">
        <f t="shared" si="259"/>
        <v>0.87976462896371366</v>
      </c>
      <c r="U158" s="221">
        <f t="shared" si="196"/>
        <v>0.26775445229330419</v>
      </c>
      <c r="V158" s="221">
        <f t="shared" si="197"/>
        <v>0.57879251905507478</v>
      </c>
      <c r="W158" s="201">
        <f t="shared" si="198"/>
        <v>350</v>
      </c>
      <c r="X158" s="451">
        <f t="shared" si="199"/>
        <v>350</v>
      </c>
      <c r="Z158" s="221">
        <f t="shared" si="200"/>
        <v>2.9692542891116021</v>
      </c>
      <c r="AA158" s="177">
        <f t="shared" si="201"/>
        <v>1.9534567691523697</v>
      </c>
      <c r="AB158" s="177">
        <f t="shared" si="260"/>
        <v>1.6917570513665985</v>
      </c>
      <c r="AC158" s="177"/>
      <c r="AD158" s="177">
        <f t="shared" si="203"/>
        <v>0.53947368421052622</v>
      </c>
      <c r="AE158" s="555">
        <f t="shared" si="261"/>
        <v>1085.0684116597265</v>
      </c>
      <c r="AF158" s="538">
        <f t="shared" si="262"/>
        <v>0.15482894736842101</v>
      </c>
      <c r="AH158" s="177">
        <f t="shared" si="263"/>
        <v>1.5333037559998557</v>
      </c>
      <c r="AI158" s="177">
        <f t="shared" si="264"/>
        <v>1.5333037559998557</v>
      </c>
      <c r="AJ158" s="177">
        <f t="shared" si="265"/>
        <v>1.7283731525924857</v>
      </c>
      <c r="AL158" s="555">
        <f t="shared" si="266"/>
        <v>480</v>
      </c>
      <c r="AM158" s="469">
        <f t="shared" si="267"/>
        <v>350</v>
      </c>
      <c r="AO158">
        <f t="shared" si="211"/>
        <v>480</v>
      </c>
      <c r="AP158">
        <f t="shared" si="212"/>
        <v>350</v>
      </c>
      <c r="AR158" s="5">
        <f t="shared" si="249"/>
        <v>2.8571428571428572</v>
      </c>
      <c r="AS158" s="5">
        <f t="shared" si="246"/>
        <v>0.46665766486952126</v>
      </c>
      <c r="AT158" s="5">
        <f t="shared" si="247"/>
        <v>2.3904851922733359</v>
      </c>
      <c r="AU158" s="177">
        <f t="shared" si="248"/>
        <v>0.16333018270433244</v>
      </c>
      <c r="AW158" s="5">
        <f t="shared" si="216"/>
        <v>4.4799135827474048</v>
      </c>
      <c r="AX158" s="5"/>
      <c r="AY158" s="5">
        <f t="shared" si="217"/>
        <v>0.89598271654948092</v>
      </c>
      <c r="AZ158" s="5"/>
      <c r="BA158" s="5">
        <f t="shared" si="218"/>
        <v>0.23096475287665075</v>
      </c>
      <c r="BB158" s="5"/>
      <c r="BC158" s="5"/>
      <c r="BD158" s="177">
        <f t="shared" si="219"/>
        <v>0.35776742576098247</v>
      </c>
      <c r="BE158" s="177">
        <f t="shared" si="220"/>
        <v>1.6194763826028644</v>
      </c>
      <c r="BF158" s="177">
        <f t="shared" si="221"/>
        <v>0.32389527652057293</v>
      </c>
      <c r="BG158" s="177"/>
      <c r="BH158" s="538">
        <f t="shared" si="222"/>
        <v>1.407972840292041E-2</v>
      </c>
      <c r="BI158" s="538">
        <f t="shared" si="223"/>
        <v>9.0265592115711502E-2</v>
      </c>
      <c r="BJ158" s="538">
        <f t="shared" si="224"/>
        <v>1.7499999999999998E-2</v>
      </c>
      <c r="BK158" s="538">
        <f t="shared" si="225"/>
        <v>8.9117405999999996E-2</v>
      </c>
      <c r="BL158">
        <f t="shared" si="226"/>
        <v>6.6699999999999997E-3</v>
      </c>
      <c r="BM158">
        <f t="shared" si="268"/>
        <v>6.3E-5</v>
      </c>
      <c r="BN158">
        <f t="shared" si="269"/>
        <v>0.2201684235444078</v>
      </c>
      <c r="BO158" s="469">
        <f t="shared" si="229"/>
        <v>217.63272651863193</v>
      </c>
      <c r="BP158" s="177">
        <f t="shared" si="230"/>
        <v>0.192</v>
      </c>
      <c r="BQ158" s="177">
        <f t="shared" si="231"/>
        <v>3.8400000000000004E-2</v>
      </c>
      <c r="BR158" s="538"/>
      <c r="BT158" s="469">
        <f t="shared" si="232"/>
        <v>230.4</v>
      </c>
      <c r="BU158" s="538">
        <f t="shared" si="233"/>
        <v>1.2799753093564009E-2</v>
      </c>
      <c r="BV158" s="538">
        <f t="shared" si="234"/>
        <v>7.868111261425377E-2</v>
      </c>
      <c r="BW158" s="538">
        <f t="shared" si="235"/>
        <v>5.2454075076169204E-3</v>
      </c>
      <c r="BX158" s="538">
        <f t="shared" si="236"/>
        <v>0</v>
      </c>
      <c r="BY158" s="538">
        <f t="shared" si="180"/>
        <v>0.10917825848604741</v>
      </c>
      <c r="BZ158" s="538">
        <f t="shared" si="250"/>
        <v>9.6726273215434699E-2</v>
      </c>
      <c r="CA158" s="641">
        <f t="shared" si="270"/>
        <v>4.1142857142857141E-2</v>
      </c>
      <c r="CB158" s="469">
        <f t="shared" si="238"/>
        <v>343.77366205977393</v>
      </c>
      <c r="CC158" s="177">
        <f t="shared" si="251"/>
        <v>0.60088953917331234</v>
      </c>
      <c r="CD158" s="5">
        <f t="shared" si="239"/>
        <v>2.88</v>
      </c>
      <c r="CE158" s="177">
        <f t="shared" si="240"/>
        <v>0.82737471775216986</v>
      </c>
      <c r="CF158" s="5">
        <f t="shared" si="241"/>
        <v>82.737471775216989</v>
      </c>
      <c r="CG158">
        <f t="shared" si="242"/>
        <v>48</v>
      </c>
      <c r="CI158" s="571">
        <f t="shared" si="271"/>
        <v>-50</v>
      </c>
      <c r="CJ158">
        <f t="shared" si="272"/>
        <v>-50</v>
      </c>
    </row>
    <row r="159" spans="5:88" x14ac:dyDescent="0.2">
      <c r="E159" s="174">
        <v>49</v>
      </c>
      <c r="F159" s="221">
        <f t="shared" si="273"/>
        <v>0.49</v>
      </c>
      <c r="G159" s="221">
        <f t="shared" si="252"/>
        <v>9.8000000000000004E-2</v>
      </c>
      <c r="H159" s="221">
        <f t="shared" si="253"/>
        <v>2.4500000000000002</v>
      </c>
      <c r="I159" s="221">
        <f t="shared" si="254"/>
        <v>0.49</v>
      </c>
      <c r="J159" s="551">
        <f t="shared" si="186"/>
        <v>23</v>
      </c>
      <c r="K159" s="451">
        <f t="shared" si="187"/>
        <v>10.64</v>
      </c>
      <c r="L159" s="451">
        <f t="shared" si="188"/>
        <v>33.64</v>
      </c>
      <c r="M159" s="451"/>
      <c r="N159" s="221">
        <f t="shared" si="189"/>
        <v>0.31629013079667062</v>
      </c>
      <c r="O159" s="176">
        <f t="shared" si="255"/>
        <v>11.184809750297264</v>
      </c>
      <c r="P159" s="176">
        <f t="shared" si="256"/>
        <v>2.6843543400713439</v>
      </c>
      <c r="Q159" s="221">
        <f t="shared" si="192"/>
        <v>2.2369619500594529</v>
      </c>
      <c r="R159" s="221">
        <f t="shared" si="257"/>
        <v>2.2369619500594529</v>
      </c>
      <c r="S159" s="221">
        <f t="shared" si="258"/>
        <v>5</v>
      </c>
      <c r="T159" s="221">
        <f t="shared" si="259"/>
        <v>0.89809305873379119</v>
      </c>
      <c r="U159" s="221">
        <f t="shared" si="196"/>
        <v>0.27333267004941469</v>
      </c>
      <c r="V159" s="221">
        <f t="shared" si="197"/>
        <v>0.59085069653538891</v>
      </c>
      <c r="W159" s="201">
        <f t="shared" si="198"/>
        <v>350</v>
      </c>
      <c r="X159" s="451">
        <f t="shared" si="199"/>
        <v>350</v>
      </c>
      <c r="Z159" s="221">
        <f t="shared" si="200"/>
        <v>2.9692542891116021</v>
      </c>
      <c r="AA159" s="177">
        <f t="shared" si="201"/>
        <v>1.9534567691523697</v>
      </c>
      <c r="AB159" s="177">
        <f t="shared" si="260"/>
        <v>1.6917570513665985</v>
      </c>
      <c r="AC159" s="177"/>
      <c r="AD159" s="177">
        <f t="shared" si="203"/>
        <v>0.53947368421052622</v>
      </c>
      <c r="AE159" s="555">
        <f t="shared" si="261"/>
        <v>1107.6740035693042</v>
      </c>
      <c r="AF159" s="538">
        <f t="shared" si="262"/>
        <v>0.15482894736842101</v>
      </c>
      <c r="AH159" s="177">
        <f t="shared" si="263"/>
        <v>1.5491933384829668</v>
      </c>
      <c r="AI159" s="177">
        <f t="shared" si="264"/>
        <v>1.5491933384829668</v>
      </c>
      <c r="AJ159" s="177">
        <f t="shared" si="265"/>
        <v>1.7401432136910864</v>
      </c>
      <c r="AL159" s="555">
        <f t="shared" si="266"/>
        <v>490</v>
      </c>
      <c r="AM159" s="469">
        <f t="shared" si="267"/>
        <v>350</v>
      </c>
      <c r="AO159">
        <f t="shared" si="211"/>
        <v>490</v>
      </c>
      <c r="AP159">
        <f t="shared" si="212"/>
        <v>350</v>
      </c>
      <c r="AR159" s="5">
        <f t="shared" si="249"/>
        <v>2.8571428571428572</v>
      </c>
      <c r="AS159" s="5">
        <f t="shared" si="246"/>
        <v>0.47149362475568551</v>
      </c>
      <c r="AT159" s="5">
        <f t="shared" si="247"/>
        <v>2.3856492323871716</v>
      </c>
      <c r="AU159" s="177">
        <f t="shared" si="248"/>
        <v>0.16502276866448992</v>
      </c>
      <c r="AW159" s="5">
        <f t="shared" si="216"/>
        <v>4.6206375226057181</v>
      </c>
      <c r="AX159" s="5"/>
      <c r="AY159" s="5">
        <f t="shared" si="217"/>
        <v>0.92412750452114356</v>
      </c>
      <c r="AZ159" s="5"/>
      <c r="BA159" s="5">
        <f t="shared" si="218"/>
        <v>0.23529954184172985</v>
      </c>
      <c r="BB159" s="5"/>
      <c r="BC159" s="5"/>
      <c r="BD159" s="177">
        <f t="shared" si="219"/>
        <v>0.36334310910156525</v>
      </c>
      <c r="BE159" s="177">
        <f t="shared" si="220"/>
        <v>1.6346030528154634</v>
      </c>
      <c r="BF159" s="177">
        <f t="shared" si="221"/>
        <v>0.32692061056309268</v>
      </c>
      <c r="BG159" s="177"/>
      <c r="BH159" s="538">
        <f t="shared" si="222"/>
        <v>1.4522003642475113E-2</v>
      </c>
      <c r="BI159" s="538">
        <f t="shared" si="223"/>
        <v>9.1201011836492249E-2</v>
      </c>
      <c r="BJ159" s="538">
        <f t="shared" si="224"/>
        <v>1.7499999999999998E-2</v>
      </c>
      <c r="BK159" s="538">
        <f t="shared" si="225"/>
        <v>8.9117405999999996E-2</v>
      </c>
      <c r="BL159">
        <f t="shared" si="226"/>
        <v>6.6699999999999997E-3</v>
      </c>
      <c r="BM159">
        <f t="shared" si="268"/>
        <v>6.3E-5</v>
      </c>
      <c r="BN159">
        <f t="shared" si="269"/>
        <v>0.22162770121415584</v>
      </c>
      <c r="BO159" s="469">
        <f t="shared" si="229"/>
        <v>219.01042147896737</v>
      </c>
      <c r="BP159" s="177">
        <f t="shared" si="230"/>
        <v>0.19600000000000001</v>
      </c>
      <c r="BQ159" s="177">
        <f t="shared" si="231"/>
        <v>3.9200000000000006E-2</v>
      </c>
      <c r="BR159" s="538"/>
      <c r="BT159" s="469">
        <f t="shared" si="232"/>
        <v>235.20000000000002</v>
      </c>
      <c r="BU159" s="538">
        <f t="shared" si="233"/>
        <v>1.3201821493159195E-2</v>
      </c>
      <c r="BV159" s="538">
        <f t="shared" si="234"/>
        <v>8.0157814208208972E-2</v>
      </c>
      <c r="BW159" s="538">
        <f t="shared" si="235"/>
        <v>5.3438542805472654E-3</v>
      </c>
      <c r="BX159" s="538">
        <f t="shared" si="236"/>
        <v>0</v>
      </c>
      <c r="BY159" s="538">
        <f t="shared" si="180"/>
        <v>0.11142777359048897</v>
      </c>
      <c r="BZ159" s="538">
        <f t="shared" si="250"/>
        <v>9.8703489981915429E-2</v>
      </c>
      <c r="CA159" s="641">
        <f t="shared" si="270"/>
        <v>4.2000000000000003E-2</v>
      </c>
      <c r="CB159" s="469">
        <f t="shared" si="238"/>
        <v>350.83475355431983</v>
      </c>
      <c r="CC159" s="177">
        <f t="shared" si="251"/>
        <v>0.61025547480464482</v>
      </c>
      <c r="CD159" s="5">
        <f t="shared" si="239"/>
        <v>2.9400000000000004</v>
      </c>
      <c r="CE159" s="177">
        <f t="shared" si="240"/>
        <v>0.82810941941066241</v>
      </c>
      <c r="CF159" s="5">
        <f t="shared" si="241"/>
        <v>82.810941941066247</v>
      </c>
      <c r="CG159">
        <f t="shared" si="242"/>
        <v>49</v>
      </c>
      <c r="CI159" s="571">
        <f t="shared" si="271"/>
        <v>-50</v>
      </c>
      <c r="CJ159">
        <f t="shared" si="272"/>
        <v>-50</v>
      </c>
    </row>
    <row r="160" spans="5:88" x14ac:dyDescent="0.2">
      <c r="E160" s="174">
        <v>50</v>
      </c>
      <c r="F160" s="221">
        <f t="shared" si="273"/>
        <v>0.5</v>
      </c>
      <c r="G160" s="221">
        <f t="shared" si="252"/>
        <v>0.1</v>
      </c>
      <c r="H160" s="221">
        <f t="shared" si="253"/>
        <v>2.5</v>
      </c>
      <c r="I160" s="221">
        <f t="shared" si="254"/>
        <v>0.5</v>
      </c>
      <c r="J160" s="551">
        <f t="shared" si="186"/>
        <v>23</v>
      </c>
      <c r="K160" s="451">
        <f t="shared" si="187"/>
        <v>10.64</v>
      </c>
      <c r="L160" s="451">
        <f t="shared" si="188"/>
        <v>33.64</v>
      </c>
      <c r="M160" s="451"/>
      <c r="N160" s="221">
        <f t="shared" si="189"/>
        <v>0.31629013079667062</v>
      </c>
      <c r="O160" s="176">
        <f t="shared" si="255"/>
        <v>11.184809750297264</v>
      </c>
      <c r="P160" s="176">
        <f t="shared" si="256"/>
        <v>2.6843543400713439</v>
      </c>
      <c r="Q160" s="221">
        <f t="shared" si="192"/>
        <v>2.2369619500594529</v>
      </c>
      <c r="R160" s="221">
        <f t="shared" si="257"/>
        <v>2.2369619500594529</v>
      </c>
      <c r="S160" s="221">
        <f t="shared" si="258"/>
        <v>5</v>
      </c>
      <c r="T160" s="221">
        <f t="shared" si="259"/>
        <v>0.9164214885038684</v>
      </c>
      <c r="U160" s="221">
        <f t="shared" si="196"/>
        <v>0.27891088780552514</v>
      </c>
      <c r="V160" s="221">
        <f t="shared" si="197"/>
        <v>0.60290887401570281</v>
      </c>
      <c r="W160" s="201">
        <f t="shared" si="198"/>
        <v>350</v>
      </c>
      <c r="X160" s="451">
        <f t="shared" si="199"/>
        <v>350</v>
      </c>
      <c r="Z160" s="221">
        <f t="shared" si="200"/>
        <v>2.9692542891116021</v>
      </c>
      <c r="AA160" s="177">
        <f t="shared" si="201"/>
        <v>1.9534567691523697</v>
      </c>
      <c r="AB160" s="177">
        <f t="shared" si="260"/>
        <v>1.6917570513665985</v>
      </c>
      <c r="AC160" s="177"/>
      <c r="AD160" s="177">
        <f t="shared" si="203"/>
        <v>0.53947368421052622</v>
      </c>
      <c r="AE160" s="555">
        <f t="shared" si="261"/>
        <v>1130.2795954788819</v>
      </c>
      <c r="AF160" s="538">
        <f t="shared" si="262"/>
        <v>0.15482894736842101</v>
      </c>
      <c r="AH160" s="177">
        <f t="shared" si="263"/>
        <v>1.5649215928719031</v>
      </c>
      <c r="AI160" s="177">
        <f t="shared" si="264"/>
        <v>1.5649215928719031</v>
      </c>
      <c r="AJ160" s="177">
        <f t="shared" si="265"/>
        <v>1.751793772497706</v>
      </c>
      <c r="AL160" s="555">
        <f t="shared" si="266"/>
        <v>500</v>
      </c>
      <c r="AM160" s="469">
        <f t="shared" si="267"/>
        <v>350</v>
      </c>
      <c r="AO160">
        <f t="shared" si="211"/>
        <v>500</v>
      </c>
      <c r="AP160">
        <f t="shared" si="212"/>
        <v>350</v>
      </c>
      <c r="AR160" s="5">
        <f t="shared" si="249"/>
        <v>2.8571428571428572</v>
      </c>
      <c r="AS160" s="5">
        <f t="shared" si="246"/>
        <v>0.47628048478710089</v>
      </c>
      <c r="AT160" s="5">
        <f t="shared" si="247"/>
        <v>2.3808623723557565</v>
      </c>
      <c r="AU160" s="177">
        <f t="shared" si="248"/>
        <v>0.16669816967548531</v>
      </c>
      <c r="AW160" s="5">
        <f t="shared" si="216"/>
        <v>4.7628048478710081</v>
      </c>
      <c r="AX160" s="5"/>
      <c r="AY160" s="5">
        <f t="shared" si="217"/>
        <v>0.95256096957420178</v>
      </c>
      <c r="AZ160" s="5"/>
      <c r="BA160" s="5">
        <f t="shared" si="218"/>
        <v>0.23961980398105437</v>
      </c>
      <c r="BB160" s="5"/>
      <c r="BC160" s="5"/>
      <c r="BD160" s="177">
        <f t="shared" si="219"/>
        <v>0.36889041531408789</v>
      </c>
      <c r="BE160" s="177">
        <f t="shared" si="220"/>
        <v>1.649541017497467</v>
      </c>
      <c r="BF160" s="177">
        <f t="shared" si="221"/>
        <v>0.3299082034994934</v>
      </c>
      <c r="BG160" s="177"/>
      <c r="BH160" s="538">
        <f t="shared" si="222"/>
        <v>1.4968815236166028E-2</v>
      </c>
      <c r="BI160" s="538">
        <f t="shared" si="223"/>
        <v>9.2126934172368946E-2</v>
      </c>
      <c r="BJ160" s="538">
        <f t="shared" si="224"/>
        <v>1.7499999999999998E-2</v>
      </c>
      <c r="BK160" s="538">
        <f t="shared" si="225"/>
        <v>8.9117405999999996E-2</v>
      </c>
      <c r="BL160">
        <f t="shared" si="226"/>
        <v>6.6699999999999997E-3</v>
      </c>
      <c r="BM160">
        <f t="shared" si="268"/>
        <v>6.3E-5</v>
      </c>
      <c r="BN160">
        <f t="shared" si="269"/>
        <v>0.2230830442622799</v>
      </c>
      <c r="BO160" s="469">
        <f t="shared" si="229"/>
        <v>220.38315540853498</v>
      </c>
      <c r="BP160" s="177">
        <f t="shared" si="230"/>
        <v>0.2</v>
      </c>
      <c r="BQ160" s="177">
        <f t="shared" si="231"/>
        <v>4.0000000000000008E-2</v>
      </c>
      <c r="BR160" s="538"/>
      <c r="BT160" s="469">
        <f t="shared" si="232"/>
        <v>240.00000000000003</v>
      </c>
      <c r="BU160" s="538">
        <f t="shared" si="233"/>
        <v>1.3608013851060025E-2</v>
      </c>
      <c r="BV160" s="538">
        <f t="shared" si="234"/>
        <v>8.1629567052197358E-2</v>
      </c>
      <c r="BW160" s="538">
        <f t="shared" si="235"/>
        <v>5.4419711368131583E-3</v>
      </c>
      <c r="BX160" s="538">
        <f t="shared" si="236"/>
        <v>0</v>
      </c>
      <c r="BY160" s="538">
        <f t="shared" si="180"/>
        <v>0.11367669175715966</v>
      </c>
      <c r="BZ160" s="538">
        <f t="shared" si="250"/>
        <v>0.10067955204007055</v>
      </c>
      <c r="CA160" s="641">
        <f t="shared" si="270"/>
        <v>4.2857142857142864E-2</v>
      </c>
      <c r="CB160" s="469">
        <f t="shared" si="238"/>
        <v>357.89293869444367</v>
      </c>
      <c r="CC160" s="177">
        <f t="shared" si="251"/>
        <v>0.61961687887658246</v>
      </c>
      <c r="CD160" s="5">
        <f t="shared" si="239"/>
        <v>3</v>
      </c>
      <c r="CE160" s="177">
        <f t="shared" si="240"/>
        <v>0.82881699925410546</v>
      </c>
      <c r="CF160" s="5">
        <f t="shared" si="241"/>
        <v>82.881699925410544</v>
      </c>
      <c r="CG160">
        <f t="shared" si="242"/>
        <v>50</v>
      </c>
      <c r="CI160" s="571">
        <f t="shared" si="271"/>
        <v>-50</v>
      </c>
      <c r="CJ160">
        <f t="shared" si="272"/>
        <v>-50</v>
      </c>
    </row>
    <row r="161" spans="5:88" x14ac:dyDescent="0.2">
      <c r="E161" s="174">
        <v>51</v>
      </c>
      <c r="F161" s="221">
        <f t="shared" si="273"/>
        <v>0.51</v>
      </c>
      <c r="G161" s="221">
        <f t="shared" si="252"/>
        <v>0.10200000000000001</v>
      </c>
      <c r="H161" s="221">
        <f t="shared" si="253"/>
        <v>2.5499999999999998</v>
      </c>
      <c r="I161" s="221">
        <f t="shared" si="254"/>
        <v>0.51</v>
      </c>
      <c r="J161" s="551">
        <f t="shared" si="186"/>
        <v>23</v>
      </c>
      <c r="K161" s="451">
        <f t="shared" si="187"/>
        <v>10.64</v>
      </c>
      <c r="L161" s="451">
        <f t="shared" si="188"/>
        <v>33.64</v>
      </c>
      <c r="M161" s="451"/>
      <c r="N161" s="221">
        <f t="shared" si="189"/>
        <v>0.31629013079667062</v>
      </c>
      <c r="O161" s="176">
        <f t="shared" si="255"/>
        <v>11.184809750297264</v>
      </c>
      <c r="P161" s="176">
        <f t="shared" si="256"/>
        <v>2.6843543400713439</v>
      </c>
      <c r="Q161" s="221">
        <f t="shared" si="192"/>
        <v>2.2369619500594529</v>
      </c>
      <c r="R161" s="221">
        <f t="shared" si="257"/>
        <v>2.2369619500594529</v>
      </c>
      <c r="S161" s="221">
        <f t="shared" si="258"/>
        <v>5</v>
      </c>
      <c r="T161" s="221">
        <f t="shared" si="259"/>
        <v>0.93474991827394571</v>
      </c>
      <c r="U161" s="221">
        <f t="shared" si="196"/>
        <v>0.28448910556163565</v>
      </c>
      <c r="V161" s="221">
        <f t="shared" si="197"/>
        <v>0.61496705149601683</v>
      </c>
      <c r="W161" s="201">
        <f t="shared" si="198"/>
        <v>350</v>
      </c>
      <c r="X161" s="451">
        <f t="shared" si="199"/>
        <v>350</v>
      </c>
      <c r="Z161" s="221">
        <f t="shared" si="200"/>
        <v>2.9692542891116021</v>
      </c>
      <c r="AA161" s="177">
        <f t="shared" si="201"/>
        <v>1.9534567691523697</v>
      </c>
      <c r="AB161" s="177">
        <f t="shared" si="260"/>
        <v>1.6917570513665985</v>
      </c>
      <c r="AC161" s="177"/>
      <c r="AD161" s="177">
        <f t="shared" si="203"/>
        <v>0.53947368421052622</v>
      </c>
      <c r="AE161" s="555">
        <f t="shared" si="261"/>
        <v>1152.8851873884594</v>
      </c>
      <c r="AF161" s="538">
        <f t="shared" si="262"/>
        <v>0.15482894736842101</v>
      </c>
      <c r="AH161" s="177">
        <f t="shared" si="263"/>
        <v>1.5804933355359234</v>
      </c>
      <c r="AI161" s="177">
        <f t="shared" si="264"/>
        <v>1.5804933355359234</v>
      </c>
      <c r="AJ161" s="177">
        <f t="shared" si="265"/>
        <v>1.7633283966932765</v>
      </c>
      <c r="AL161" s="555">
        <f t="shared" si="266"/>
        <v>510</v>
      </c>
      <c r="AM161" s="469">
        <f t="shared" si="267"/>
        <v>350</v>
      </c>
      <c r="AO161">
        <f t="shared" si="211"/>
        <v>510</v>
      </c>
      <c r="AP161">
        <f t="shared" si="212"/>
        <v>350</v>
      </c>
      <c r="AR161" s="5">
        <f t="shared" si="249"/>
        <v>2.8571428571428572</v>
      </c>
      <c r="AS161" s="5">
        <f t="shared" si="246"/>
        <v>0.481019710815281</v>
      </c>
      <c r="AT161" s="5">
        <f t="shared" si="247"/>
        <v>2.376123146327576</v>
      </c>
      <c r="AU161" s="177">
        <f t="shared" si="248"/>
        <v>0.16835689878534835</v>
      </c>
      <c r="AW161" s="5">
        <f t="shared" si="216"/>
        <v>4.9064010503158668</v>
      </c>
      <c r="AX161" s="5"/>
      <c r="AY161" s="5">
        <f t="shared" si="217"/>
        <v>0.98128021006317345</v>
      </c>
      <c r="AZ161" s="5"/>
      <c r="BA161" s="5">
        <f t="shared" si="218"/>
        <v>0.24392568531140571</v>
      </c>
      <c r="BB161" s="5"/>
      <c r="BC161" s="5"/>
      <c r="BD161" s="177">
        <f t="shared" si="219"/>
        <v>0.37441005215122347</v>
      </c>
      <c r="BE161" s="177">
        <f t="shared" si="220"/>
        <v>1.6642958559974941</v>
      </c>
      <c r="BF161" s="177">
        <f t="shared" si="221"/>
        <v>0.33285917119949882</v>
      </c>
      <c r="BG161" s="177"/>
      <c r="BH161" s="538">
        <f t="shared" si="222"/>
        <v>1.5420117586707006E-2</v>
      </c>
      <c r="BI161" s="538">
        <f t="shared" si="223"/>
        <v>9.3043642662999818E-2</v>
      </c>
      <c r="BJ161" s="538">
        <f t="shared" si="224"/>
        <v>1.7499999999999998E-2</v>
      </c>
      <c r="BK161" s="538">
        <f t="shared" si="225"/>
        <v>8.9117405999999996E-2</v>
      </c>
      <c r="BL161">
        <f t="shared" si="226"/>
        <v>6.6699999999999997E-3</v>
      </c>
      <c r="BM161">
        <f t="shared" si="268"/>
        <v>6.3E-5</v>
      </c>
      <c r="BN161">
        <f t="shared" si="269"/>
        <v>0.22453468593126319</v>
      </c>
      <c r="BO161" s="469">
        <f t="shared" si="229"/>
        <v>221.75116624970681</v>
      </c>
      <c r="BP161" s="177">
        <f t="shared" si="230"/>
        <v>0.20400000000000001</v>
      </c>
      <c r="BQ161" s="177">
        <f t="shared" si="231"/>
        <v>4.0800000000000003E-2</v>
      </c>
      <c r="BR161" s="538"/>
      <c r="BT161" s="469">
        <f t="shared" si="232"/>
        <v>244.8</v>
      </c>
      <c r="BU161" s="538">
        <f t="shared" si="233"/>
        <v>1.4018288715188188E-2</v>
      </c>
      <c r="BV161" s="538">
        <f t="shared" si="234"/>
        <v>8.3096420888712941E-2</v>
      </c>
      <c r="BW161" s="538">
        <f t="shared" si="235"/>
        <v>5.5397613925808635E-3</v>
      </c>
      <c r="BX161" s="538">
        <f t="shared" si="236"/>
        <v>0</v>
      </c>
      <c r="BY161" s="538">
        <f t="shared" si="180"/>
        <v>0.11592502528775328</v>
      </c>
      <c r="BZ161" s="538">
        <f t="shared" si="250"/>
        <v>0.10265447099648199</v>
      </c>
      <c r="CA161" s="641">
        <f t="shared" si="270"/>
        <v>4.3714285714285712E-2</v>
      </c>
      <c r="CB161" s="469">
        <f t="shared" si="238"/>
        <v>364.94825299500297</v>
      </c>
      <c r="CC161" s="177">
        <f t="shared" si="251"/>
        <v>0.62897399693330225</v>
      </c>
      <c r="CD161" s="5">
        <f t="shared" si="239"/>
        <v>3.0599999999999996</v>
      </c>
      <c r="CE161" s="177">
        <f t="shared" si="240"/>
        <v>0.82949893453947421</v>
      </c>
      <c r="CF161" s="5">
        <f t="shared" si="241"/>
        <v>82.949893453947425</v>
      </c>
      <c r="CG161">
        <f t="shared" si="242"/>
        <v>51</v>
      </c>
      <c r="CI161" s="571">
        <f t="shared" si="271"/>
        <v>-50</v>
      </c>
      <c r="CJ161">
        <f t="shared" si="272"/>
        <v>-50</v>
      </c>
    </row>
    <row r="162" spans="5:88" x14ac:dyDescent="0.2">
      <c r="E162" s="174">
        <v>52</v>
      </c>
      <c r="F162" s="221">
        <f t="shared" si="273"/>
        <v>0.52</v>
      </c>
      <c r="G162" s="221">
        <f t="shared" si="252"/>
        <v>0.10400000000000001</v>
      </c>
      <c r="H162" s="221">
        <f t="shared" si="253"/>
        <v>2.6</v>
      </c>
      <c r="I162" s="221">
        <f t="shared" si="254"/>
        <v>0.52</v>
      </c>
      <c r="J162" s="551">
        <f t="shared" si="186"/>
        <v>23</v>
      </c>
      <c r="K162" s="451">
        <f t="shared" si="187"/>
        <v>10.64</v>
      </c>
      <c r="L162" s="451">
        <f t="shared" si="188"/>
        <v>33.64</v>
      </c>
      <c r="M162" s="451"/>
      <c r="N162" s="221">
        <f t="shared" si="189"/>
        <v>0.31629013079667062</v>
      </c>
      <c r="O162" s="176">
        <f t="shared" si="255"/>
        <v>11.184809750297264</v>
      </c>
      <c r="P162" s="176">
        <f t="shared" si="256"/>
        <v>2.6843543400713439</v>
      </c>
      <c r="Q162" s="221">
        <f t="shared" si="192"/>
        <v>2.2369619500594529</v>
      </c>
      <c r="R162" s="221">
        <f t="shared" si="257"/>
        <v>2.2369619500594529</v>
      </c>
      <c r="S162" s="221">
        <f t="shared" si="258"/>
        <v>5</v>
      </c>
      <c r="T162" s="221">
        <f t="shared" si="259"/>
        <v>0.95307834804402314</v>
      </c>
      <c r="U162" s="221">
        <f t="shared" si="196"/>
        <v>0.29006732331774621</v>
      </c>
      <c r="V162" s="221">
        <f t="shared" si="197"/>
        <v>0.62702522897633095</v>
      </c>
      <c r="W162" s="201">
        <f t="shared" si="198"/>
        <v>350</v>
      </c>
      <c r="X162" s="451">
        <f t="shared" si="199"/>
        <v>350</v>
      </c>
      <c r="Z162" s="221">
        <f t="shared" si="200"/>
        <v>2.9692542891116021</v>
      </c>
      <c r="AA162" s="177">
        <f t="shared" si="201"/>
        <v>1.9534567691523697</v>
      </c>
      <c r="AB162" s="177">
        <f t="shared" si="260"/>
        <v>1.6917570513665985</v>
      </c>
      <c r="AC162" s="177"/>
      <c r="AD162" s="177">
        <f t="shared" si="203"/>
        <v>0.53947368421052622</v>
      </c>
      <c r="AE162" s="555">
        <f t="shared" si="261"/>
        <v>1175.4907792980371</v>
      </c>
      <c r="AF162" s="538">
        <f t="shared" si="262"/>
        <v>0.15482894736842101</v>
      </c>
      <c r="AH162" s="177">
        <f t="shared" si="263"/>
        <v>1.5959131478593076</v>
      </c>
      <c r="AI162" s="177">
        <f t="shared" si="264"/>
        <v>1.5959131478593076</v>
      </c>
      <c r="AJ162" s="177">
        <f t="shared" si="265"/>
        <v>1.7747504798957834</v>
      </c>
      <c r="AL162" s="555">
        <f t="shared" si="266"/>
        <v>520</v>
      </c>
      <c r="AM162" s="469">
        <f t="shared" si="267"/>
        <v>350</v>
      </c>
      <c r="AO162">
        <f t="shared" si="211"/>
        <v>520</v>
      </c>
      <c r="AP162">
        <f t="shared" si="212"/>
        <v>350</v>
      </c>
      <c r="AR162" s="5">
        <f t="shared" si="249"/>
        <v>2.8571428571428572</v>
      </c>
      <c r="AS162" s="5">
        <f t="shared" si="246"/>
        <v>0.48571269717457188</v>
      </c>
      <c r="AT162" s="5">
        <f t="shared" si="247"/>
        <v>2.3714301599682854</v>
      </c>
      <c r="AU162" s="177">
        <f t="shared" si="248"/>
        <v>0.16999944401110015</v>
      </c>
      <c r="AW162" s="5">
        <f t="shared" si="216"/>
        <v>5.0514120506155482</v>
      </c>
      <c r="AX162" s="5"/>
      <c r="AY162" s="5">
        <f t="shared" si="217"/>
        <v>1.0102824101231096</v>
      </c>
      <c r="AZ162" s="5"/>
      <c r="BA162" s="5">
        <f t="shared" si="218"/>
        <v>0.24821732753291231</v>
      </c>
      <c r="BB162" s="5"/>
      <c r="BC162" s="5"/>
      <c r="BD162" s="177">
        <f t="shared" si="219"/>
        <v>0.37990269621182693</v>
      </c>
      <c r="BE162" s="177">
        <f t="shared" si="220"/>
        <v>1.6788728757684057</v>
      </c>
      <c r="BF162" s="177">
        <f t="shared" si="221"/>
        <v>0.33577457515368114</v>
      </c>
      <c r="BG162" s="177"/>
      <c r="BH162" s="538">
        <f t="shared" si="222"/>
        <v>1.5875866444791723E-2</v>
      </c>
      <c r="BI162" s="538">
        <f t="shared" si="223"/>
        <v>9.395140701447742E-2</v>
      </c>
      <c r="BJ162" s="538">
        <f t="shared" si="224"/>
        <v>1.7499999999999998E-2</v>
      </c>
      <c r="BK162" s="538">
        <f t="shared" si="225"/>
        <v>8.9117405999999996E-2</v>
      </c>
      <c r="BL162">
        <f t="shared" si="226"/>
        <v>6.6699999999999997E-3</v>
      </c>
      <c r="BM162">
        <f t="shared" si="268"/>
        <v>6.3E-5</v>
      </c>
      <c r="BN162">
        <f t="shared" si="269"/>
        <v>0.22598284719021472</v>
      </c>
      <c r="BO162" s="469">
        <f t="shared" si="229"/>
        <v>223.11467945926915</v>
      </c>
      <c r="BP162" s="177">
        <f t="shared" si="230"/>
        <v>0.20800000000000002</v>
      </c>
      <c r="BQ162" s="177">
        <f t="shared" si="231"/>
        <v>4.1600000000000005E-2</v>
      </c>
      <c r="BR162" s="538"/>
      <c r="BT162" s="469">
        <f t="shared" si="232"/>
        <v>249.60000000000002</v>
      </c>
      <c r="BU162" s="538">
        <f t="shared" si="233"/>
        <v>1.4432605858901566E-2</v>
      </c>
      <c r="BV162" s="538">
        <f t="shared" si="234"/>
        <v>8.4558423989726295E-2</v>
      </c>
      <c r="BW162" s="538">
        <f t="shared" si="235"/>
        <v>5.6372282659817533E-3</v>
      </c>
      <c r="BX162" s="538">
        <f t="shared" si="236"/>
        <v>0</v>
      </c>
      <c r="BY162" s="538">
        <f t="shared" si="180"/>
        <v>0.11817278610973977</v>
      </c>
      <c r="BZ162" s="538">
        <f t="shared" si="250"/>
        <v>0.10462825811460962</v>
      </c>
      <c r="CA162" s="641">
        <f t="shared" si="270"/>
        <v>4.4571428571428581E-2</v>
      </c>
      <c r="CB162" s="469">
        <f t="shared" si="238"/>
        <v>372.00073091038757</v>
      </c>
      <c r="CC162" s="177">
        <f t="shared" si="251"/>
        <v>0.63832706187138311</v>
      </c>
      <c r="CD162" s="5">
        <f t="shared" si="239"/>
        <v>3.12</v>
      </c>
      <c r="CE162" s="177">
        <f t="shared" si="240"/>
        <v>0.83015659591011193</v>
      </c>
      <c r="CF162" s="5">
        <f t="shared" si="241"/>
        <v>83.015659591011186</v>
      </c>
      <c r="CG162">
        <f t="shared" si="242"/>
        <v>52</v>
      </c>
      <c r="CI162" s="571">
        <f t="shared" si="271"/>
        <v>-50</v>
      </c>
      <c r="CJ162">
        <f t="shared" si="272"/>
        <v>-50</v>
      </c>
    </row>
    <row r="163" spans="5:88" x14ac:dyDescent="0.2">
      <c r="E163" s="174">
        <v>53</v>
      </c>
      <c r="F163" s="221">
        <f t="shared" si="273"/>
        <v>0.53</v>
      </c>
      <c r="G163" s="221">
        <f t="shared" si="252"/>
        <v>0.10600000000000001</v>
      </c>
      <c r="H163" s="221">
        <f t="shared" si="253"/>
        <v>2.6500000000000004</v>
      </c>
      <c r="I163" s="221">
        <f t="shared" si="254"/>
        <v>0.53</v>
      </c>
      <c r="J163" s="551">
        <f t="shared" si="186"/>
        <v>23</v>
      </c>
      <c r="K163" s="451">
        <f t="shared" si="187"/>
        <v>10.64</v>
      </c>
      <c r="L163" s="451">
        <f t="shared" si="188"/>
        <v>33.64</v>
      </c>
      <c r="M163" s="451"/>
      <c r="N163" s="221">
        <f t="shared" si="189"/>
        <v>0.31629013079667062</v>
      </c>
      <c r="O163" s="176">
        <f t="shared" si="255"/>
        <v>11.184809750297264</v>
      </c>
      <c r="P163" s="176">
        <f t="shared" si="256"/>
        <v>2.6843543400713439</v>
      </c>
      <c r="Q163" s="221">
        <f t="shared" si="192"/>
        <v>2.2369619500594529</v>
      </c>
      <c r="R163" s="221">
        <f t="shared" si="257"/>
        <v>2.2369619500594529</v>
      </c>
      <c r="S163" s="221">
        <f t="shared" si="258"/>
        <v>5</v>
      </c>
      <c r="T163" s="221">
        <f t="shared" si="259"/>
        <v>0.97140677781410067</v>
      </c>
      <c r="U163" s="221">
        <f t="shared" si="196"/>
        <v>0.29564554107385671</v>
      </c>
      <c r="V163" s="221">
        <f t="shared" si="197"/>
        <v>0.63908340645664519</v>
      </c>
      <c r="W163" s="201">
        <f t="shared" si="198"/>
        <v>350</v>
      </c>
      <c r="X163" s="451">
        <f t="shared" si="199"/>
        <v>350</v>
      </c>
      <c r="Z163" s="221">
        <f t="shared" si="200"/>
        <v>2.9692542891116021</v>
      </c>
      <c r="AA163" s="177">
        <f t="shared" si="201"/>
        <v>1.9534567691523697</v>
      </c>
      <c r="AB163" s="177">
        <f t="shared" si="260"/>
        <v>1.6917570513665985</v>
      </c>
      <c r="AC163" s="177"/>
      <c r="AD163" s="177">
        <f t="shared" si="203"/>
        <v>0.53947368421052622</v>
      </c>
      <c r="AE163" s="555">
        <f t="shared" si="261"/>
        <v>1198.096371207615</v>
      </c>
      <c r="AF163" s="538">
        <f t="shared" si="262"/>
        <v>0.15482894736842101</v>
      </c>
      <c r="AH163" s="177">
        <f t="shared" si="263"/>
        <v>1.6111853919853356</v>
      </c>
      <c r="AI163" s="177">
        <f t="shared" si="264"/>
        <v>1.6111853919853356</v>
      </c>
      <c r="AJ163" s="177">
        <f t="shared" si="265"/>
        <v>1.7860632533224707</v>
      </c>
      <c r="AL163" s="555">
        <f t="shared" si="266"/>
        <v>530</v>
      </c>
      <c r="AM163" s="469">
        <f t="shared" si="267"/>
        <v>350</v>
      </c>
      <c r="AO163">
        <f t="shared" si="211"/>
        <v>530</v>
      </c>
      <c r="AP163">
        <f t="shared" si="212"/>
        <v>350</v>
      </c>
      <c r="AR163" s="5">
        <f t="shared" si="249"/>
        <v>2.8571428571428572</v>
      </c>
      <c r="AS163" s="5">
        <f t="shared" si="246"/>
        <v>0.4903607714737977</v>
      </c>
      <c r="AT163" s="5">
        <f t="shared" si="247"/>
        <v>2.3667820856690596</v>
      </c>
      <c r="AU163" s="177">
        <f t="shared" si="248"/>
        <v>0.1716262700158292</v>
      </c>
      <c r="AW163" s="5">
        <f t="shared" si="216"/>
        <v>5.1978241776222553</v>
      </c>
      <c r="AX163" s="5"/>
      <c r="AY163" s="5">
        <f t="shared" si="217"/>
        <v>1.0395648355244513</v>
      </c>
      <c r="AZ163" s="5"/>
      <c r="BA163" s="5">
        <f t="shared" si="218"/>
        <v>0.25249486823764117</v>
      </c>
      <c r="BB163" s="5"/>
      <c r="BC163" s="5"/>
      <c r="BD163" s="177">
        <f t="shared" si="219"/>
        <v>0.38536899488383697</v>
      </c>
      <c r="BE163" s="177">
        <f t="shared" si="220"/>
        <v>1.693277130573966</v>
      </c>
      <c r="BF163" s="177">
        <f t="shared" si="221"/>
        <v>0.33865542611479321</v>
      </c>
      <c r="BG163" s="177"/>
      <c r="BH163" s="538">
        <f t="shared" si="222"/>
        <v>1.6336018843955667E-2</v>
      </c>
      <c r="BI163" s="538">
        <f t="shared" si="223"/>
        <v>9.4850484026176712E-2</v>
      </c>
      <c r="BJ163" s="538">
        <f t="shared" si="224"/>
        <v>1.7499999999999998E-2</v>
      </c>
      <c r="BK163" s="538">
        <f t="shared" si="225"/>
        <v>8.9117405999999996E-2</v>
      </c>
      <c r="BL163">
        <f t="shared" si="226"/>
        <v>6.6699999999999997E-3</v>
      </c>
      <c r="BM163">
        <f t="shared" si="268"/>
        <v>6.3E-5</v>
      </c>
      <c r="BN163">
        <f t="shared" si="269"/>
        <v>0.22742773758643026</v>
      </c>
      <c r="BO163" s="469">
        <f t="shared" si="229"/>
        <v>224.47390887013236</v>
      </c>
      <c r="BP163" s="177">
        <f t="shared" si="230"/>
        <v>0.21200000000000002</v>
      </c>
      <c r="BQ163" s="177">
        <f t="shared" si="231"/>
        <v>4.2400000000000007E-2</v>
      </c>
      <c r="BR163" s="538"/>
      <c r="BT163" s="469">
        <f t="shared" si="232"/>
        <v>254.4</v>
      </c>
      <c r="BU163" s="538">
        <f t="shared" si="233"/>
        <v>1.4850926221777878E-2</v>
      </c>
      <c r="BV163" s="538">
        <f t="shared" si="234"/>
        <v>8.6015623227744115E-2</v>
      </c>
      <c r="BW163" s="538">
        <f t="shared" si="235"/>
        <v>5.7343748818496085E-3</v>
      </c>
      <c r="BX163" s="538">
        <f t="shared" si="236"/>
        <v>0</v>
      </c>
      <c r="BY163" s="538">
        <f t="shared" si="180"/>
        <v>0.12041998579463045</v>
      </c>
      <c r="BZ163" s="538">
        <f t="shared" si="250"/>
        <v>0.1066009243313716</v>
      </c>
      <c r="CA163" s="641">
        <f t="shared" si="270"/>
        <v>4.5428571428571443E-2</v>
      </c>
      <c r="CB163" s="469">
        <f t="shared" si="238"/>
        <v>379.05040588594505</v>
      </c>
      <c r="CC163" s="177">
        <f t="shared" si="251"/>
        <v>0.64767629480963218</v>
      </c>
      <c r="CD163" s="5">
        <f t="shared" si="239"/>
        <v>3.1800000000000006</v>
      </c>
      <c r="CE163" s="177">
        <f t="shared" si="240"/>
        <v>0.83079125690751643</v>
      </c>
      <c r="CF163" s="5">
        <f t="shared" si="241"/>
        <v>83.079125690751638</v>
      </c>
      <c r="CG163">
        <f t="shared" si="242"/>
        <v>53</v>
      </c>
      <c r="CI163" s="571">
        <f t="shared" si="271"/>
        <v>-50</v>
      </c>
      <c r="CJ163">
        <f t="shared" si="272"/>
        <v>-50</v>
      </c>
    </row>
    <row r="164" spans="5:88" x14ac:dyDescent="0.2">
      <c r="E164" s="174">
        <v>54</v>
      </c>
      <c r="F164" s="221">
        <f t="shared" si="273"/>
        <v>0.54</v>
      </c>
      <c r="G164" s="221">
        <f t="shared" si="252"/>
        <v>0.10800000000000001</v>
      </c>
      <c r="H164" s="221">
        <f t="shared" si="253"/>
        <v>2.7</v>
      </c>
      <c r="I164" s="221">
        <f t="shared" si="254"/>
        <v>0.54</v>
      </c>
      <c r="J164" s="551">
        <f t="shared" si="186"/>
        <v>23</v>
      </c>
      <c r="K164" s="451">
        <f t="shared" si="187"/>
        <v>10.64</v>
      </c>
      <c r="L164" s="451">
        <f t="shared" si="188"/>
        <v>33.64</v>
      </c>
      <c r="M164" s="451"/>
      <c r="N164" s="221">
        <f t="shared" si="189"/>
        <v>0.31629013079667062</v>
      </c>
      <c r="O164" s="176">
        <f t="shared" si="255"/>
        <v>11.184809750297264</v>
      </c>
      <c r="P164" s="176">
        <f t="shared" si="256"/>
        <v>2.6843543400713439</v>
      </c>
      <c r="Q164" s="221">
        <f t="shared" si="192"/>
        <v>2.2369619500594529</v>
      </c>
      <c r="R164" s="221">
        <f t="shared" si="257"/>
        <v>2.2369619500594529</v>
      </c>
      <c r="S164" s="221">
        <f t="shared" si="258"/>
        <v>5</v>
      </c>
      <c r="T164" s="221">
        <f t="shared" si="259"/>
        <v>0.98973520758417799</v>
      </c>
      <c r="U164" s="221">
        <f t="shared" si="196"/>
        <v>0.30122375882996721</v>
      </c>
      <c r="V164" s="221">
        <f t="shared" si="197"/>
        <v>0.65114158393695909</v>
      </c>
      <c r="W164" s="201">
        <f t="shared" si="198"/>
        <v>350</v>
      </c>
      <c r="X164" s="451">
        <f t="shared" si="199"/>
        <v>350</v>
      </c>
      <c r="Z164" s="221">
        <f t="shared" si="200"/>
        <v>2.9692542891116021</v>
      </c>
      <c r="AA164" s="177">
        <f t="shared" si="201"/>
        <v>1.9534567691523697</v>
      </c>
      <c r="AB164" s="177">
        <f t="shared" si="260"/>
        <v>1.6917570513665985</v>
      </c>
      <c r="AC164" s="177"/>
      <c r="AD164" s="177">
        <f t="shared" si="203"/>
        <v>0.53947368421052622</v>
      </c>
      <c r="AE164" s="555">
        <f t="shared" si="261"/>
        <v>1220.7019631171925</v>
      </c>
      <c r="AF164" s="538">
        <f t="shared" si="262"/>
        <v>0.15482894736842101</v>
      </c>
      <c r="AH164" s="177">
        <f t="shared" si="263"/>
        <v>1.6263142252294522</v>
      </c>
      <c r="AI164" s="177">
        <f t="shared" si="264"/>
        <v>1.6263142252294522</v>
      </c>
      <c r="AJ164" s="177">
        <f t="shared" si="265"/>
        <v>1.7972697964662609</v>
      </c>
      <c r="AL164" s="555">
        <f t="shared" si="266"/>
        <v>540</v>
      </c>
      <c r="AM164" s="469">
        <f t="shared" si="267"/>
        <v>350</v>
      </c>
      <c r="AO164">
        <f t="shared" si="211"/>
        <v>540</v>
      </c>
      <c r="AP164">
        <f t="shared" si="212"/>
        <v>350</v>
      </c>
      <c r="AR164" s="5">
        <f t="shared" si="249"/>
        <v>2.8571428571428572</v>
      </c>
      <c r="AS164" s="5">
        <f t="shared" si="246"/>
        <v>0.49496519898287672</v>
      </c>
      <c r="AT164" s="5">
        <f t="shared" si="247"/>
        <v>2.3621776581599807</v>
      </c>
      <c r="AU164" s="177">
        <f t="shared" si="248"/>
        <v>0.17323781964400684</v>
      </c>
      <c r="AW164" s="5">
        <f t="shared" si="216"/>
        <v>5.3456241490150687</v>
      </c>
      <c r="AX164" s="5"/>
      <c r="AY164" s="5">
        <f t="shared" si="217"/>
        <v>1.0691248298030138</v>
      </c>
      <c r="AZ164" s="5"/>
      <c r="BA164" s="5">
        <f t="shared" si="218"/>
        <v>0.2567584411043457</v>
      </c>
      <c r="BB164" s="5"/>
      <c r="BC164" s="5"/>
      <c r="BD164" s="177">
        <f t="shared" si="219"/>
        <v>0.39080956813170231</v>
      </c>
      <c r="BE164" s="177">
        <f t="shared" si="220"/>
        <v>1.7075134371570102</v>
      </c>
      <c r="BF164" s="177">
        <f t="shared" si="221"/>
        <v>0.34150268743140205</v>
      </c>
      <c r="BG164" s="177"/>
      <c r="BH164" s="538">
        <f t="shared" si="222"/>
        <v>1.6800533039761645E-2</v>
      </c>
      <c r="BI164" s="538">
        <f t="shared" si="223"/>
        <v>9.5741118439257852E-2</v>
      </c>
      <c r="BJ164" s="538">
        <f t="shared" si="224"/>
        <v>1.7499999999999998E-2</v>
      </c>
      <c r="BK164" s="538">
        <f t="shared" si="225"/>
        <v>8.9117405999999996E-2</v>
      </c>
      <c r="BL164">
        <f t="shared" si="226"/>
        <v>6.6699999999999997E-3</v>
      </c>
      <c r="BM164">
        <f t="shared" si="268"/>
        <v>6.3E-5</v>
      </c>
      <c r="BN164">
        <f t="shared" si="269"/>
        <v>0.22886955602360592</v>
      </c>
      <c r="BO164" s="469">
        <f t="shared" si="229"/>
        <v>225.8290574790195</v>
      </c>
      <c r="BP164" s="177">
        <f t="shared" si="230"/>
        <v>0.21600000000000003</v>
      </c>
      <c r="BQ164" s="177">
        <f t="shared" si="231"/>
        <v>4.3200000000000009E-2</v>
      </c>
      <c r="BR164" s="538"/>
      <c r="BT164" s="469">
        <f t="shared" si="232"/>
        <v>259.20000000000005</v>
      </c>
      <c r="BU164" s="538">
        <f t="shared" si="233"/>
        <v>1.5273211854328768E-2</v>
      </c>
      <c r="BV164" s="538">
        <f t="shared" si="234"/>
        <v>8.7468064142152413E-2</v>
      </c>
      <c r="BW164" s="538">
        <f t="shared" si="235"/>
        <v>5.8312042761434948E-3</v>
      </c>
      <c r="BX164" s="538">
        <f t="shared" si="236"/>
        <v>0</v>
      </c>
      <c r="BY164" s="538">
        <f t="shared" si="180"/>
        <v>0.12266663557502594</v>
      </c>
      <c r="BZ164" s="538">
        <f t="shared" si="250"/>
        <v>0.10857248027262467</v>
      </c>
      <c r="CA164" s="641">
        <f t="shared" si="270"/>
        <v>4.6285714285714291E-2</v>
      </c>
      <c r="CB164" s="469">
        <f t="shared" si="238"/>
        <v>386.09731040598962</v>
      </c>
      <c r="CC164" s="177">
        <f t="shared" si="251"/>
        <v>0.65702190588434617</v>
      </c>
      <c r="CD164" s="5">
        <f t="shared" si="239"/>
        <v>3.24</v>
      </c>
      <c r="CE164" s="177">
        <f t="shared" si="240"/>
        <v>0.83140410247828744</v>
      </c>
      <c r="CF164" s="5">
        <f t="shared" si="241"/>
        <v>83.14041024782874</v>
      </c>
      <c r="CG164">
        <f t="shared" si="242"/>
        <v>54</v>
      </c>
      <c r="CI164" s="571">
        <f t="shared" si="271"/>
        <v>-50</v>
      </c>
      <c r="CJ164">
        <f t="shared" si="272"/>
        <v>-50</v>
      </c>
    </row>
    <row r="165" spans="5:88" x14ac:dyDescent="0.2">
      <c r="E165" s="174">
        <v>55</v>
      </c>
      <c r="F165" s="221">
        <f t="shared" si="273"/>
        <v>0.55000000000000004</v>
      </c>
      <c r="G165" s="221">
        <f t="shared" si="252"/>
        <v>0.11000000000000001</v>
      </c>
      <c r="H165" s="221">
        <f t="shared" si="253"/>
        <v>2.75</v>
      </c>
      <c r="I165" s="221">
        <f t="shared" si="254"/>
        <v>0.55000000000000004</v>
      </c>
      <c r="J165" s="551">
        <f t="shared" si="186"/>
        <v>23</v>
      </c>
      <c r="K165" s="451">
        <f t="shared" si="187"/>
        <v>10.64</v>
      </c>
      <c r="L165" s="451">
        <f t="shared" si="188"/>
        <v>33.64</v>
      </c>
      <c r="M165" s="451"/>
      <c r="N165" s="221">
        <f t="shared" si="189"/>
        <v>0.31629013079667062</v>
      </c>
      <c r="O165" s="176">
        <f t="shared" si="255"/>
        <v>11.184809750297264</v>
      </c>
      <c r="P165" s="176">
        <f t="shared" si="256"/>
        <v>2.6843543400713439</v>
      </c>
      <c r="Q165" s="221">
        <f t="shared" si="192"/>
        <v>2.2369619500594529</v>
      </c>
      <c r="R165" s="221">
        <f t="shared" si="257"/>
        <v>2.2369619500594529</v>
      </c>
      <c r="S165" s="221">
        <f t="shared" si="258"/>
        <v>5</v>
      </c>
      <c r="T165" s="221">
        <f t="shared" si="259"/>
        <v>1.0080636373542553</v>
      </c>
      <c r="U165" s="221">
        <f t="shared" si="196"/>
        <v>0.30680197658607772</v>
      </c>
      <c r="V165" s="221">
        <f t="shared" si="197"/>
        <v>0.6631997614172731</v>
      </c>
      <c r="W165" s="201">
        <f t="shared" si="198"/>
        <v>350</v>
      </c>
      <c r="X165" s="451">
        <f t="shared" si="199"/>
        <v>350</v>
      </c>
      <c r="Z165" s="221">
        <f t="shared" si="200"/>
        <v>2.9692542891116021</v>
      </c>
      <c r="AA165" s="177">
        <f t="shared" si="201"/>
        <v>1.9534567691523697</v>
      </c>
      <c r="AB165" s="177">
        <f t="shared" si="260"/>
        <v>1.6917570513665985</v>
      </c>
      <c r="AC165" s="177"/>
      <c r="AD165" s="177">
        <f t="shared" si="203"/>
        <v>0.53947368421052622</v>
      </c>
      <c r="AE165" s="555">
        <f t="shared" si="261"/>
        <v>1243.3075550267702</v>
      </c>
      <c r="AF165" s="538">
        <f t="shared" si="262"/>
        <v>0.15482894736842101</v>
      </c>
      <c r="AH165" s="177">
        <f t="shared" si="263"/>
        <v>1.6413036132965795</v>
      </c>
      <c r="AI165" s="177">
        <f t="shared" si="264"/>
        <v>1.6413036132965795</v>
      </c>
      <c r="AJ165" s="177">
        <f t="shared" si="265"/>
        <v>1.8083730468863553</v>
      </c>
      <c r="AL165" s="555">
        <f t="shared" si="266"/>
        <v>550</v>
      </c>
      <c r="AM165" s="469">
        <f t="shared" si="267"/>
        <v>350</v>
      </c>
      <c r="AO165">
        <f t="shared" si="211"/>
        <v>550</v>
      </c>
      <c r="AP165">
        <f t="shared" si="212"/>
        <v>350</v>
      </c>
      <c r="AR165" s="5">
        <f t="shared" si="249"/>
        <v>2.8571428571428572</v>
      </c>
      <c r="AS165" s="5">
        <f t="shared" si="246"/>
        <v>0.49952718665548068</v>
      </c>
      <c r="AT165" s="5">
        <f t="shared" si="247"/>
        <v>2.3576156704873767</v>
      </c>
      <c r="AU165" s="177">
        <f t="shared" si="248"/>
        <v>0.17483451532941824</v>
      </c>
      <c r="AW165" s="5">
        <f t="shared" si="216"/>
        <v>5.4947990532102873</v>
      </c>
      <c r="AX165" s="5"/>
      <c r="AY165" s="5">
        <f t="shared" si="217"/>
        <v>1.0989598106420577</v>
      </c>
      <c r="AZ165" s="5"/>
      <c r="BA165" s="5">
        <f t="shared" si="218"/>
        <v>0.26100817608052673</v>
      </c>
      <c r="BB165" s="5"/>
      <c r="BC165" s="5"/>
      <c r="BD165" s="177">
        <f t="shared" si="219"/>
        <v>0.39622501014341716</v>
      </c>
      <c r="BE165" s="177">
        <f t="shared" si="220"/>
        <v>1.7215863905251092</v>
      </c>
      <c r="BF165" s="177">
        <f t="shared" si="221"/>
        <v>0.34431727810502188</v>
      </c>
      <c r="BG165" s="177"/>
      <c r="BH165" s="538">
        <f t="shared" si="222"/>
        <v>1.7269368452946614E-2</v>
      </c>
      <c r="BI165" s="538">
        <f t="shared" si="223"/>
        <v>9.6623543714769639E-2</v>
      </c>
      <c r="BJ165" s="538">
        <f t="shared" si="224"/>
        <v>1.7499999999999998E-2</v>
      </c>
      <c r="BK165" s="538">
        <f t="shared" si="225"/>
        <v>8.9117405999999996E-2</v>
      </c>
      <c r="BL165">
        <f t="shared" si="226"/>
        <v>6.6699999999999997E-3</v>
      </c>
      <c r="BM165">
        <f t="shared" si="268"/>
        <v>6.3E-5</v>
      </c>
      <c r="BN165">
        <f t="shared" si="269"/>
        <v>0.23030849147423102</v>
      </c>
      <c r="BO165" s="469">
        <f t="shared" si="229"/>
        <v>227.18031816771628</v>
      </c>
      <c r="BP165" s="177">
        <f t="shared" si="230"/>
        <v>0.22000000000000003</v>
      </c>
      <c r="BQ165" s="177">
        <f t="shared" si="231"/>
        <v>4.4000000000000011E-2</v>
      </c>
      <c r="BR165" s="538"/>
      <c r="BT165" s="469">
        <f t="shared" si="232"/>
        <v>264</v>
      </c>
      <c r="BU165" s="538">
        <f t="shared" si="233"/>
        <v>1.5699425866315102E-2</v>
      </c>
      <c r="BV165" s="538">
        <f t="shared" si="234"/>
        <v>8.8915791001238212E-2</v>
      </c>
      <c r="BW165" s="538">
        <f t="shared" si="235"/>
        <v>5.9277194000825493E-3</v>
      </c>
      <c r="BX165" s="538">
        <f t="shared" si="236"/>
        <v>0</v>
      </c>
      <c r="BY165" s="538">
        <f t="shared" ref="BY165:BY210" si="274">(BX165+(BU165+BV165+BW165)*(1+Ltc*(Ta-25)))/(1-(BU165+BV165+BW165)*Ltc*ThetaCa)</f>
        <v>0.12491274636054812</v>
      </c>
      <c r="BZ165" s="538">
        <f t="shared" si="250"/>
        <v>0.11054293626763587</v>
      </c>
      <c r="CA165" s="641">
        <f t="shared" si="270"/>
        <v>4.7142857142857139E-2</v>
      </c>
      <c r="CB165" s="469">
        <f t="shared" si="238"/>
        <v>393.14147603867701</v>
      </c>
      <c r="CC165" s="177">
        <f t="shared" si="251"/>
        <v>0.66636409497763638</v>
      </c>
      <c r="CD165" s="5">
        <f t="shared" si="239"/>
        <v>3.3</v>
      </c>
      <c r="CE165" s="177">
        <f t="shared" si="240"/>
        <v>0.83199623659829613</v>
      </c>
      <c r="CF165" s="5">
        <f t="shared" si="241"/>
        <v>83.199623659829612</v>
      </c>
      <c r="CG165">
        <f t="shared" si="242"/>
        <v>55.000000000000007</v>
      </c>
      <c r="CI165" s="571">
        <f t="shared" si="271"/>
        <v>-50</v>
      </c>
      <c r="CJ165">
        <f t="shared" si="272"/>
        <v>-50</v>
      </c>
    </row>
    <row r="166" spans="5:88" x14ac:dyDescent="0.2">
      <c r="E166" s="174">
        <v>56</v>
      </c>
      <c r="F166" s="221">
        <f t="shared" si="273"/>
        <v>0.56000000000000005</v>
      </c>
      <c r="G166" s="221">
        <f t="shared" si="252"/>
        <v>0.11200000000000002</v>
      </c>
      <c r="H166" s="221">
        <f t="shared" si="253"/>
        <v>2.8000000000000003</v>
      </c>
      <c r="I166" s="221">
        <f t="shared" si="254"/>
        <v>0.56000000000000005</v>
      </c>
      <c r="J166" s="551">
        <f t="shared" si="186"/>
        <v>23</v>
      </c>
      <c r="K166" s="451">
        <f t="shared" si="187"/>
        <v>10.64</v>
      </c>
      <c r="L166" s="451">
        <f t="shared" si="188"/>
        <v>33.64</v>
      </c>
      <c r="M166" s="451"/>
      <c r="N166" s="221">
        <f t="shared" si="189"/>
        <v>0.31629013079667062</v>
      </c>
      <c r="O166" s="176">
        <f t="shared" si="255"/>
        <v>11.184809750297264</v>
      </c>
      <c r="P166" s="176">
        <f t="shared" si="256"/>
        <v>2.6843543400713439</v>
      </c>
      <c r="Q166" s="221">
        <f t="shared" si="192"/>
        <v>2.2369619500594529</v>
      </c>
      <c r="R166" s="221">
        <f t="shared" si="257"/>
        <v>2.2369619500594529</v>
      </c>
      <c r="S166" s="221">
        <f t="shared" si="258"/>
        <v>5</v>
      </c>
      <c r="T166" s="221">
        <f t="shared" si="259"/>
        <v>1.0263920671243327</v>
      </c>
      <c r="U166" s="221">
        <f t="shared" si="196"/>
        <v>0.31238019434218822</v>
      </c>
      <c r="V166" s="221">
        <f t="shared" si="197"/>
        <v>0.67525793889758723</v>
      </c>
      <c r="W166" s="201">
        <f t="shared" si="198"/>
        <v>350</v>
      </c>
      <c r="X166" s="451">
        <f t="shared" si="199"/>
        <v>350</v>
      </c>
      <c r="Z166" s="221">
        <f t="shared" si="200"/>
        <v>2.9692542891116021</v>
      </c>
      <c r="AA166" s="177">
        <f t="shared" si="201"/>
        <v>1.9534567691523697</v>
      </c>
      <c r="AB166" s="177">
        <f t="shared" si="260"/>
        <v>1.6917570513665985</v>
      </c>
      <c r="AC166" s="177"/>
      <c r="AD166" s="177">
        <f t="shared" si="203"/>
        <v>0.53947368421052622</v>
      </c>
      <c r="AE166" s="555">
        <f t="shared" si="261"/>
        <v>1265.9131469363476</v>
      </c>
      <c r="AF166" s="538">
        <f t="shared" si="262"/>
        <v>0.15482894736842101</v>
      </c>
      <c r="AH166" s="177">
        <f t="shared" si="263"/>
        <v>1.65615734242165</v>
      </c>
      <c r="AI166" s="177">
        <f t="shared" si="264"/>
        <v>1.65615734242165</v>
      </c>
      <c r="AJ166" s="177">
        <f t="shared" si="265"/>
        <v>1.8193758092012222</v>
      </c>
      <c r="AL166" s="555">
        <f t="shared" si="266"/>
        <v>560</v>
      </c>
      <c r="AM166" s="469">
        <f t="shared" si="267"/>
        <v>350</v>
      </c>
      <c r="AO166">
        <f t="shared" si="211"/>
        <v>560</v>
      </c>
      <c r="AP166">
        <f t="shared" si="212"/>
        <v>350</v>
      </c>
      <c r="AR166" s="5">
        <f t="shared" si="249"/>
        <v>2.8571428571428572</v>
      </c>
      <c r="AS166" s="5">
        <f t="shared" si="246"/>
        <v>0.5040478868239805</v>
      </c>
      <c r="AT166" s="5">
        <f t="shared" si="247"/>
        <v>2.3530949703188768</v>
      </c>
      <c r="AU166" s="177">
        <f t="shared" si="248"/>
        <v>0.17641676038839316</v>
      </c>
      <c r="AW166" s="5">
        <f t="shared" si="216"/>
        <v>5.6453363324285819</v>
      </c>
      <c r="AX166" s="5"/>
      <c r="AY166" s="5">
        <f t="shared" si="217"/>
        <v>1.1290672664857166</v>
      </c>
      <c r="AZ166" s="5"/>
      <c r="BA166" s="5">
        <f t="shared" si="218"/>
        <v>0.26524419955285239</v>
      </c>
      <c r="BB166" s="5"/>
      <c r="BC166" s="5"/>
      <c r="BD166" s="177">
        <f t="shared" si="219"/>
        <v>0.40161589085054106</v>
      </c>
      <c r="BE166" s="177">
        <f t="shared" si="220"/>
        <v>1.7355003779913623</v>
      </c>
      <c r="BF166" s="177">
        <f t="shared" si="221"/>
        <v>0.3471000755982725</v>
      </c>
      <c r="BG166" s="177"/>
      <c r="BH166" s="538">
        <f t="shared" si="222"/>
        <v>1.7742485616204107E-2</v>
      </c>
      <c r="BI166" s="538">
        <f t="shared" si="223"/>
        <v>9.7497982748362536E-2</v>
      </c>
      <c r="BJ166" s="538">
        <f t="shared" si="224"/>
        <v>1.7499999999999998E-2</v>
      </c>
      <c r="BK166" s="538">
        <f t="shared" si="225"/>
        <v>8.9117405999999996E-2</v>
      </c>
      <c r="BL166">
        <f t="shared" si="226"/>
        <v>6.6699999999999997E-3</v>
      </c>
      <c r="BM166">
        <f t="shared" si="268"/>
        <v>6.3E-5</v>
      </c>
      <c r="BN166">
        <f t="shared" si="269"/>
        <v>0.2317447236327933</v>
      </c>
      <c r="BO166" s="469">
        <f t="shared" si="229"/>
        <v>228.52787436456663</v>
      </c>
      <c r="BP166" s="177">
        <f t="shared" si="230"/>
        <v>0.22400000000000003</v>
      </c>
      <c r="BQ166" s="177">
        <f t="shared" si="231"/>
        <v>4.4800000000000006E-2</v>
      </c>
      <c r="BR166" s="538"/>
      <c r="BT166" s="469">
        <f t="shared" si="232"/>
        <v>268.8</v>
      </c>
      <c r="BU166" s="538">
        <f t="shared" si="233"/>
        <v>1.6129532378367371E-2</v>
      </c>
      <c r="BV166" s="538">
        <f t="shared" si="234"/>
        <v>9.035884686024484E-2</v>
      </c>
      <c r="BW166" s="538">
        <f t="shared" si="235"/>
        <v>6.0239231240163246E-3</v>
      </c>
      <c r="BX166" s="538">
        <f t="shared" si="236"/>
        <v>0</v>
      </c>
      <c r="BY166" s="538">
        <f t="shared" si="274"/>
        <v>0.12715832875274843</v>
      </c>
      <c r="BZ166" s="538">
        <f t="shared" si="250"/>
        <v>0.11251230236262853</v>
      </c>
      <c r="CA166" s="641">
        <f t="shared" si="270"/>
        <v>4.8000000000000001E-2</v>
      </c>
      <c r="CB166" s="469">
        <f t="shared" si="238"/>
        <v>400.18293347800551</v>
      </c>
      <c r="CC166" s="177">
        <f t="shared" si="251"/>
        <v>0.67570305238554185</v>
      </c>
      <c r="CD166" s="5">
        <f t="shared" si="239"/>
        <v>3.3600000000000003</v>
      </c>
      <c r="CE166" s="177">
        <f t="shared" si="240"/>
        <v>0.83256868911945159</v>
      </c>
      <c r="CF166" s="5">
        <f t="shared" si="241"/>
        <v>83.256868911945162</v>
      </c>
      <c r="CG166">
        <f t="shared" si="242"/>
        <v>56.000000000000007</v>
      </c>
      <c r="CI166" s="571">
        <f t="shared" si="271"/>
        <v>-50</v>
      </c>
      <c r="CJ166">
        <f t="shared" si="272"/>
        <v>-50</v>
      </c>
    </row>
    <row r="167" spans="5:88" x14ac:dyDescent="0.2">
      <c r="E167" s="174">
        <v>57</v>
      </c>
      <c r="F167" s="221">
        <f t="shared" si="273"/>
        <v>0.56999999999999995</v>
      </c>
      <c r="G167" s="221">
        <f t="shared" si="252"/>
        <v>0.11399999999999999</v>
      </c>
      <c r="H167" s="221">
        <f t="shared" si="253"/>
        <v>2.8499999999999996</v>
      </c>
      <c r="I167" s="221">
        <f t="shared" si="254"/>
        <v>0.56999999999999995</v>
      </c>
      <c r="J167" s="551">
        <f t="shared" si="186"/>
        <v>23</v>
      </c>
      <c r="K167" s="451">
        <f t="shared" si="187"/>
        <v>10.64</v>
      </c>
      <c r="L167" s="451">
        <f t="shared" si="188"/>
        <v>33.64</v>
      </c>
      <c r="M167" s="451"/>
      <c r="N167" s="221">
        <f t="shared" si="189"/>
        <v>0.31629013079667062</v>
      </c>
      <c r="O167" s="176">
        <f t="shared" si="255"/>
        <v>11.184809750297264</v>
      </c>
      <c r="P167" s="176">
        <f t="shared" si="256"/>
        <v>2.6843543400713439</v>
      </c>
      <c r="Q167" s="221">
        <f t="shared" si="192"/>
        <v>2.2369619500594529</v>
      </c>
      <c r="R167" s="221">
        <f t="shared" si="257"/>
        <v>2.2369619500594529</v>
      </c>
      <c r="S167" s="221">
        <f t="shared" si="258"/>
        <v>5</v>
      </c>
      <c r="T167" s="221">
        <f t="shared" si="259"/>
        <v>1.0447204968944099</v>
      </c>
      <c r="U167" s="221">
        <f t="shared" si="196"/>
        <v>0.31795841209829867</v>
      </c>
      <c r="V167" s="221">
        <f t="shared" si="197"/>
        <v>0.68731611637790124</v>
      </c>
      <c r="W167" s="201">
        <f t="shared" si="198"/>
        <v>350</v>
      </c>
      <c r="X167" s="451">
        <f t="shared" si="199"/>
        <v>350</v>
      </c>
      <c r="Z167" s="221">
        <f t="shared" si="200"/>
        <v>2.9692542891116021</v>
      </c>
      <c r="AA167" s="177">
        <f t="shared" si="201"/>
        <v>1.9534567691523697</v>
      </c>
      <c r="AB167" s="177">
        <f t="shared" si="260"/>
        <v>1.6917570513665985</v>
      </c>
      <c r="AC167" s="177"/>
      <c r="AD167" s="177">
        <f t="shared" si="203"/>
        <v>0.53947368421052622</v>
      </c>
      <c r="AE167" s="555">
        <f t="shared" si="261"/>
        <v>1288.5187388459251</v>
      </c>
      <c r="AF167" s="538">
        <f t="shared" si="262"/>
        <v>0.15482894736842101</v>
      </c>
      <c r="AH167" s="177">
        <f t="shared" si="263"/>
        <v>1.6708790305386794</v>
      </c>
      <c r="AI167" s="177">
        <f t="shared" si="264"/>
        <v>1.6708790305386794</v>
      </c>
      <c r="AJ167" s="177">
        <f t="shared" si="265"/>
        <v>1.8302807633619846</v>
      </c>
      <c r="AL167" s="555">
        <f t="shared" si="266"/>
        <v>570</v>
      </c>
      <c r="AM167" s="469">
        <f t="shared" si="267"/>
        <v>350</v>
      </c>
      <c r="AO167">
        <f t="shared" si="211"/>
        <v>570</v>
      </c>
      <c r="AP167">
        <f t="shared" si="212"/>
        <v>350</v>
      </c>
      <c r="AR167" s="5">
        <f t="shared" si="249"/>
        <v>2.8571428571428572</v>
      </c>
      <c r="AS167" s="5">
        <f t="shared" si="246"/>
        <v>0.5085284005987285</v>
      </c>
      <c r="AT167" s="5">
        <f t="shared" si="247"/>
        <v>2.3486144565441287</v>
      </c>
      <c r="AU167" s="177">
        <f t="shared" si="248"/>
        <v>0.17798494020955496</v>
      </c>
      <c r="AW167" s="5">
        <f t="shared" si="216"/>
        <v>5.7972237668255051</v>
      </c>
      <c r="AX167" s="5"/>
      <c r="AY167" s="5">
        <f t="shared" si="217"/>
        <v>1.1594447533651009</v>
      </c>
      <c r="AZ167" s="5"/>
      <c r="BA167" s="5">
        <f t="shared" si="218"/>
        <v>0.26946663450687458</v>
      </c>
      <c r="BB167" s="5"/>
      <c r="BC167" s="5"/>
      <c r="BD167" s="177">
        <f t="shared" si="219"/>
        <v>0.4069827573330877</v>
      </c>
      <c r="BE167" s="177">
        <f t="shared" si="220"/>
        <v>1.7492595920920555</v>
      </c>
      <c r="BF167" s="177">
        <f t="shared" si="221"/>
        <v>0.34985191841841112</v>
      </c>
      <c r="BG167" s="177"/>
      <c r="BH167" s="538">
        <f t="shared" si="222"/>
        <v>1.8219846124308724E-2</v>
      </c>
      <c r="BI167" s="538">
        <f t="shared" si="223"/>
        <v>9.8364648527812071E-2</v>
      </c>
      <c r="BJ167" s="538">
        <f t="shared" si="224"/>
        <v>1.7499999999999998E-2</v>
      </c>
      <c r="BK167" s="538">
        <f t="shared" si="225"/>
        <v>8.9117405999999996E-2</v>
      </c>
      <c r="BL167">
        <f t="shared" si="226"/>
        <v>6.6699999999999997E-3</v>
      </c>
      <c r="BM167">
        <f t="shared" si="268"/>
        <v>6.3E-5</v>
      </c>
      <c r="BN167">
        <f t="shared" si="269"/>
        <v>0.23317842351565787</v>
      </c>
      <c r="BO167" s="469">
        <f t="shared" si="229"/>
        <v>229.87190065212081</v>
      </c>
      <c r="BP167" s="177">
        <f t="shared" si="230"/>
        <v>0.22799999999999998</v>
      </c>
      <c r="BQ167" s="177">
        <f t="shared" si="231"/>
        <v>4.5600000000000002E-2</v>
      </c>
      <c r="BR167" s="538"/>
      <c r="BT167" s="469">
        <f t="shared" si="232"/>
        <v>273.59999999999997</v>
      </c>
      <c r="BU167" s="538">
        <f t="shared" si="233"/>
        <v>1.6563496476644297E-2</v>
      </c>
      <c r="BV167" s="538">
        <f t="shared" si="234"/>
        <v>9.1797273615781924E-2</v>
      </c>
      <c r="BW167" s="538">
        <f t="shared" si="235"/>
        <v>6.1198182410521296E-3</v>
      </c>
      <c r="BX167" s="538">
        <f t="shared" si="236"/>
        <v>0</v>
      </c>
      <c r="BY167" s="538">
        <f t="shared" si="274"/>
        <v>0.12940339305907589</v>
      </c>
      <c r="BZ167" s="538">
        <f t="shared" si="250"/>
        <v>0.11448058833347836</v>
      </c>
      <c r="CA167" s="641">
        <f t="shared" si="270"/>
        <v>4.8857142857142856E-2</v>
      </c>
      <c r="CB167" s="469">
        <f t="shared" si="238"/>
        <v>407.22171258317547</v>
      </c>
      <c r="CC167" s="177">
        <f t="shared" si="251"/>
        <v>0.68503895943187654</v>
      </c>
      <c r="CD167" s="5">
        <f t="shared" si="239"/>
        <v>3.4199999999999995</v>
      </c>
      <c r="CE167" s="177">
        <f t="shared" si="240"/>
        <v>0.83312242193026997</v>
      </c>
      <c r="CF167" s="5">
        <f t="shared" si="241"/>
        <v>83.312242193027004</v>
      </c>
      <c r="CG167">
        <f t="shared" si="242"/>
        <v>56.999999999999993</v>
      </c>
      <c r="CI167" s="571">
        <f t="shared" si="271"/>
        <v>-50</v>
      </c>
      <c r="CJ167">
        <f t="shared" si="272"/>
        <v>-50</v>
      </c>
    </row>
    <row r="168" spans="5:88" x14ac:dyDescent="0.2">
      <c r="E168" s="174">
        <v>58</v>
      </c>
      <c r="F168" s="221">
        <f t="shared" si="273"/>
        <v>0.57999999999999996</v>
      </c>
      <c r="G168" s="221">
        <f t="shared" si="252"/>
        <v>0.11599999999999999</v>
      </c>
      <c r="H168" s="221">
        <f t="shared" si="253"/>
        <v>2.9</v>
      </c>
      <c r="I168" s="221">
        <f t="shared" si="254"/>
        <v>0.57999999999999996</v>
      </c>
      <c r="J168" s="551">
        <f t="shared" si="186"/>
        <v>23</v>
      </c>
      <c r="K168" s="451">
        <f t="shared" si="187"/>
        <v>10.64</v>
      </c>
      <c r="L168" s="451">
        <f t="shared" si="188"/>
        <v>33.64</v>
      </c>
      <c r="M168" s="451"/>
      <c r="N168" s="221">
        <f t="shared" si="189"/>
        <v>0.31629013079667062</v>
      </c>
      <c r="O168" s="176">
        <f t="shared" si="255"/>
        <v>11.184809750297264</v>
      </c>
      <c r="P168" s="176">
        <f t="shared" si="256"/>
        <v>2.6843543400713439</v>
      </c>
      <c r="Q168" s="221">
        <f t="shared" si="192"/>
        <v>2.2369619500594529</v>
      </c>
      <c r="R168" s="221">
        <f t="shared" si="257"/>
        <v>2.2369619500594529</v>
      </c>
      <c r="S168" s="221">
        <f t="shared" si="258"/>
        <v>5</v>
      </c>
      <c r="T168" s="221">
        <f t="shared" si="259"/>
        <v>1.0630489266644874</v>
      </c>
      <c r="U168" s="221">
        <f t="shared" si="196"/>
        <v>0.32353662985440917</v>
      </c>
      <c r="V168" s="221">
        <f t="shared" si="197"/>
        <v>0.69937429385821537</v>
      </c>
      <c r="W168" s="201">
        <f t="shared" si="198"/>
        <v>350</v>
      </c>
      <c r="X168" s="451">
        <f t="shared" si="199"/>
        <v>350</v>
      </c>
      <c r="Z168" s="221">
        <f t="shared" si="200"/>
        <v>2.9692542891116021</v>
      </c>
      <c r="AA168" s="177">
        <f t="shared" si="201"/>
        <v>1.9534567691523697</v>
      </c>
      <c r="AB168" s="177">
        <f t="shared" si="260"/>
        <v>1.6917570513665985</v>
      </c>
      <c r="AC168" s="177"/>
      <c r="AD168" s="177">
        <f t="shared" si="203"/>
        <v>0.53947368421052622</v>
      </c>
      <c r="AE168" s="555">
        <f t="shared" si="261"/>
        <v>1311.124330755503</v>
      </c>
      <c r="AF168" s="538">
        <f t="shared" si="262"/>
        <v>0.15482894736842101</v>
      </c>
      <c r="AH168" s="177">
        <f t="shared" si="263"/>
        <v>1.6854721375717285</v>
      </c>
      <c r="AI168" s="177">
        <f t="shared" si="264"/>
        <v>1.6854721375717285</v>
      </c>
      <c r="AJ168" s="177">
        <f t="shared" si="265"/>
        <v>1.8410904722753545</v>
      </c>
      <c r="AL168" s="555">
        <f t="shared" si="266"/>
        <v>580</v>
      </c>
      <c r="AM168" s="469">
        <f t="shared" si="267"/>
        <v>350</v>
      </c>
      <c r="AO168">
        <f t="shared" si="211"/>
        <v>580</v>
      </c>
      <c r="AP168">
        <f t="shared" si="212"/>
        <v>350</v>
      </c>
      <c r="AR168" s="5">
        <f t="shared" si="249"/>
        <v>2.8571428571428572</v>
      </c>
      <c r="AS168" s="5">
        <f t="shared" si="246"/>
        <v>0.51296978100009127</v>
      </c>
      <c r="AT168" s="5">
        <f t="shared" si="247"/>
        <v>2.3441730761427659</v>
      </c>
      <c r="AU168" s="177">
        <f t="shared" si="248"/>
        <v>0.17953942335003195</v>
      </c>
      <c r="AW168" s="5">
        <f t="shared" si="216"/>
        <v>5.9504494596010584</v>
      </c>
      <c r="AX168" s="5"/>
      <c r="AY168" s="5">
        <f t="shared" si="217"/>
        <v>1.1900898919202119</v>
      </c>
      <c r="AZ168" s="5"/>
      <c r="BA168" s="5">
        <f t="shared" si="218"/>
        <v>0.27367560067689289</v>
      </c>
      <c r="BB168" s="5"/>
      <c r="BC168" s="5"/>
      <c r="BD168" s="177">
        <f t="shared" si="219"/>
        <v>0.41232613511986765</v>
      </c>
      <c r="BE168" s="177">
        <f t="shared" si="220"/>
        <v>1.7628680424890759</v>
      </c>
      <c r="BF168" s="177">
        <f t="shared" si="221"/>
        <v>0.35257360849781522</v>
      </c>
      <c r="BG168" s="177"/>
      <c r="BH168" s="538">
        <f t="shared" si="222"/>
        <v>1.8701412587317608E-2</v>
      </c>
      <c r="BI168" s="538">
        <f t="shared" si="223"/>
        <v>9.9223744738847652E-2</v>
      </c>
      <c r="BJ168" s="538">
        <f t="shared" si="224"/>
        <v>1.7499999999999998E-2</v>
      </c>
      <c r="BK168" s="538">
        <f t="shared" si="225"/>
        <v>8.9117405999999996E-2</v>
      </c>
      <c r="BL168">
        <f t="shared" si="226"/>
        <v>6.6699999999999997E-3</v>
      </c>
      <c r="BM168">
        <f t="shared" si="268"/>
        <v>6.3E-5</v>
      </c>
      <c r="BN168">
        <f t="shared" si="269"/>
        <v>0.23460975401280823</v>
      </c>
      <c r="BO168" s="469">
        <f t="shared" si="229"/>
        <v>231.21256332616525</v>
      </c>
      <c r="BP168" s="177">
        <f t="shared" si="230"/>
        <v>0.23199999999999998</v>
      </c>
      <c r="BQ168" s="177">
        <f t="shared" si="231"/>
        <v>4.6399999999999997E-2</v>
      </c>
      <c r="BR168" s="538"/>
      <c r="BT168" s="469">
        <f t="shared" si="232"/>
        <v>278.39999999999998</v>
      </c>
      <c r="BU168" s="538">
        <f t="shared" si="233"/>
        <v>1.7001284170288736E-2</v>
      </c>
      <c r="BV168" s="538">
        <f t="shared" si="234"/>
        <v>9.3231112056877979E-2</v>
      </c>
      <c r="BW168" s="538">
        <f t="shared" si="235"/>
        <v>6.2154074704585342E-3</v>
      </c>
      <c r="BX168" s="538">
        <f t="shared" si="236"/>
        <v>0</v>
      </c>
      <c r="BY168" s="538">
        <f t="shared" si="274"/>
        <v>0.13164794930597851</v>
      </c>
      <c r="BZ168" s="538">
        <f t="shared" si="250"/>
        <v>0.11644780369762525</v>
      </c>
      <c r="CA168" s="641">
        <f t="shared" si="270"/>
        <v>4.9714285714285711E-2</v>
      </c>
      <c r="CB168" s="469">
        <f t="shared" si="238"/>
        <v>414.25784241551474</v>
      </c>
      <c r="CC168" s="177">
        <f t="shared" si="251"/>
        <v>0.69437198903307251</v>
      </c>
      <c r="CD168" s="5">
        <f t="shared" si="239"/>
        <v>3.48</v>
      </c>
      <c r="CE168" s="177">
        <f t="shared" si="240"/>
        <v>0.83365833450939941</v>
      </c>
      <c r="CF168" s="5">
        <f t="shared" si="241"/>
        <v>83.365833450939945</v>
      </c>
      <c r="CG168">
        <f t="shared" si="242"/>
        <v>57.999999999999993</v>
      </c>
      <c r="CI168" s="571">
        <f t="shared" si="271"/>
        <v>-50</v>
      </c>
      <c r="CJ168">
        <f t="shared" si="272"/>
        <v>-50</v>
      </c>
    </row>
    <row r="169" spans="5:88" x14ac:dyDescent="0.2">
      <c r="E169" s="174">
        <v>59</v>
      </c>
      <c r="F169" s="221">
        <f t="shared" si="273"/>
        <v>0.59</v>
      </c>
      <c r="G169" s="221">
        <f t="shared" si="252"/>
        <v>0.11799999999999999</v>
      </c>
      <c r="H169" s="221">
        <f t="shared" si="253"/>
        <v>2.9499999999999997</v>
      </c>
      <c r="I169" s="221">
        <f t="shared" si="254"/>
        <v>0.59</v>
      </c>
      <c r="J169" s="551">
        <f t="shared" si="186"/>
        <v>23</v>
      </c>
      <c r="K169" s="451">
        <f t="shared" si="187"/>
        <v>10.64</v>
      </c>
      <c r="L169" s="451">
        <f t="shared" si="188"/>
        <v>33.64</v>
      </c>
      <c r="M169" s="451"/>
      <c r="N169" s="221">
        <f t="shared" si="189"/>
        <v>0.31629013079667062</v>
      </c>
      <c r="O169" s="176">
        <f t="shared" si="255"/>
        <v>11.184809750297264</v>
      </c>
      <c r="P169" s="176">
        <f t="shared" si="256"/>
        <v>2.6843543400713439</v>
      </c>
      <c r="Q169" s="221">
        <f t="shared" si="192"/>
        <v>2.2369619500594529</v>
      </c>
      <c r="R169" s="221">
        <f t="shared" si="257"/>
        <v>2.2369619500594529</v>
      </c>
      <c r="S169" s="221">
        <f t="shared" si="258"/>
        <v>5</v>
      </c>
      <c r="T169" s="221">
        <f t="shared" si="259"/>
        <v>1.0813773564345646</v>
      </c>
      <c r="U169" s="221">
        <f t="shared" si="196"/>
        <v>0.32911484761051962</v>
      </c>
      <c r="V169" s="221">
        <f t="shared" si="197"/>
        <v>0.71143247133852927</v>
      </c>
      <c r="W169" s="201">
        <f t="shared" si="198"/>
        <v>350</v>
      </c>
      <c r="X169" s="451">
        <f t="shared" si="199"/>
        <v>350</v>
      </c>
      <c r="Z169" s="221">
        <f t="shared" si="200"/>
        <v>2.9692542891116021</v>
      </c>
      <c r="AA169" s="177">
        <f t="shared" si="201"/>
        <v>1.9534567691523697</v>
      </c>
      <c r="AB169" s="177">
        <f t="shared" si="260"/>
        <v>1.6917570513665985</v>
      </c>
      <c r="AC169" s="177"/>
      <c r="AD169" s="177">
        <f t="shared" si="203"/>
        <v>0.53947368421052622</v>
      </c>
      <c r="AE169" s="555">
        <f t="shared" si="261"/>
        <v>1333.7299226650805</v>
      </c>
      <c r="AF169" s="538">
        <f t="shared" si="262"/>
        <v>0.15482894736842101</v>
      </c>
      <c r="AH169" s="177">
        <f t="shared" si="263"/>
        <v>1.6999399749306876</v>
      </c>
      <c r="AI169" s="177">
        <f t="shared" si="264"/>
        <v>1.6999399749306876</v>
      </c>
      <c r="AJ169" s="177">
        <f t="shared" si="265"/>
        <v>1.8518073888375464</v>
      </c>
      <c r="AL169" s="555">
        <f t="shared" si="266"/>
        <v>590</v>
      </c>
      <c r="AM169" s="469">
        <f t="shared" si="267"/>
        <v>350</v>
      </c>
      <c r="AO169">
        <f t="shared" si="211"/>
        <v>590</v>
      </c>
      <c r="AP169">
        <f t="shared" si="212"/>
        <v>350</v>
      </c>
      <c r="AR169" s="5">
        <f t="shared" si="249"/>
        <v>2.8571428571428572</v>
      </c>
      <c r="AS169" s="5">
        <f t="shared" si="246"/>
        <v>0.51737303584847016</v>
      </c>
      <c r="AT169" s="5">
        <f t="shared" si="247"/>
        <v>2.3397698212943872</v>
      </c>
      <c r="AU169" s="177">
        <f t="shared" si="248"/>
        <v>0.18108056254696456</v>
      </c>
      <c r="AW169" s="5">
        <f t="shared" si="216"/>
        <v>6.1050018230119472</v>
      </c>
      <c r="AX169" s="5"/>
      <c r="AY169" s="5">
        <f t="shared" si="217"/>
        <v>1.2210003646023897</v>
      </c>
      <c r="AZ169" s="5"/>
      <c r="BA169" s="5">
        <f t="shared" si="218"/>
        <v>0.27787121468673265</v>
      </c>
      <c r="BB169" s="5"/>
      <c r="BC169" s="5"/>
      <c r="BD169" s="177">
        <f t="shared" si="219"/>
        <v>0.4176465293937292</v>
      </c>
      <c r="BE169" s="177">
        <f t="shared" si="220"/>
        <v>1.7763295669529591</v>
      </c>
      <c r="BF169" s="177">
        <f t="shared" si="221"/>
        <v>0.35526591339059183</v>
      </c>
      <c r="BG169" s="177"/>
      <c r="BH169" s="538">
        <f t="shared" si="222"/>
        <v>1.9187148586608985E-2</v>
      </c>
      <c r="BI169" s="538">
        <f t="shared" si="223"/>
        <v>0.10007546632416958</v>
      </c>
      <c r="BJ169" s="538">
        <f t="shared" si="224"/>
        <v>1.7499999999999998E-2</v>
      </c>
      <c r="BK169" s="538">
        <f t="shared" si="225"/>
        <v>8.9117405999999996E-2</v>
      </c>
      <c r="BL169">
        <f t="shared" si="226"/>
        <v>6.6699999999999997E-3</v>
      </c>
      <c r="BM169">
        <f t="shared" si="268"/>
        <v>6.3E-5</v>
      </c>
      <c r="BN169">
        <f t="shared" si="269"/>
        <v>0.23603887039605484</v>
      </c>
      <c r="BO169" s="469">
        <f t="shared" si="229"/>
        <v>232.55002091077858</v>
      </c>
      <c r="BP169" s="177">
        <f t="shared" si="230"/>
        <v>0.23599999999999999</v>
      </c>
      <c r="BQ169" s="177">
        <f t="shared" si="231"/>
        <v>4.7199999999999999E-2</v>
      </c>
      <c r="BR169" s="538"/>
      <c r="BT169" s="469">
        <f t="shared" si="232"/>
        <v>283.2</v>
      </c>
      <c r="BU169" s="538">
        <f t="shared" si="233"/>
        <v>1.7442862351462713E-2</v>
      </c>
      <c r="BV169" s="538">
        <f t="shared" si="234"/>
        <v>9.4660401912938619E-2</v>
      </c>
      <c r="BW169" s="538">
        <f t="shared" si="235"/>
        <v>6.3106934608625756E-3</v>
      </c>
      <c r="BX169" s="538">
        <f t="shared" si="236"/>
        <v>0</v>
      </c>
      <c r="BY169" s="538">
        <f t="shared" si="274"/>
        <v>0.1338920072512072</v>
      </c>
      <c r="BZ169" s="538">
        <f t="shared" si="250"/>
        <v>0.1184139577252639</v>
      </c>
      <c r="CA169" s="641">
        <f t="shared" si="270"/>
        <v>5.0571428571428573E-2</v>
      </c>
      <c r="CB169" s="469">
        <f t="shared" si="238"/>
        <v>421.29135127316363</v>
      </c>
      <c r="CC169" s="177">
        <f t="shared" si="251"/>
        <v>0.70370230621869068</v>
      </c>
      <c r="CD169" s="5">
        <f t="shared" si="239"/>
        <v>3.5399999999999996</v>
      </c>
      <c r="CE169" s="177">
        <f t="shared" si="240"/>
        <v>0.83417726894096922</v>
      </c>
      <c r="CF169" s="5">
        <f t="shared" si="241"/>
        <v>83.417726894096916</v>
      </c>
      <c r="CG169">
        <f t="shared" si="242"/>
        <v>59</v>
      </c>
      <c r="CI169" s="571">
        <f t="shared" si="271"/>
        <v>-50</v>
      </c>
      <c r="CJ169">
        <f t="shared" si="272"/>
        <v>-50</v>
      </c>
    </row>
    <row r="170" spans="5:88" x14ac:dyDescent="0.2">
      <c r="E170" s="174">
        <v>60</v>
      </c>
      <c r="F170" s="221">
        <f t="shared" si="273"/>
        <v>0.6</v>
      </c>
      <c r="G170" s="221">
        <f t="shared" si="252"/>
        <v>0.12</v>
      </c>
      <c r="H170" s="221">
        <f t="shared" si="253"/>
        <v>3</v>
      </c>
      <c r="I170" s="221">
        <f t="shared" si="254"/>
        <v>0.6</v>
      </c>
      <c r="J170" s="551">
        <f t="shared" si="186"/>
        <v>23</v>
      </c>
      <c r="K170" s="451">
        <f t="shared" si="187"/>
        <v>10.64</v>
      </c>
      <c r="L170" s="451">
        <f t="shared" si="188"/>
        <v>33.64</v>
      </c>
      <c r="M170" s="451"/>
      <c r="N170" s="221">
        <f t="shared" si="189"/>
        <v>0.31629013079667062</v>
      </c>
      <c r="O170" s="176">
        <f t="shared" si="255"/>
        <v>11.184809750297264</v>
      </c>
      <c r="P170" s="176">
        <f t="shared" si="256"/>
        <v>2.6843543400713439</v>
      </c>
      <c r="Q170" s="221">
        <f t="shared" si="192"/>
        <v>2.2369619500594529</v>
      </c>
      <c r="R170" s="221">
        <f t="shared" si="257"/>
        <v>2.2369619500594529</v>
      </c>
      <c r="S170" s="221">
        <f t="shared" si="258"/>
        <v>5</v>
      </c>
      <c r="T170" s="221">
        <f t="shared" si="259"/>
        <v>1.0997057862046422</v>
      </c>
      <c r="U170" s="221">
        <f t="shared" si="196"/>
        <v>0.33469306536663018</v>
      </c>
      <c r="V170" s="221">
        <f t="shared" si="197"/>
        <v>0.72349064881884351</v>
      </c>
      <c r="W170" s="201">
        <f t="shared" si="198"/>
        <v>350</v>
      </c>
      <c r="X170" s="451">
        <f t="shared" si="199"/>
        <v>350</v>
      </c>
      <c r="Z170" s="221">
        <f t="shared" si="200"/>
        <v>2.9692542891116021</v>
      </c>
      <c r="AA170" s="177">
        <f t="shared" si="201"/>
        <v>1.9534567691523697</v>
      </c>
      <c r="AB170" s="177">
        <f t="shared" si="260"/>
        <v>1.6917570513665985</v>
      </c>
      <c r="AC170" s="177"/>
      <c r="AD170" s="177">
        <f t="shared" si="203"/>
        <v>0.53947368421052622</v>
      </c>
      <c r="AE170" s="555">
        <f t="shared" si="261"/>
        <v>1356.3355145746582</v>
      </c>
      <c r="AF170" s="538">
        <f t="shared" si="262"/>
        <v>0.15482894736842101</v>
      </c>
      <c r="AH170" s="177">
        <f t="shared" si="263"/>
        <v>1.7142857142857142</v>
      </c>
      <c r="AI170" s="177">
        <f t="shared" si="264"/>
        <v>1.7142857142857142</v>
      </c>
      <c r="AJ170" s="177">
        <f t="shared" si="265"/>
        <v>1.8624338624338623</v>
      </c>
      <c r="AL170" s="555">
        <f t="shared" si="266"/>
        <v>600</v>
      </c>
      <c r="AM170" s="469">
        <f t="shared" si="267"/>
        <v>350</v>
      </c>
      <c r="AO170">
        <f t="shared" si="211"/>
        <v>600</v>
      </c>
      <c r="AP170">
        <f t="shared" si="212"/>
        <v>350</v>
      </c>
      <c r="AR170" s="5">
        <f t="shared" si="249"/>
        <v>2.8571428571428572</v>
      </c>
      <c r="AS170" s="5">
        <f t="shared" si="246"/>
        <v>0.52173913043478248</v>
      </c>
      <c r="AT170" s="5">
        <f t="shared" si="247"/>
        <v>2.3354037267080745</v>
      </c>
      <c r="AU170" s="177">
        <f t="shared" si="248"/>
        <v>0.18260869565217386</v>
      </c>
      <c r="AW170" s="5">
        <f t="shared" ref="AW170:AW210" si="275">F170*AS170/Vout_ripple*1000</f>
        <v>6.2608695652173898</v>
      </c>
      <c r="AX170" s="5"/>
      <c r="AY170" s="5">
        <f t="shared" ref="AY170:AY210" si="276">G170*AS170/Vout_ripple2*1000</f>
        <v>1.2521739130434777</v>
      </c>
      <c r="AZ170" s="5"/>
      <c r="BA170" s="5">
        <f t="shared" ref="BA170:BA210" si="277">H170/Efficiency/J170*AT170/Vinripple1</f>
        <v>0.28205359018213455</v>
      </c>
      <c r="BB170" s="5"/>
      <c r="BC170" s="5"/>
      <c r="BD170" s="177">
        <f t="shared" ref="BD170:BD210" si="278">AI170*SQRT(AU170/3)</f>
        <v>0.42294442611014471</v>
      </c>
      <c r="BE170" s="177">
        <f t="shared" ref="BE170:BE210" si="279">AI170*Npri_sec1*SQRT((1-AU170)/3)*(Pout/Pout_total)</f>
        <v>1.7896478415119037</v>
      </c>
      <c r="BF170" s="177">
        <f t="shared" ref="BF170:BF210" si="280">AI170*Npri_sec2*SQRT((1-AU170)/3)*(Pout2/Pout_total)</f>
        <v>0.35792956830238076</v>
      </c>
      <c r="BG170" s="177"/>
      <c r="BH170" s="538">
        <f t="shared" ref="BH170:BH210" si="281">Rdson*BD170^2</f>
        <v>1.967701863354036E-2</v>
      </c>
      <c r="BI170" s="538">
        <f t="shared" ref="BI170:BI210" si="282">0.5*L170*AI170*AM170*1000*Trise</f>
        <v>0.10092</v>
      </c>
      <c r="BJ170" s="538">
        <f t="shared" ref="BJ170:BJ210" si="283">Qg*Vdd*AM170*1000</f>
        <v>1.7499999999999998E-2</v>
      </c>
      <c r="BK170" s="538">
        <f t="shared" ref="BK170:BK210" si="284">0.5*(Coss+Csw)*L170^2*AM170*1000</f>
        <v>8.9117405999999996E-2</v>
      </c>
      <c r="BL170">
        <f t="shared" ref="BL170:BL210" si="285">J170*IQ</f>
        <v>6.6699999999999997E-3</v>
      </c>
      <c r="BM170">
        <f t="shared" si="268"/>
        <v>6.3E-5</v>
      </c>
      <c r="BN170">
        <f t="shared" si="269"/>
        <v>0.23746592078780612</v>
      </c>
      <c r="BO170" s="469">
        <f t="shared" ref="BO170:BO210" si="286">SUM(BH170:BL170)*1000</f>
        <v>233.88442463354036</v>
      </c>
      <c r="BP170" s="177">
        <f t="shared" ref="BP170:BP210" si="287">Vfwd2*F170</f>
        <v>0.24</v>
      </c>
      <c r="BQ170" s="177">
        <f t="shared" ref="BQ170:BQ210" si="288">Vfwd2*G170</f>
        <v>4.8000000000000001E-2</v>
      </c>
      <c r="BR170" s="538"/>
      <c r="BT170" s="469">
        <f t="shared" ref="BT170:BT210" si="289">SUM(BP170:BS170)*1000</f>
        <v>288</v>
      </c>
      <c r="BU170" s="538">
        <f t="shared" ref="BU170:BU210" si="290">Rdcr_pri*BD170^2</f>
        <v>1.7888198757763967E-2</v>
      </c>
      <c r="BV170" s="538">
        <f t="shared" ref="BV170:BV210" si="291">Rdcr_sec*BE170^2</f>
        <v>9.6085181898846475E-2</v>
      </c>
      <c r="BW170" s="538">
        <f t="shared" ref="BW170:BW210" si="292">Rdcr_sec2*BF170^2</f>
        <v>6.4056787932564325E-3</v>
      </c>
      <c r="BX170" s="538">
        <f t="shared" ref="BX170:BX210" si="293">AI170^2.5*AM170^2.5*k_core</f>
        <v>0</v>
      </c>
      <c r="BY170" s="538">
        <f t="shared" si="274"/>
        <v>0.13613557639538224</v>
      </c>
      <c r="BZ170" s="538">
        <f t="shared" si="250"/>
        <v>0.12037905944986688</v>
      </c>
      <c r="CA170" s="641">
        <f t="shared" si="270"/>
        <v>5.1428571428571421E-2</v>
      </c>
      <c r="CB170" s="469">
        <f t="shared" ref="CB170:CB192" si="294">SUM(BU170:CA170)*1000</f>
        <v>428.32226672368745</v>
      </c>
      <c r="CC170" s="177">
        <f t="shared" si="251"/>
        <v>0.71303006861175977</v>
      </c>
      <c r="CD170" s="5">
        <f t="shared" ref="CD170:CD192" si="295">MIN(H170+I170,O170+P170)</f>
        <v>3.6</v>
      </c>
      <c r="CE170" s="177">
        <f t="shared" ref="CE170:CE192" si="296">CD170/(CD170+CC170)</f>
        <v>0.83468001445182038</v>
      </c>
      <c r="CF170" s="5">
        <f t="shared" ref="CF170:CF192" si="297">CE170*100</f>
        <v>83.46800144518204</v>
      </c>
      <c r="CG170">
        <f t="shared" ref="CG170:CG192" si="298">F170/Iout*100</f>
        <v>60</v>
      </c>
      <c r="CI170" s="571">
        <f t="shared" si="271"/>
        <v>-50</v>
      </c>
      <c r="CJ170">
        <f t="shared" si="272"/>
        <v>-50</v>
      </c>
    </row>
    <row r="171" spans="5:88" x14ac:dyDescent="0.2">
      <c r="E171" s="174">
        <v>61</v>
      </c>
      <c r="F171" s="221">
        <f t="shared" si="273"/>
        <v>0.61</v>
      </c>
      <c r="G171" s="221">
        <f t="shared" si="252"/>
        <v>0.122</v>
      </c>
      <c r="H171" s="221">
        <f t="shared" si="253"/>
        <v>3.05</v>
      </c>
      <c r="I171" s="221">
        <f t="shared" si="254"/>
        <v>0.61</v>
      </c>
      <c r="J171" s="551">
        <f t="shared" si="186"/>
        <v>23</v>
      </c>
      <c r="K171" s="451">
        <f t="shared" si="187"/>
        <v>10.64</v>
      </c>
      <c r="L171" s="451">
        <f t="shared" si="188"/>
        <v>33.64</v>
      </c>
      <c r="M171" s="451"/>
      <c r="N171" s="221">
        <f t="shared" si="189"/>
        <v>0.31629013079667062</v>
      </c>
      <c r="O171" s="176">
        <f t="shared" si="255"/>
        <v>11.184809750297264</v>
      </c>
      <c r="P171" s="176">
        <f t="shared" si="256"/>
        <v>2.6843543400713439</v>
      </c>
      <c r="Q171" s="221">
        <f t="shared" si="192"/>
        <v>2.2369619500594529</v>
      </c>
      <c r="R171" s="221">
        <f t="shared" si="257"/>
        <v>2.2369619500594529</v>
      </c>
      <c r="S171" s="221">
        <f t="shared" si="258"/>
        <v>5</v>
      </c>
      <c r="T171" s="221">
        <f t="shared" si="259"/>
        <v>1.1180342159747194</v>
      </c>
      <c r="U171" s="221">
        <f t="shared" si="196"/>
        <v>0.34027128312274069</v>
      </c>
      <c r="V171" s="221">
        <f t="shared" si="197"/>
        <v>0.73554882629915752</v>
      </c>
      <c r="W171" s="201">
        <f t="shared" si="198"/>
        <v>350</v>
      </c>
      <c r="X171" s="451">
        <f t="shared" si="199"/>
        <v>350</v>
      </c>
      <c r="Z171" s="221">
        <f t="shared" si="200"/>
        <v>2.9692542891116021</v>
      </c>
      <c r="AA171" s="177">
        <f t="shared" si="201"/>
        <v>1.9534567691523697</v>
      </c>
      <c r="AB171" s="177">
        <f t="shared" si="260"/>
        <v>1.6917570513665985</v>
      </c>
      <c r="AC171" s="177"/>
      <c r="AD171" s="177">
        <f t="shared" si="203"/>
        <v>0.53947368421052622</v>
      </c>
      <c r="AE171" s="555">
        <f t="shared" si="261"/>
        <v>1378.9411064842357</v>
      </c>
      <c r="AF171" s="538">
        <f t="shared" si="262"/>
        <v>0.15482894736842101</v>
      </c>
      <c r="AH171" s="177">
        <f t="shared" si="263"/>
        <v>1.7285123956861912</v>
      </c>
      <c r="AI171" s="177">
        <f t="shared" si="264"/>
        <v>1.7285123956861912</v>
      </c>
      <c r="AJ171" s="177">
        <f t="shared" si="265"/>
        <v>1.8729721449527341</v>
      </c>
      <c r="AL171" s="555">
        <f t="shared" si="266"/>
        <v>610</v>
      </c>
      <c r="AM171" s="469">
        <f t="shared" si="267"/>
        <v>350</v>
      </c>
      <c r="AO171">
        <f t="shared" si="211"/>
        <v>610</v>
      </c>
      <c r="AP171">
        <f t="shared" si="212"/>
        <v>350</v>
      </c>
      <c r="AR171" s="5">
        <f t="shared" si="249"/>
        <v>2.8571428571428572</v>
      </c>
      <c r="AS171" s="5">
        <f t="shared" si="246"/>
        <v>0.52606898999144946</v>
      </c>
      <c r="AT171" s="5">
        <f t="shared" si="247"/>
        <v>2.3310738671514075</v>
      </c>
      <c r="AU171" s="177">
        <f t="shared" si="248"/>
        <v>0.18412414649700731</v>
      </c>
      <c r="AW171" s="5">
        <f t="shared" si="275"/>
        <v>6.4180416778956824</v>
      </c>
      <c r="AX171" s="5"/>
      <c r="AY171" s="5">
        <f t="shared" si="276"/>
        <v>1.2836083355791366</v>
      </c>
      <c r="AZ171" s="5"/>
      <c r="BA171" s="5">
        <f t="shared" si="277"/>
        <v>0.28622283795538611</v>
      </c>
      <c r="BB171" s="5"/>
      <c r="BC171" s="5"/>
      <c r="BD171" s="177">
        <f t="shared" si="278"/>
        <v>0.42822029303671272</v>
      </c>
      <c r="BE171" s="177">
        <f t="shared" si="279"/>
        <v>1.802826389842894</v>
      </c>
      <c r="BF171" s="177">
        <f t="shared" si="280"/>
        <v>0.36056527796857885</v>
      </c>
      <c r="BG171" s="177"/>
      <c r="BH171" s="538">
        <f t="shared" si="281"/>
        <v>2.0170988130529293E-2</v>
      </c>
      <c r="BI171" s="538">
        <f t="shared" si="282"/>
        <v>0.10175752473404608</v>
      </c>
      <c r="BJ171" s="538">
        <f t="shared" si="283"/>
        <v>1.7499999999999998E-2</v>
      </c>
      <c r="BK171" s="538">
        <f t="shared" si="284"/>
        <v>8.9117405999999996E-2</v>
      </c>
      <c r="BL171">
        <f t="shared" si="285"/>
        <v>6.6699999999999997E-3</v>
      </c>
      <c r="BM171">
        <f t="shared" si="268"/>
        <v>6.3E-5</v>
      </c>
      <c r="BN171">
        <f t="shared" si="269"/>
        <v>0.23889104659405175</v>
      </c>
      <c r="BO171" s="469">
        <f t="shared" si="286"/>
        <v>235.21591886457537</v>
      </c>
      <c r="BP171" s="177">
        <f t="shared" si="287"/>
        <v>0.24399999999999999</v>
      </c>
      <c r="BQ171" s="177">
        <f t="shared" si="288"/>
        <v>4.8800000000000003E-2</v>
      </c>
      <c r="BR171" s="538"/>
      <c r="BT171" s="469">
        <f t="shared" si="289"/>
        <v>292.8</v>
      </c>
      <c r="BU171" s="538">
        <f t="shared" si="290"/>
        <v>1.8337261936844814E-2</v>
      </c>
      <c r="BV171" s="538">
        <f t="shared" si="291"/>
        <v>9.7505489757418878E-2</v>
      </c>
      <c r="BW171" s="538">
        <f t="shared" si="292"/>
        <v>6.5003659838279272E-3</v>
      </c>
      <c r="BX171" s="538">
        <f t="shared" si="293"/>
        <v>0</v>
      </c>
      <c r="BY171" s="538">
        <f t="shared" si="274"/>
        <v>0.13837866599287896</v>
      </c>
      <c r="BZ171" s="538">
        <f t="shared" si="250"/>
        <v>0.12234311767809163</v>
      </c>
      <c r="CA171" s="641">
        <f t="shared" si="270"/>
        <v>5.228571428571429E-2</v>
      </c>
      <c r="CB171" s="469">
        <f t="shared" si="294"/>
        <v>435.35061563477649</v>
      </c>
      <c r="CC171" s="177">
        <f t="shared" si="251"/>
        <v>0.72235542687264498</v>
      </c>
      <c r="CD171" s="5">
        <f t="shared" si="295"/>
        <v>3.6599999999999997</v>
      </c>
      <c r="CE171" s="177">
        <f t="shared" si="296"/>
        <v>0.83516731152312418</v>
      </c>
      <c r="CF171" s="5">
        <f t="shared" si="297"/>
        <v>83.516731152312417</v>
      </c>
      <c r="CG171">
        <f t="shared" si="298"/>
        <v>61</v>
      </c>
      <c r="CI171" s="571">
        <f t="shared" si="271"/>
        <v>-50</v>
      </c>
      <c r="CJ171">
        <f t="shared" si="272"/>
        <v>-50</v>
      </c>
    </row>
    <row r="172" spans="5:88" x14ac:dyDescent="0.2">
      <c r="E172" s="174">
        <v>62</v>
      </c>
      <c r="F172" s="221">
        <f t="shared" si="273"/>
        <v>0.62</v>
      </c>
      <c r="G172" s="221">
        <f t="shared" si="252"/>
        <v>0.124</v>
      </c>
      <c r="H172" s="221">
        <f t="shared" si="253"/>
        <v>3.1</v>
      </c>
      <c r="I172" s="221">
        <f t="shared" si="254"/>
        <v>0.62</v>
      </c>
      <c r="J172" s="551">
        <f t="shared" si="186"/>
        <v>23</v>
      </c>
      <c r="K172" s="451">
        <f t="shared" si="187"/>
        <v>10.64</v>
      </c>
      <c r="L172" s="451">
        <f t="shared" si="188"/>
        <v>33.64</v>
      </c>
      <c r="M172" s="451"/>
      <c r="N172" s="221">
        <f t="shared" si="189"/>
        <v>0.31629013079667062</v>
      </c>
      <c r="O172" s="176">
        <f t="shared" si="255"/>
        <v>11.184809750297264</v>
      </c>
      <c r="P172" s="176">
        <f t="shared" si="256"/>
        <v>2.6843543400713439</v>
      </c>
      <c r="Q172" s="221">
        <f t="shared" si="192"/>
        <v>2.2369619500594529</v>
      </c>
      <c r="R172" s="221">
        <f t="shared" si="257"/>
        <v>2.2369619500594529</v>
      </c>
      <c r="S172" s="221">
        <f t="shared" si="258"/>
        <v>5</v>
      </c>
      <c r="T172" s="221">
        <f t="shared" si="259"/>
        <v>1.1363626457447968</v>
      </c>
      <c r="U172" s="221">
        <f t="shared" si="196"/>
        <v>0.34584950087885119</v>
      </c>
      <c r="V172" s="221">
        <f t="shared" si="197"/>
        <v>0.74760700377947154</v>
      </c>
      <c r="W172" s="201">
        <f t="shared" si="198"/>
        <v>350</v>
      </c>
      <c r="X172" s="451">
        <f t="shared" si="199"/>
        <v>350</v>
      </c>
      <c r="Z172" s="221">
        <f t="shared" si="200"/>
        <v>2.9692542891116021</v>
      </c>
      <c r="AA172" s="177">
        <f t="shared" si="201"/>
        <v>1.9534567691523697</v>
      </c>
      <c r="AB172" s="177">
        <f t="shared" si="260"/>
        <v>1.6917570513665985</v>
      </c>
      <c r="AC172" s="177"/>
      <c r="AD172" s="177">
        <f t="shared" si="203"/>
        <v>0.53947368421052622</v>
      </c>
      <c r="AE172" s="555">
        <f t="shared" si="261"/>
        <v>1401.5466983938134</v>
      </c>
      <c r="AF172" s="538">
        <f t="shared" si="262"/>
        <v>0.15482894736842101</v>
      </c>
      <c r="AH172" s="177">
        <f t="shared" si="263"/>
        <v>1.7426229350830751</v>
      </c>
      <c r="AI172" s="177">
        <f t="shared" si="264"/>
        <v>1.7426229350830751</v>
      </c>
      <c r="AJ172" s="177">
        <f t="shared" si="265"/>
        <v>1.8834243963578334</v>
      </c>
      <c r="AL172" s="555">
        <f t="shared" si="266"/>
        <v>620</v>
      </c>
      <c r="AM172" s="469">
        <f t="shared" si="267"/>
        <v>350</v>
      </c>
      <c r="AO172">
        <f t="shared" si="211"/>
        <v>620</v>
      </c>
      <c r="AP172">
        <f t="shared" si="212"/>
        <v>350</v>
      </c>
      <c r="AR172" s="5">
        <f t="shared" si="249"/>
        <v>2.8571428571428572</v>
      </c>
      <c r="AS172" s="5">
        <f t="shared" si="246"/>
        <v>0.53036350198180537</v>
      </c>
      <c r="AT172" s="5">
        <f t="shared" si="247"/>
        <v>2.3267793551610518</v>
      </c>
      <c r="AU172" s="177">
        <f t="shared" si="248"/>
        <v>0.18562722569363188</v>
      </c>
      <c r="AW172" s="5">
        <f t="shared" si="275"/>
        <v>6.5765074245743875</v>
      </c>
      <c r="AX172" s="5"/>
      <c r="AY172" s="5">
        <f t="shared" si="276"/>
        <v>1.3153014849148772</v>
      </c>
      <c r="AZ172" s="5"/>
      <c r="BA172" s="5">
        <f t="shared" si="277"/>
        <v>0.29037906606277214</v>
      </c>
      <c r="BB172" s="5"/>
      <c r="BC172" s="5"/>
      <c r="BD172" s="177">
        <f t="shared" si="278"/>
        <v>0.4334745807203656</v>
      </c>
      <c r="BE172" s="177">
        <f t="shared" si="279"/>
        <v>1.815868591972984</v>
      </c>
      <c r="BF172" s="177">
        <f t="shared" si="280"/>
        <v>0.36317371839459683</v>
      </c>
      <c r="BG172" s="177"/>
      <c r="BH172" s="538">
        <f t="shared" si="281"/>
        <v>2.0669023334376643E-2</v>
      </c>
      <c r="BI172" s="538">
        <f t="shared" si="282"/>
        <v>0.10258821218834063</v>
      </c>
      <c r="BJ172" s="538">
        <f t="shared" si="283"/>
        <v>1.7499999999999998E-2</v>
      </c>
      <c r="BK172" s="538">
        <f t="shared" si="284"/>
        <v>8.9117405999999996E-2</v>
      </c>
      <c r="BL172">
        <f t="shared" si="285"/>
        <v>6.6699999999999997E-3</v>
      </c>
      <c r="BM172">
        <f t="shared" si="268"/>
        <v>6.3E-5</v>
      </c>
      <c r="BN172">
        <f t="shared" si="269"/>
        <v>0.24031438290481572</v>
      </c>
      <c r="BO172" s="469">
        <f t="shared" si="286"/>
        <v>236.54464152271726</v>
      </c>
      <c r="BP172" s="177">
        <f t="shared" si="287"/>
        <v>0.248</v>
      </c>
      <c r="BQ172" s="177">
        <f t="shared" si="288"/>
        <v>4.9600000000000005E-2</v>
      </c>
      <c r="BR172" s="538"/>
      <c r="BT172" s="469">
        <f t="shared" si="289"/>
        <v>297.59999999999997</v>
      </c>
      <c r="BU172" s="538">
        <f t="shared" si="290"/>
        <v>1.8790021213069677E-2</v>
      </c>
      <c r="BV172" s="538">
        <f t="shared" si="291"/>
        <v>9.8921362299418419E-2</v>
      </c>
      <c r="BW172" s="538">
        <f t="shared" si="292"/>
        <v>6.5947574866278965E-3</v>
      </c>
      <c r="BX172" s="538">
        <f t="shared" si="293"/>
        <v>0</v>
      </c>
      <c r="BY172" s="538">
        <f t="shared" si="274"/>
        <v>0.14062128506208224</v>
      </c>
      <c r="BZ172" s="538">
        <f t="shared" si="250"/>
        <v>0.12430614099911599</v>
      </c>
      <c r="CA172" s="641">
        <f t="shared" si="270"/>
        <v>5.3142857142857151E-2</v>
      </c>
      <c r="CB172" s="469">
        <f t="shared" si="294"/>
        <v>442.37642420317138</v>
      </c>
      <c r="CC172" s="177">
        <f t="shared" si="251"/>
        <v>0.73167852510975517</v>
      </c>
      <c r="CD172" s="5">
        <f t="shared" si="295"/>
        <v>3.72</v>
      </c>
      <c r="CE172" s="177">
        <f t="shared" si="296"/>
        <v>0.83563985562238785</v>
      </c>
      <c r="CF172" s="5">
        <f t="shared" si="297"/>
        <v>83.563985562238784</v>
      </c>
      <c r="CG172">
        <f t="shared" si="298"/>
        <v>62</v>
      </c>
      <c r="CI172" s="571">
        <f t="shared" si="271"/>
        <v>-50</v>
      </c>
      <c r="CJ172">
        <f t="shared" si="272"/>
        <v>-50</v>
      </c>
    </row>
    <row r="173" spans="5:88" x14ac:dyDescent="0.2">
      <c r="E173" s="174">
        <v>63</v>
      </c>
      <c r="F173" s="221">
        <f t="shared" si="273"/>
        <v>0.63</v>
      </c>
      <c r="G173" s="221">
        <f t="shared" si="252"/>
        <v>0.126</v>
      </c>
      <c r="H173" s="221">
        <f t="shared" si="253"/>
        <v>3.15</v>
      </c>
      <c r="I173" s="221">
        <f t="shared" si="254"/>
        <v>0.63</v>
      </c>
      <c r="J173" s="551">
        <f t="shared" si="186"/>
        <v>23</v>
      </c>
      <c r="K173" s="451">
        <f t="shared" si="187"/>
        <v>10.64</v>
      </c>
      <c r="L173" s="451">
        <f t="shared" si="188"/>
        <v>33.64</v>
      </c>
      <c r="M173" s="451"/>
      <c r="N173" s="221">
        <f t="shared" si="189"/>
        <v>0.31629013079667062</v>
      </c>
      <c r="O173" s="176">
        <f t="shared" si="255"/>
        <v>11.184809750297264</v>
      </c>
      <c r="P173" s="176">
        <f t="shared" si="256"/>
        <v>2.6843543400713439</v>
      </c>
      <c r="Q173" s="221">
        <f t="shared" si="192"/>
        <v>2.2369619500594529</v>
      </c>
      <c r="R173" s="221">
        <f t="shared" si="257"/>
        <v>2.2369619500594529</v>
      </c>
      <c r="S173" s="221">
        <f t="shared" si="258"/>
        <v>5</v>
      </c>
      <c r="T173" s="221">
        <f t="shared" si="259"/>
        <v>1.154691075514874</v>
      </c>
      <c r="U173" s="221">
        <f t="shared" si="196"/>
        <v>0.35142771863496169</v>
      </c>
      <c r="V173" s="221">
        <f t="shared" si="197"/>
        <v>0.75966518125978555</v>
      </c>
      <c r="W173" s="201">
        <f t="shared" si="198"/>
        <v>350</v>
      </c>
      <c r="X173" s="451">
        <f t="shared" si="199"/>
        <v>350</v>
      </c>
      <c r="Z173" s="221">
        <f t="shared" si="200"/>
        <v>2.9692542891116021</v>
      </c>
      <c r="AA173" s="177">
        <f t="shared" si="201"/>
        <v>1.9534567691523697</v>
      </c>
      <c r="AB173" s="177">
        <f t="shared" si="260"/>
        <v>1.6917570513665985</v>
      </c>
      <c r="AC173" s="177"/>
      <c r="AD173" s="177">
        <f t="shared" si="203"/>
        <v>0.53947368421052622</v>
      </c>
      <c r="AE173" s="555">
        <f t="shared" si="261"/>
        <v>1424.1522903033913</v>
      </c>
      <c r="AF173" s="538">
        <f t="shared" si="262"/>
        <v>0.15482894736842101</v>
      </c>
      <c r="AH173" s="177">
        <f t="shared" si="263"/>
        <v>1.7566201313073597</v>
      </c>
      <c r="AI173" s="177">
        <f t="shared" si="264"/>
        <v>1.7566201313073597</v>
      </c>
      <c r="AJ173" s="177">
        <f t="shared" si="265"/>
        <v>1.8937926898573034</v>
      </c>
      <c r="AL173" s="555">
        <f t="shared" si="266"/>
        <v>630</v>
      </c>
      <c r="AM173" s="469">
        <f t="shared" si="267"/>
        <v>350</v>
      </c>
      <c r="AO173">
        <f t="shared" si="211"/>
        <v>630</v>
      </c>
      <c r="AP173">
        <f t="shared" si="212"/>
        <v>350</v>
      </c>
      <c r="AR173" s="5">
        <f t="shared" si="249"/>
        <v>2.8571428571428572</v>
      </c>
      <c r="AS173" s="5">
        <f t="shared" si="246"/>
        <v>0.53462351822397902</v>
      </c>
      <c r="AT173" s="5">
        <f t="shared" si="247"/>
        <v>2.3225193389188781</v>
      </c>
      <c r="AU173" s="177">
        <f t="shared" si="248"/>
        <v>0.18711823137839265</v>
      </c>
      <c r="AW173" s="5">
        <f t="shared" si="275"/>
        <v>6.7362563296221358</v>
      </c>
      <c r="AX173" s="5"/>
      <c r="AY173" s="5">
        <f t="shared" si="276"/>
        <v>1.3472512659244271</v>
      </c>
      <c r="AZ173" s="5"/>
      <c r="BA173" s="5">
        <f t="shared" si="277"/>
        <v>0.29452237993536495</v>
      </c>
      <c r="BB173" s="5"/>
      <c r="BC173" s="5"/>
      <c r="BD173" s="177">
        <f t="shared" si="278"/>
        <v>0.43870772338839947</v>
      </c>
      <c r="BE173" s="177">
        <f t="shared" si="279"/>
        <v>1.8287776923516932</v>
      </c>
      <c r="BF173" s="177">
        <f t="shared" si="280"/>
        <v>0.36575553847033865</v>
      </c>
      <c r="BG173" s="177"/>
      <c r="BH173" s="538">
        <f t="shared" si="281"/>
        <v>2.1171091321669569E-2</v>
      </c>
      <c r="BI173" s="538">
        <f t="shared" si="282"/>
        <v>0.10341222713006427</v>
      </c>
      <c r="BJ173" s="538">
        <f t="shared" si="283"/>
        <v>1.7499999999999998E-2</v>
      </c>
      <c r="BK173" s="538">
        <f t="shared" si="284"/>
        <v>8.9117405999999996E-2</v>
      </c>
      <c r="BL173">
        <f t="shared" si="285"/>
        <v>6.6699999999999997E-3</v>
      </c>
      <c r="BM173">
        <f t="shared" si="268"/>
        <v>6.3E-5</v>
      </c>
      <c r="BN173">
        <f t="shared" si="269"/>
        <v>0.24173605886499497</v>
      </c>
      <c r="BO173" s="469">
        <f t="shared" si="286"/>
        <v>237.87072445173385</v>
      </c>
      <c r="BP173" s="177">
        <f t="shared" si="287"/>
        <v>0.252</v>
      </c>
      <c r="BQ173" s="177">
        <f t="shared" si="288"/>
        <v>5.04E-2</v>
      </c>
      <c r="BR173" s="538"/>
      <c r="BT173" s="469">
        <f t="shared" si="289"/>
        <v>302.39999999999998</v>
      </c>
      <c r="BU173" s="538">
        <f t="shared" si="290"/>
        <v>1.9246446656063246E-2</v>
      </c>
      <c r="BV173" s="538">
        <f t="shared" si="291"/>
        <v>0.10033283544129552</v>
      </c>
      <c r="BW173" s="538">
        <f t="shared" si="292"/>
        <v>6.6888556960863687E-3</v>
      </c>
      <c r="BX173" s="538">
        <f t="shared" si="293"/>
        <v>0</v>
      </c>
      <c r="BY173" s="538">
        <f t="shared" si="274"/>
        <v>0.14286344239505736</v>
      </c>
      <c r="BZ173" s="538">
        <f t="shared" si="250"/>
        <v>0.12626813779344515</v>
      </c>
      <c r="CA173" s="641">
        <f t="shared" si="270"/>
        <v>5.4000000000000006E-2</v>
      </c>
      <c r="CB173" s="469">
        <f t="shared" si="294"/>
        <v>449.39971798194762</v>
      </c>
      <c r="CC173" s="177">
        <f t="shared" si="251"/>
        <v>0.74099950126005232</v>
      </c>
      <c r="CD173" s="5">
        <f t="shared" si="295"/>
        <v>3.78</v>
      </c>
      <c r="CE173" s="177">
        <f t="shared" si="296"/>
        <v>0.83609830059624479</v>
      </c>
      <c r="CF173" s="5">
        <f t="shared" si="297"/>
        <v>83.609830059624485</v>
      </c>
      <c r="CG173">
        <f t="shared" si="298"/>
        <v>63</v>
      </c>
      <c r="CI173" s="571">
        <f t="shared" si="271"/>
        <v>-50</v>
      </c>
      <c r="CJ173">
        <f t="shared" si="272"/>
        <v>-50</v>
      </c>
    </row>
    <row r="174" spans="5:88" x14ac:dyDescent="0.2">
      <c r="E174" s="174">
        <v>64</v>
      </c>
      <c r="F174" s="221">
        <f t="shared" si="273"/>
        <v>0.64</v>
      </c>
      <c r="G174" s="221">
        <f t="shared" ref="G174:G210" si="299">IF(PLOT_TYPE=1, E174/100*Iout2, min_I*EXP(Q174*rr/100))</f>
        <v>0.128</v>
      </c>
      <c r="H174" s="221">
        <f t="shared" ref="H174:H210" si="300">F174*Vout</f>
        <v>3.2</v>
      </c>
      <c r="I174" s="221">
        <f t="shared" ref="I174:I210" si="301">Vout2*G174</f>
        <v>0.64</v>
      </c>
      <c r="J174" s="551">
        <f t="shared" ref="J174:J210" si="302">VIN_min</f>
        <v>23</v>
      </c>
      <c r="K174" s="451">
        <f t="shared" ref="K174:K210" si="303">(S174+Vfwd1)*Nps</f>
        <v>10.64</v>
      </c>
      <c r="L174" s="451">
        <f t="shared" ref="L174:L210" si="304">(Vout+Vfwd1)*Nps+J174</f>
        <v>33.64</v>
      </c>
      <c r="M174" s="451"/>
      <c r="N174" s="221">
        <f t="shared" ref="N174:N210" si="305">(Vout+Vfwd1)*Nps/((Vout+Vfwd1)*Nps+J174)</f>
        <v>0.31629013079667062</v>
      </c>
      <c r="O174" s="176">
        <f t="shared" ref="O174:O205" si="306">N174*J174*Isw_max*0.5*Efficiency*Pout/(Pout+Pout2)</f>
        <v>11.184809750297264</v>
      </c>
      <c r="P174" s="176">
        <f t="shared" ref="P174:P210" si="307">N174*J174*Isw_max*0.5*Efficiency*(Pout2/Pout_total)</f>
        <v>2.6843543400713439</v>
      </c>
      <c r="Q174" s="221">
        <f t="shared" ref="Q174:Q210" si="308">O174/Vout</f>
        <v>2.2369619500594529</v>
      </c>
      <c r="R174" s="221">
        <f t="shared" ref="R174:R210" si="309">O174/Vout2</f>
        <v>2.2369619500594529</v>
      </c>
      <c r="S174" s="221">
        <f t="shared" ref="S174:S210" si="310">MIN(Vout,O174/F174)</f>
        <v>5</v>
      </c>
      <c r="T174" s="221">
        <f t="shared" ref="T174:T210" si="311">MIN(2*(Vout*F174+Vout2*G174)/(Efficiency*J174*N174), Isw_max)</f>
        <v>1.1730195052849517</v>
      </c>
      <c r="U174" s="221">
        <f t="shared" ref="U174:U210" si="312">L*T174/J174*1000000</f>
        <v>0.35700593639107225</v>
      </c>
      <c r="V174" s="221">
        <f t="shared" ref="V174:V210" si="313">L*T174/K174*1000000</f>
        <v>0.77172335874009979</v>
      </c>
      <c r="W174" s="201">
        <f t="shared" ref="W174:W210" si="314">IF(1/((350000*L)*(1/J174+1/K174))&gt;Isw_min, 350, 0.001/((Isw_min*L)*(1/J174+1/K174)))</f>
        <v>350</v>
      </c>
      <c r="X174" s="451">
        <f t="shared" ref="X174:X210" si="315">MIN(1/(U174+V174)*1000, 350)</f>
        <v>350</v>
      </c>
      <c r="Z174" s="221">
        <f t="shared" ref="Z174:Z210" si="316">1/((W174*1000*L)*(1/J174+1/K174))</f>
        <v>2.9692542891116021</v>
      </c>
      <c r="AA174" s="177">
        <f t="shared" ref="AA174:AA210" si="317">L*Z174/K174*1000000</f>
        <v>1.9534567691523697</v>
      </c>
      <c r="AB174" s="177">
        <f t="shared" ref="AB174:AB205" si="318">0.5*AA174*Z174*Nps*W174/1000*(Pout/(Pout+Pout2))</f>
        <v>1.6917570513665985</v>
      </c>
      <c r="AC174" s="177"/>
      <c r="AD174" s="177">
        <f t="shared" ref="AD174:AD210" si="319">L*Isw_min/K174*1000000</f>
        <v>0.53947368421052622</v>
      </c>
      <c r="AE174" s="555">
        <f t="shared" ref="AE174:AE205" si="320">MAX(10, F174/(0.5*AD174/1000000*Isw_min*Nps)/1000*Pout_total/Pout)</f>
        <v>1446.7578822129688</v>
      </c>
      <c r="AF174" s="538">
        <f t="shared" ref="AF174:AF210" si="321">0.5*AD174/1000000*Isw_min*Nps*W174*1000*(Pout/Pout_total)</f>
        <v>0.15482894736842101</v>
      </c>
      <c r="AH174" s="177">
        <f t="shared" ref="AH174:AH210" si="322">SQRT((H174+I174)/(0.5*L*Fsw_DCM))</f>
        <v>1.770506672551962</v>
      </c>
      <c r="AI174" s="177">
        <f t="shared" ref="AI174:AI205" si="323">MAX(IF(F174&gt;AB174,T174,AH174),Isw_min)</f>
        <v>1.770506672551962</v>
      </c>
      <c r="AJ174" s="177">
        <f t="shared" ref="AJ174:AJ205" si="324">IF(F174&gt;AF174, (AI174-Isw_min)/1.08*0.8+1.2, AE174*0.2/350+1)</f>
        <v>1.9040790167051571</v>
      </c>
      <c r="AL174" s="555">
        <f t="shared" ref="AL174:AL210" si="325">F174*1000</f>
        <v>640</v>
      </c>
      <c r="AM174" s="469">
        <f t="shared" ref="AM174:AM210" si="326">IF(F174&gt;AF174, X174, AE174)</f>
        <v>350</v>
      </c>
      <c r="AO174">
        <f t="shared" ref="AO174:AO210" si="327">IF(H174&gt;O174, "",AL174)</f>
        <v>640</v>
      </c>
      <c r="AP174">
        <f t="shared" ref="AP174:AP210" si="328">IF(H174&gt;O174, "",AM174)</f>
        <v>350</v>
      </c>
      <c r="AR174" s="5">
        <f t="shared" si="249"/>
        <v>2.8571428571428572</v>
      </c>
      <c r="AS174" s="5">
        <f t="shared" si="246"/>
        <v>0.53884985686364062</v>
      </c>
      <c r="AT174" s="5">
        <f t="shared" si="247"/>
        <v>2.3182930002792164</v>
      </c>
      <c r="AU174" s="177">
        <f t="shared" si="248"/>
        <v>0.1885974499022742</v>
      </c>
      <c r="AW174" s="5">
        <f t="shared" si="275"/>
        <v>6.8972781678546005</v>
      </c>
      <c r="AX174" s="5"/>
      <c r="AY174" s="5">
        <f t="shared" si="276"/>
        <v>1.3794556335709198</v>
      </c>
      <c r="AZ174" s="5"/>
      <c r="BA174" s="5">
        <f t="shared" si="277"/>
        <v>0.29865288248363497</v>
      </c>
      <c r="BB174" s="5"/>
      <c r="BC174" s="5"/>
      <c r="BD174" s="177">
        <f t="shared" si="278"/>
        <v>0.44392013978882666</v>
      </c>
      <c r="BE174" s="177">
        <f t="shared" si="279"/>
        <v>1.8415568073491972</v>
      </c>
      <c r="BF174" s="177">
        <f t="shared" si="280"/>
        <v>0.36831136146983945</v>
      </c>
      <c r="BG174" s="177"/>
      <c r="BH174" s="538">
        <f t="shared" si="281"/>
        <v>2.1677159956114456E-2</v>
      </c>
      <c r="BI174" s="538">
        <f t="shared" si="282"/>
        <v>0.10422972781313398</v>
      </c>
      <c r="BJ174" s="538">
        <f t="shared" si="283"/>
        <v>1.7499999999999998E-2</v>
      </c>
      <c r="BK174" s="538">
        <f t="shared" si="284"/>
        <v>8.9117405999999996E-2</v>
      </c>
      <c r="BL174">
        <f t="shared" si="285"/>
        <v>6.6699999999999997E-3</v>
      </c>
      <c r="BM174">
        <f t="shared" ref="BM174:BM210" si="329">(J174-Vdd)*Qg*AM174</f>
        <v>6.3E-5</v>
      </c>
      <c r="BN174">
        <f t="shared" ref="BN174:BN205" si="330">(BI174+BJ174+BK174+BL174+BM174+BH174*(1+RdsonTC*(Ta-25)))/(1-BH174*RdsonTC*ThetaJA)</f>
        <v>0.2431561980181953</v>
      </c>
      <c r="BO174" s="469">
        <f t="shared" si="286"/>
        <v>239.19429376924845</v>
      </c>
      <c r="BP174" s="177">
        <f t="shared" si="287"/>
        <v>0.25600000000000001</v>
      </c>
      <c r="BQ174" s="177">
        <f t="shared" si="288"/>
        <v>5.1200000000000002E-2</v>
      </c>
      <c r="BR174" s="538"/>
      <c r="BT174" s="469">
        <f t="shared" si="289"/>
        <v>307.20000000000005</v>
      </c>
      <c r="BU174" s="538">
        <f t="shared" si="290"/>
        <v>1.9706509051013142E-2</v>
      </c>
      <c r="BV174" s="538">
        <f t="shared" si="291"/>
        <v>0.10173994424082505</v>
      </c>
      <c r="BW174" s="538">
        <f t="shared" si="292"/>
        <v>6.7826629493883371E-3</v>
      </c>
      <c r="BX174" s="538">
        <f t="shared" si="293"/>
        <v>0</v>
      </c>
      <c r="BY174" s="538">
        <f t="shared" si="274"/>
        <v>0.14510514656667764</v>
      </c>
      <c r="BZ174" s="538">
        <f t="shared" si="250"/>
        <v>0.12822911624122654</v>
      </c>
      <c r="CA174" s="641">
        <f t="shared" ref="CA174:CA210" si="331">0.5*Lleak*0.000000001*AI174^2*AM174*1000</f>
        <v>5.4857142857142861E-2</v>
      </c>
      <c r="CB174" s="469">
        <f t="shared" si="294"/>
        <v>456.42052190627362</v>
      </c>
      <c r="CC174" s="177">
        <f t="shared" si="251"/>
        <v>0.75031848744201579</v>
      </c>
      <c r="CD174" s="5">
        <f t="shared" si="295"/>
        <v>3.8400000000000003</v>
      </c>
      <c r="CE174" s="177">
        <f t="shared" si="296"/>
        <v>0.83654326175957006</v>
      </c>
      <c r="CF174" s="5">
        <f t="shared" si="297"/>
        <v>83.65432617595701</v>
      </c>
      <c r="CG174">
        <f t="shared" si="298"/>
        <v>64</v>
      </c>
      <c r="CI174" s="571">
        <f t="shared" ref="CI174:CI210" si="332">IF(ABS(F174-Ioutmax_Vinmin)&lt;Iout/200, AM174, -50)</f>
        <v>-50</v>
      </c>
      <c r="CJ174">
        <f t="shared" ref="CJ174:CJ210" si="333">IF(ABS(F174-Ioutmax_Vinmin)&lt;Iout/200, (O174+P174)*CE174, -50)</f>
        <v>-50</v>
      </c>
    </row>
    <row r="175" spans="5:88" x14ac:dyDescent="0.2">
      <c r="E175" s="174">
        <v>65</v>
      </c>
      <c r="F175" s="221">
        <f t="shared" ref="F175:F206" si="334">IF(PLOT_TYPE=1, E175/100*Iout_max, min_I*EXP(O175*rr/100))</f>
        <v>0.65</v>
      </c>
      <c r="G175" s="221">
        <f t="shared" si="299"/>
        <v>0.13</v>
      </c>
      <c r="H175" s="221">
        <f t="shared" si="300"/>
        <v>3.25</v>
      </c>
      <c r="I175" s="221">
        <f t="shared" si="301"/>
        <v>0.65</v>
      </c>
      <c r="J175" s="551">
        <f t="shared" si="302"/>
        <v>23</v>
      </c>
      <c r="K175" s="451">
        <f t="shared" si="303"/>
        <v>10.64</v>
      </c>
      <c r="L175" s="451">
        <f t="shared" si="304"/>
        <v>33.64</v>
      </c>
      <c r="M175" s="451"/>
      <c r="N175" s="221">
        <f t="shared" si="305"/>
        <v>0.31629013079667062</v>
      </c>
      <c r="O175" s="176">
        <f t="shared" si="306"/>
        <v>11.184809750297264</v>
      </c>
      <c r="P175" s="176">
        <f t="shared" si="307"/>
        <v>2.6843543400713439</v>
      </c>
      <c r="Q175" s="221">
        <f t="shared" si="308"/>
        <v>2.2369619500594529</v>
      </c>
      <c r="R175" s="221">
        <f t="shared" si="309"/>
        <v>2.2369619500594529</v>
      </c>
      <c r="S175" s="221">
        <f t="shared" si="310"/>
        <v>5</v>
      </c>
      <c r="T175" s="221">
        <f t="shared" si="311"/>
        <v>1.1913479350550289</v>
      </c>
      <c r="U175" s="221">
        <f t="shared" si="312"/>
        <v>0.36258415414718265</v>
      </c>
      <c r="V175" s="221">
        <f t="shared" si="313"/>
        <v>0.78378153622041358</v>
      </c>
      <c r="W175" s="201">
        <f t="shared" si="314"/>
        <v>350</v>
      </c>
      <c r="X175" s="451">
        <f t="shared" si="315"/>
        <v>350</v>
      </c>
      <c r="Z175" s="221">
        <f t="shared" si="316"/>
        <v>2.9692542891116021</v>
      </c>
      <c r="AA175" s="177">
        <f t="shared" si="317"/>
        <v>1.9534567691523697</v>
      </c>
      <c r="AB175" s="177">
        <f t="shared" si="318"/>
        <v>1.6917570513665985</v>
      </c>
      <c r="AC175" s="177"/>
      <c r="AD175" s="177">
        <f t="shared" si="319"/>
        <v>0.53947368421052622</v>
      </c>
      <c r="AE175" s="555">
        <f t="shared" si="320"/>
        <v>1469.3634741225464</v>
      </c>
      <c r="AF175" s="538">
        <f t="shared" si="321"/>
        <v>0.15482894736842101</v>
      </c>
      <c r="AH175" s="177">
        <f t="shared" si="322"/>
        <v>1.7842851423995423</v>
      </c>
      <c r="AI175" s="177">
        <f t="shared" si="323"/>
        <v>1.7842851423995423</v>
      </c>
      <c r="AJ175" s="177">
        <f t="shared" si="324"/>
        <v>1.9142852906663277</v>
      </c>
      <c r="AL175" s="555">
        <f t="shared" si="325"/>
        <v>650</v>
      </c>
      <c r="AM175" s="469">
        <f t="shared" si="326"/>
        <v>350</v>
      </c>
      <c r="AO175">
        <f t="shared" si="327"/>
        <v>650</v>
      </c>
      <c r="AP175">
        <f t="shared" si="328"/>
        <v>350</v>
      </c>
      <c r="AR175" s="5">
        <f t="shared" si="249"/>
        <v>2.8571428571428572</v>
      </c>
      <c r="AS175" s="5">
        <f t="shared" si="246"/>
        <v>0.54304330420855629</v>
      </c>
      <c r="AT175" s="5">
        <f t="shared" si="247"/>
        <v>2.3140995529343007</v>
      </c>
      <c r="AU175" s="177">
        <f t="shared" si="248"/>
        <v>0.19006515647299468</v>
      </c>
      <c r="AW175" s="5">
        <f t="shared" si="275"/>
        <v>7.0595629547112315</v>
      </c>
      <c r="AX175" s="5"/>
      <c r="AY175" s="5">
        <f t="shared" si="276"/>
        <v>1.4119125909422465</v>
      </c>
      <c r="AZ175" s="5"/>
      <c r="BA175" s="5">
        <f t="shared" si="277"/>
        <v>0.30277067419631548</v>
      </c>
      <c r="BB175" s="5"/>
      <c r="BC175" s="5"/>
      <c r="BD175" s="177">
        <f t="shared" si="278"/>
        <v>0.44911223397502226</v>
      </c>
      <c r="BE175" s="177">
        <f t="shared" si="279"/>
        <v>1.8542089322294648</v>
      </c>
      <c r="BF175" s="177">
        <f t="shared" si="280"/>
        <v>0.370841786445893</v>
      </c>
      <c r="BG175" s="177"/>
      <c r="BH175" s="538">
        <f t="shared" si="281"/>
        <v>2.2187197857663866E-2</v>
      </c>
      <c r="BI175" s="538">
        <f t="shared" si="282"/>
        <v>0.10504086633306106</v>
      </c>
      <c r="BJ175" s="538">
        <f t="shared" si="283"/>
        <v>1.7499999999999998E-2</v>
      </c>
      <c r="BK175" s="538">
        <f t="shared" si="284"/>
        <v>8.9117405999999996E-2</v>
      </c>
      <c r="BL175">
        <f t="shared" si="285"/>
        <v>6.6699999999999997E-3</v>
      </c>
      <c r="BM175">
        <f t="shared" si="329"/>
        <v>6.3E-5</v>
      </c>
      <c r="BN175">
        <f t="shared" si="330"/>
        <v>0.24457491862591069</v>
      </c>
      <c r="BO175" s="469">
        <f t="shared" si="286"/>
        <v>240.51547019072495</v>
      </c>
      <c r="BP175" s="177">
        <f t="shared" si="287"/>
        <v>0.26</v>
      </c>
      <c r="BQ175" s="177">
        <f t="shared" si="288"/>
        <v>5.2000000000000005E-2</v>
      </c>
      <c r="BR175" s="538"/>
      <c r="BT175" s="469">
        <f t="shared" si="289"/>
        <v>312</v>
      </c>
      <c r="BU175" s="538">
        <f t="shared" si="290"/>
        <v>2.0170179870603516E-2</v>
      </c>
      <c r="BV175" s="538">
        <f t="shared" si="291"/>
        <v>0.10314272293078595</v>
      </c>
      <c r="BW175" s="538">
        <f t="shared" si="292"/>
        <v>6.8761815287190654E-3</v>
      </c>
      <c r="BX175" s="538">
        <f t="shared" si="293"/>
        <v>0</v>
      </c>
      <c r="BY175" s="538">
        <f t="shared" si="274"/>
        <v>0.14734640594324827</v>
      </c>
      <c r="BZ175" s="538">
        <f t="shared" si="250"/>
        <v>0.13018908433010853</v>
      </c>
      <c r="CA175" s="641">
        <f t="shared" si="331"/>
        <v>5.5714285714285716E-2</v>
      </c>
      <c r="CB175" s="469">
        <f t="shared" si="294"/>
        <v>463.43886031775105</v>
      </c>
      <c r="CC175" s="177">
        <f t="shared" si="251"/>
        <v>0.75963561028344484</v>
      </c>
      <c r="CD175" s="5">
        <f t="shared" si="295"/>
        <v>3.9</v>
      </c>
      <c r="CE175" s="177">
        <f t="shared" si="296"/>
        <v>0.83697531871226372</v>
      </c>
      <c r="CF175" s="5">
        <f t="shared" si="297"/>
        <v>83.697531871226374</v>
      </c>
      <c r="CG175">
        <f t="shared" si="298"/>
        <v>65</v>
      </c>
      <c r="CI175" s="571">
        <f t="shared" si="332"/>
        <v>-50</v>
      </c>
      <c r="CJ175">
        <f t="shared" si="333"/>
        <v>-50</v>
      </c>
    </row>
    <row r="176" spans="5:88" x14ac:dyDescent="0.2">
      <c r="E176" s="174">
        <v>66</v>
      </c>
      <c r="F176" s="221">
        <f t="shared" si="334"/>
        <v>0.66</v>
      </c>
      <c r="G176" s="221">
        <f t="shared" si="299"/>
        <v>0.13200000000000001</v>
      </c>
      <c r="H176" s="221">
        <f t="shared" si="300"/>
        <v>3.3000000000000003</v>
      </c>
      <c r="I176" s="221">
        <f t="shared" si="301"/>
        <v>0.66</v>
      </c>
      <c r="J176" s="551">
        <f t="shared" si="302"/>
        <v>23</v>
      </c>
      <c r="K176" s="451">
        <f t="shared" si="303"/>
        <v>10.64</v>
      </c>
      <c r="L176" s="451">
        <f t="shared" si="304"/>
        <v>33.64</v>
      </c>
      <c r="M176" s="451"/>
      <c r="N176" s="221">
        <f t="shared" si="305"/>
        <v>0.31629013079667062</v>
      </c>
      <c r="O176" s="176">
        <f t="shared" si="306"/>
        <v>11.184809750297264</v>
      </c>
      <c r="P176" s="176">
        <f t="shared" si="307"/>
        <v>2.6843543400713439</v>
      </c>
      <c r="Q176" s="221">
        <f t="shared" si="308"/>
        <v>2.2369619500594529</v>
      </c>
      <c r="R176" s="221">
        <f t="shared" si="309"/>
        <v>2.2369619500594529</v>
      </c>
      <c r="S176" s="221">
        <f t="shared" si="310"/>
        <v>5</v>
      </c>
      <c r="T176" s="221">
        <f t="shared" si="311"/>
        <v>1.2096763648251065</v>
      </c>
      <c r="U176" s="221">
        <f t="shared" si="312"/>
        <v>0.36816237190329332</v>
      </c>
      <c r="V176" s="221">
        <f t="shared" si="313"/>
        <v>0.79583971370072804</v>
      </c>
      <c r="W176" s="201">
        <f t="shared" si="314"/>
        <v>350</v>
      </c>
      <c r="X176" s="451">
        <f t="shared" si="315"/>
        <v>350</v>
      </c>
      <c r="Z176" s="221">
        <f t="shared" si="316"/>
        <v>2.9692542891116021</v>
      </c>
      <c r="AA176" s="177">
        <f t="shared" si="317"/>
        <v>1.9534567691523697</v>
      </c>
      <c r="AB176" s="177">
        <f t="shared" si="318"/>
        <v>1.6917570513665985</v>
      </c>
      <c r="AC176" s="177"/>
      <c r="AD176" s="177">
        <f t="shared" si="319"/>
        <v>0.53947368421052622</v>
      </c>
      <c r="AE176" s="555">
        <f t="shared" si="320"/>
        <v>1491.9690660321239</v>
      </c>
      <c r="AF176" s="538">
        <f t="shared" si="321"/>
        <v>0.15482894736842101</v>
      </c>
      <c r="AH176" s="177">
        <f t="shared" si="322"/>
        <v>1.7979580254345455</v>
      </c>
      <c r="AI176" s="177">
        <f t="shared" si="323"/>
        <v>1.7979580254345455</v>
      </c>
      <c r="AJ176" s="177">
        <f t="shared" si="324"/>
        <v>1.9244133521737374</v>
      </c>
      <c r="AL176" s="555">
        <f t="shared" si="325"/>
        <v>660</v>
      </c>
      <c r="AM176" s="469">
        <f t="shared" si="326"/>
        <v>350</v>
      </c>
      <c r="AO176">
        <f t="shared" si="327"/>
        <v>660</v>
      </c>
      <c r="AP176">
        <f t="shared" si="328"/>
        <v>350</v>
      </c>
      <c r="AR176" s="5">
        <f t="shared" si="249"/>
        <v>2.8571428571428572</v>
      </c>
      <c r="AS176" s="5">
        <f t="shared" si="246"/>
        <v>0.54720461643660079</v>
      </c>
      <c r="AT176" s="5">
        <f t="shared" si="247"/>
        <v>2.3099382407062565</v>
      </c>
      <c r="AU176" s="177">
        <f t="shared" si="248"/>
        <v>0.19152161575281026</v>
      </c>
      <c r="AW176" s="5">
        <f t="shared" si="275"/>
        <v>7.2231009369631307</v>
      </c>
      <c r="AX176" s="5"/>
      <c r="AY176" s="5">
        <f t="shared" si="276"/>
        <v>1.4446201873926261</v>
      </c>
      <c r="AZ176" s="5"/>
      <c r="BA176" s="5">
        <f t="shared" si="277"/>
        <v>0.30687585323392291</v>
      </c>
      <c r="BB176" s="5"/>
      <c r="BC176" s="5"/>
      <c r="BD176" s="177">
        <f t="shared" si="278"/>
        <v>0.4542843960391561</v>
      </c>
      <c r="BE176" s="177">
        <f t="shared" si="279"/>
        <v>1.8667369476425997</v>
      </c>
      <c r="BF176" s="177">
        <f t="shared" si="280"/>
        <v>0.37334738952851998</v>
      </c>
      <c r="BG176" s="177"/>
      <c r="BH176" s="538">
        <f t="shared" si="281"/>
        <v>2.2701174373312691E-2</v>
      </c>
      <c r="BI176" s="538">
        <f t="shared" si="282"/>
        <v>0.10584578895733171</v>
      </c>
      <c r="BJ176" s="538">
        <f t="shared" si="283"/>
        <v>1.7499999999999998E-2</v>
      </c>
      <c r="BK176" s="538">
        <f t="shared" si="284"/>
        <v>8.9117405999999996E-2</v>
      </c>
      <c r="BL176">
        <f t="shared" si="285"/>
        <v>6.6699999999999997E-3</v>
      </c>
      <c r="BM176">
        <f t="shared" si="329"/>
        <v>6.3E-5</v>
      </c>
      <c r="BN176">
        <f t="shared" si="330"/>
        <v>0.24599233396415413</v>
      </c>
      <c r="BO176" s="469">
        <f t="shared" si="286"/>
        <v>241.83436933064439</v>
      </c>
      <c r="BP176" s="177">
        <f t="shared" si="287"/>
        <v>0.26400000000000001</v>
      </c>
      <c r="BQ176" s="177">
        <f t="shared" si="288"/>
        <v>5.2800000000000007E-2</v>
      </c>
      <c r="BR176" s="538"/>
      <c r="BT176" s="469">
        <f t="shared" si="289"/>
        <v>316.8</v>
      </c>
      <c r="BU176" s="538">
        <f t="shared" si="290"/>
        <v>2.0637431248466082E-2</v>
      </c>
      <c r="BV176" s="538">
        <f t="shared" si="291"/>
        <v>0.10454120495082028</v>
      </c>
      <c r="BW176" s="538">
        <f t="shared" si="292"/>
        <v>6.9694136633880223E-3</v>
      </c>
      <c r="BX176" s="538">
        <f t="shared" si="293"/>
        <v>0</v>
      </c>
      <c r="BY176" s="538">
        <f t="shared" si="274"/>
        <v>0.14958722869066199</v>
      </c>
      <c r="BZ176" s="538">
        <f t="shared" si="250"/>
        <v>0.13214804986267439</v>
      </c>
      <c r="CA176" s="641">
        <f t="shared" si="331"/>
        <v>5.6571428571428578E-2</v>
      </c>
      <c r="CB176" s="469">
        <f t="shared" si="294"/>
        <v>470.45475698743934</v>
      </c>
      <c r="CC176" s="177">
        <f t="shared" si="251"/>
        <v>0.76895099122624466</v>
      </c>
      <c r="CD176" s="5">
        <f t="shared" si="295"/>
        <v>3.9600000000000004</v>
      </c>
      <c r="CE176" s="177">
        <f t="shared" si="296"/>
        <v>0.83739501791139281</v>
      </c>
      <c r="CF176" s="5">
        <f t="shared" si="297"/>
        <v>83.739501791139276</v>
      </c>
      <c r="CG176">
        <f t="shared" si="298"/>
        <v>66</v>
      </c>
      <c r="CI176" s="571">
        <f t="shared" si="332"/>
        <v>-50</v>
      </c>
      <c r="CJ176">
        <f t="shared" si="333"/>
        <v>-50</v>
      </c>
    </row>
    <row r="177" spans="5:88" x14ac:dyDescent="0.2">
      <c r="E177" s="174">
        <v>67</v>
      </c>
      <c r="F177" s="221">
        <f t="shared" si="334"/>
        <v>0.67</v>
      </c>
      <c r="G177" s="221">
        <f t="shared" si="299"/>
        <v>0.13400000000000001</v>
      </c>
      <c r="H177" s="221">
        <f t="shared" si="300"/>
        <v>3.35</v>
      </c>
      <c r="I177" s="221">
        <f t="shared" si="301"/>
        <v>0.67</v>
      </c>
      <c r="J177" s="551">
        <f t="shared" si="302"/>
        <v>23</v>
      </c>
      <c r="K177" s="451">
        <f t="shared" si="303"/>
        <v>10.64</v>
      </c>
      <c r="L177" s="451">
        <f t="shared" si="304"/>
        <v>33.64</v>
      </c>
      <c r="M177" s="451"/>
      <c r="N177" s="221">
        <f t="shared" si="305"/>
        <v>0.31629013079667062</v>
      </c>
      <c r="O177" s="176">
        <f t="shared" si="306"/>
        <v>11.184809750297264</v>
      </c>
      <c r="P177" s="176">
        <f t="shared" si="307"/>
        <v>2.6843543400713439</v>
      </c>
      <c r="Q177" s="221">
        <f t="shared" si="308"/>
        <v>2.2369619500594529</v>
      </c>
      <c r="R177" s="221">
        <f t="shared" si="309"/>
        <v>2.2369619500594529</v>
      </c>
      <c r="S177" s="221">
        <f t="shared" si="310"/>
        <v>5</v>
      </c>
      <c r="T177" s="221">
        <f t="shared" si="311"/>
        <v>1.2280047945951837</v>
      </c>
      <c r="U177" s="221">
        <f t="shared" si="312"/>
        <v>0.37374058965940377</v>
      </c>
      <c r="V177" s="221">
        <f t="shared" si="313"/>
        <v>0.80789789118104183</v>
      </c>
      <c r="W177" s="201">
        <f t="shared" si="314"/>
        <v>350</v>
      </c>
      <c r="X177" s="451">
        <f t="shared" si="315"/>
        <v>350</v>
      </c>
      <c r="Z177" s="221">
        <f t="shared" si="316"/>
        <v>2.9692542891116021</v>
      </c>
      <c r="AA177" s="177">
        <f t="shared" si="317"/>
        <v>1.9534567691523697</v>
      </c>
      <c r="AB177" s="177">
        <f t="shared" si="318"/>
        <v>1.6917570513665985</v>
      </c>
      <c r="AC177" s="177"/>
      <c r="AD177" s="177">
        <f t="shared" si="319"/>
        <v>0.53947368421052622</v>
      </c>
      <c r="AE177" s="555">
        <f t="shared" si="320"/>
        <v>1514.5746579417018</v>
      </c>
      <c r="AF177" s="538">
        <f t="shared" si="321"/>
        <v>0.15482894736842101</v>
      </c>
      <c r="AH177" s="177">
        <f t="shared" si="322"/>
        <v>1.8115277124739839</v>
      </c>
      <c r="AI177" s="177">
        <f t="shared" si="323"/>
        <v>1.8115277124739839</v>
      </c>
      <c r="AJ177" s="177">
        <f t="shared" si="324"/>
        <v>1.934464972202951</v>
      </c>
      <c r="AL177" s="555">
        <f t="shared" si="325"/>
        <v>670</v>
      </c>
      <c r="AM177" s="469">
        <f t="shared" si="326"/>
        <v>350</v>
      </c>
      <c r="AO177">
        <f t="shared" si="327"/>
        <v>670</v>
      </c>
      <c r="AP177">
        <f t="shared" si="328"/>
        <v>350</v>
      </c>
      <c r="AR177" s="5">
        <f t="shared" si="249"/>
        <v>2.8571428571428572</v>
      </c>
      <c r="AS177" s="5">
        <f t="shared" si="246"/>
        <v>0.55133452118773429</v>
      </c>
      <c r="AT177" s="5">
        <f t="shared" si="247"/>
        <v>2.3058083359551231</v>
      </c>
      <c r="AU177" s="177">
        <f t="shared" si="248"/>
        <v>0.19296708241570701</v>
      </c>
      <c r="AW177" s="5">
        <f t="shared" si="275"/>
        <v>7.3878825839156397</v>
      </c>
      <c r="AX177" s="5"/>
      <c r="AY177" s="5">
        <f t="shared" si="276"/>
        <v>1.4775765167831283</v>
      </c>
      <c r="AZ177" s="5"/>
      <c r="BA177" s="5">
        <f t="shared" si="277"/>
        <v>0.31096851551729715</v>
      </c>
      <c r="BB177" s="5"/>
      <c r="BC177" s="5"/>
      <c r="BD177" s="177">
        <f t="shared" si="278"/>
        <v>0.45943700279847605</v>
      </c>
      <c r="BE177" s="177">
        <f t="shared" si="279"/>
        <v>1.8791436256762934</v>
      </c>
      <c r="BF177" s="177">
        <f t="shared" si="280"/>
        <v>0.37582872513525872</v>
      </c>
      <c r="BG177" s="177"/>
      <c r="BH177" s="538">
        <f t="shared" si="281"/>
        <v>2.3219059549449157E-2</v>
      </c>
      <c r="BI177" s="538">
        <f t="shared" si="282"/>
        <v>0.10664463643334345</v>
      </c>
      <c r="BJ177" s="538">
        <f t="shared" si="283"/>
        <v>1.7499999999999998E-2</v>
      </c>
      <c r="BK177" s="538">
        <f t="shared" si="284"/>
        <v>8.9117405999999996E-2</v>
      </c>
      <c r="BL177">
        <f t="shared" si="285"/>
        <v>6.6699999999999997E-3</v>
      </c>
      <c r="BM177">
        <f t="shared" si="329"/>
        <v>6.3E-5</v>
      </c>
      <c r="BN177">
        <f t="shared" si="330"/>
        <v>0.2474085525994425</v>
      </c>
      <c r="BO177" s="469">
        <f t="shared" si="286"/>
        <v>243.1511019827926</v>
      </c>
      <c r="BP177" s="177">
        <f t="shared" si="287"/>
        <v>0.26800000000000002</v>
      </c>
      <c r="BQ177" s="177">
        <f t="shared" si="288"/>
        <v>5.3600000000000009E-2</v>
      </c>
      <c r="BR177" s="538"/>
      <c r="BT177" s="469">
        <f t="shared" si="289"/>
        <v>321.60000000000002</v>
      </c>
      <c r="BU177" s="538">
        <f t="shared" si="290"/>
        <v>2.110823595404469E-2</v>
      </c>
      <c r="BV177" s="538">
        <f t="shared" si="291"/>
        <v>0.10593542297759537</v>
      </c>
      <c r="BW177" s="538">
        <f t="shared" si="292"/>
        <v>7.0623615318396926E-3</v>
      </c>
      <c r="BX177" s="538">
        <f t="shared" si="293"/>
        <v>0</v>
      </c>
      <c r="BY177" s="538">
        <f t="shared" si="274"/>
        <v>0.15182762278211653</v>
      </c>
      <c r="BZ177" s="538">
        <f t="shared" si="250"/>
        <v>0.13410602046347975</v>
      </c>
      <c r="CA177" s="641">
        <f t="shared" si="331"/>
        <v>5.742857142857144E-2</v>
      </c>
      <c r="CB177" s="469">
        <f t="shared" si="294"/>
        <v>477.46823513764747</v>
      </c>
      <c r="CC177" s="177">
        <f t="shared" si="251"/>
        <v>0.77826474681013047</v>
      </c>
      <c r="CD177" s="5">
        <f t="shared" si="295"/>
        <v>4.0200000000000005</v>
      </c>
      <c r="CE177" s="177">
        <f t="shared" si="296"/>
        <v>0.83780287502320128</v>
      </c>
      <c r="CF177" s="5">
        <f t="shared" si="297"/>
        <v>83.780287502320121</v>
      </c>
      <c r="CG177">
        <f t="shared" si="298"/>
        <v>67</v>
      </c>
      <c r="CI177" s="571">
        <f t="shared" si="332"/>
        <v>-50</v>
      </c>
      <c r="CJ177">
        <f t="shared" si="333"/>
        <v>-50</v>
      </c>
    </row>
    <row r="178" spans="5:88" x14ac:dyDescent="0.2">
      <c r="E178" s="174">
        <v>68</v>
      </c>
      <c r="F178" s="221">
        <f t="shared" si="334"/>
        <v>0.68</v>
      </c>
      <c r="G178" s="221">
        <f t="shared" si="299"/>
        <v>0.13600000000000001</v>
      </c>
      <c r="H178" s="221">
        <f t="shared" si="300"/>
        <v>3.4000000000000004</v>
      </c>
      <c r="I178" s="221">
        <f t="shared" si="301"/>
        <v>0.68</v>
      </c>
      <c r="J178" s="551">
        <f t="shared" si="302"/>
        <v>23</v>
      </c>
      <c r="K178" s="451">
        <f t="shared" si="303"/>
        <v>10.64</v>
      </c>
      <c r="L178" s="451">
        <f t="shared" si="304"/>
        <v>33.64</v>
      </c>
      <c r="M178" s="451"/>
      <c r="N178" s="221">
        <f t="shared" si="305"/>
        <v>0.31629013079667062</v>
      </c>
      <c r="O178" s="176">
        <f t="shared" si="306"/>
        <v>11.184809750297264</v>
      </c>
      <c r="P178" s="176">
        <f t="shared" si="307"/>
        <v>2.6843543400713439</v>
      </c>
      <c r="Q178" s="221">
        <f t="shared" si="308"/>
        <v>2.2369619500594529</v>
      </c>
      <c r="R178" s="221">
        <f t="shared" si="309"/>
        <v>2.2369619500594529</v>
      </c>
      <c r="S178" s="221">
        <f t="shared" si="310"/>
        <v>5</v>
      </c>
      <c r="T178" s="221">
        <f t="shared" si="311"/>
        <v>1.2463332243652612</v>
      </c>
      <c r="U178" s="221">
        <f t="shared" si="312"/>
        <v>0.37931880741551421</v>
      </c>
      <c r="V178" s="221">
        <f t="shared" si="313"/>
        <v>0.81995606866135584</v>
      </c>
      <c r="W178" s="201">
        <f t="shared" si="314"/>
        <v>350</v>
      </c>
      <c r="X178" s="451">
        <f t="shared" si="315"/>
        <v>350</v>
      </c>
      <c r="Z178" s="221">
        <f t="shared" si="316"/>
        <v>2.9692542891116021</v>
      </c>
      <c r="AA178" s="177">
        <f t="shared" si="317"/>
        <v>1.9534567691523697</v>
      </c>
      <c r="AB178" s="177">
        <f t="shared" si="318"/>
        <v>1.6917570513665985</v>
      </c>
      <c r="AC178" s="177"/>
      <c r="AD178" s="177">
        <f t="shared" si="319"/>
        <v>0.53947368421052622</v>
      </c>
      <c r="AE178" s="555">
        <f t="shared" si="320"/>
        <v>1537.1802498512793</v>
      </c>
      <c r="AF178" s="538">
        <f t="shared" si="321"/>
        <v>0.15482894736842101</v>
      </c>
      <c r="AH178" s="177">
        <f t="shared" si="322"/>
        <v>1.8249965054481498</v>
      </c>
      <c r="AI178" s="177">
        <f t="shared" si="323"/>
        <v>1.8249965054481498</v>
      </c>
      <c r="AJ178" s="177">
        <f t="shared" si="324"/>
        <v>1.9444418558875183</v>
      </c>
      <c r="AL178" s="555">
        <f t="shared" si="325"/>
        <v>680</v>
      </c>
      <c r="AM178" s="469">
        <f t="shared" si="326"/>
        <v>350</v>
      </c>
      <c r="AO178">
        <f t="shared" si="327"/>
        <v>680</v>
      </c>
      <c r="AP178">
        <f t="shared" si="328"/>
        <v>350</v>
      </c>
      <c r="AR178" s="5">
        <f t="shared" si="249"/>
        <v>2.8571428571428572</v>
      </c>
      <c r="AS178" s="5">
        <f t="shared" si="246"/>
        <v>0.55543371904943695</v>
      </c>
      <c r="AT178" s="5">
        <f t="shared" si="247"/>
        <v>2.30170913809342</v>
      </c>
      <c r="AU178" s="177">
        <f t="shared" si="248"/>
        <v>0.19440180166730292</v>
      </c>
      <c r="AW178" s="5">
        <f t="shared" si="275"/>
        <v>7.5538985790723441</v>
      </c>
      <c r="AX178" s="5"/>
      <c r="AY178" s="5">
        <f t="shared" si="276"/>
        <v>1.5107797158144687</v>
      </c>
      <c r="AZ178" s="5"/>
      <c r="BA178" s="5">
        <f t="shared" si="277"/>
        <v>0.31504875481149869</v>
      </c>
      <c r="BB178" s="5"/>
      <c r="BC178" s="5"/>
      <c r="BD178" s="177">
        <f t="shared" si="278"/>
        <v>0.46457041843813207</v>
      </c>
      <c r="BE178" s="177">
        <f t="shared" si="279"/>
        <v>1.8914316355024539</v>
      </c>
      <c r="BF178" s="177">
        <f t="shared" si="280"/>
        <v>0.37828632710049082</v>
      </c>
      <c r="BG178" s="177"/>
      <c r="BH178" s="538">
        <f t="shared" si="281"/>
        <v>2.3740824105655926E-2</v>
      </c>
      <c r="BI178" s="538">
        <f t="shared" si="282"/>
        <v>0.10743754427573259</v>
      </c>
      <c r="BJ178" s="538">
        <f t="shared" si="283"/>
        <v>1.7499999999999998E-2</v>
      </c>
      <c r="BK178" s="538">
        <f t="shared" si="284"/>
        <v>8.9117405999999996E-2</v>
      </c>
      <c r="BL178">
        <f t="shared" si="285"/>
        <v>6.6699999999999997E-3</v>
      </c>
      <c r="BM178">
        <f t="shared" si="329"/>
        <v>6.3E-5</v>
      </c>
      <c r="BN178">
        <f t="shared" si="330"/>
        <v>0.2488236786458479</v>
      </c>
      <c r="BO178" s="469">
        <f t="shared" si="286"/>
        <v>244.46577438138851</v>
      </c>
      <c r="BP178" s="177">
        <f t="shared" si="287"/>
        <v>0.27200000000000002</v>
      </c>
      <c r="BQ178" s="177">
        <f t="shared" si="288"/>
        <v>5.4400000000000004E-2</v>
      </c>
      <c r="BR178" s="538"/>
      <c r="BT178" s="469">
        <f t="shared" si="289"/>
        <v>326.40000000000003</v>
      </c>
      <c r="BU178" s="538">
        <f t="shared" si="290"/>
        <v>2.1582567368778116E-2</v>
      </c>
      <c r="BV178" s="538">
        <f t="shared" si="291"/>
        <v>0.10732540895338462</v>
      </c>
      <c r="BW178" s="538">
        <f t="shared" si="292"/>
        <v>7.1550272635589763E-3</v>
      </c>
      <c r="BX178" s="538">
        <f t="shared" si="293"/>
        <v>0</v>
      </c>
      <c r="BY178" s="538">
        <f t="shared" si="274"/>
        <v>0.15406759600542674</v>
      </c>
      <c r="BZ178" s="538">
        <f t="shared" si="250"/>
        <v>0.13606300358572171</v>
      </c>
      <c r="CA178" s="641">
        <f t="shared" si="331"/>
        <v>5.8285714285714274E-2</v>
      </c>
      <c r="CB178" s="469">
        <f t="shared" si="294"/>
        <v>484.47931746258445</v>
      </c>
      <c r="CC178" s="177">
        <f t="shared" si="251"/>
        <v>0.78757698893698891</v>
      </c>
      <c r="CD178" s="5">
        <f t="shared" si="295"/>
        <v>4.08</v>
      </c>
      <c r="CE178" s="177">
        <f t="shared" si="296"/>
        <v>0.83819937707672809</v>
      </c>
      <c r="CF178" s="5">
        <f t="shared" si="297"/>
        <v>83.819937707672807</v>
      </c>
      <c r="CG178">
        <f t="shared" si="298"/>
        <v>68</v>
      </c>
      <c r="CI178" s="571">
        <f t="shared" si="332"/>
        <v>-50</v>
      </c>
      <c r="CJ178">
        <f t="shared" si="333"/>
        <v>-50</v>
      </c>
    </row>
    <row r="179" spans="5:88" x14ac:dyDescent="0.2">
      <c r="E179" s="174">
        <v>69</v>
      </c>
      <c r="F179" s="221">
        <f t="shared" si="334"/>
        <v>0.69</v>
      </c>
      <c r="G179" s="221">
        <f t="shared" si="299"/>
        <v>0.13799999999999998</v>
      </c>
      <c r="H179" s="221">
        <f t="shared" si="300"/>
        <v>3.4499999999999997</v>
      </c>
      <c r="I179" s="221">
        <f t="shared" si="301"/>
        <v>0.69</v>
      </c>
      <c r="J179" s="551">
        <f t="shared" si="302"/>
        <v>23</v>
      </c>
      <c r="K179" s="451">
        <f t="shared" si="303"/>
        <v>10.64</v>
      </c>
      <c r="L179" s="451">
        <f t="shared" si="304"/>
        <v>33.64</v>
      </c>
      <c r="M179" s="451"/>
      <c r="N179" s="221">
        <f t="shared" si="305"/>
        <v>0.31629013079667062</v>
      </c>
      <c r="O179" s="176">
        <f t="shared" si="306"/>
        <v>11.184809750297264</v>
      </c>
      <c r="P179" s="176">
        <f t="shared" si="307"/>
        <v>2.6843543400713439</v>
      </c>
      <c r="Q179" s="221">
        <f t="shared" si="308"/>
        <v>2.2369619500594529</v>
      </c>
      <c r="R179" s="221">
        <f t="shared" si="309"/>
        <v>2.2369619500594529</v>
      </c>
      <c r="S179" s="221">
        <f t="shared" si="310"/>
        <v>5</v>
      </c>
      <c r="T179" s="221">
        <f t="shared" si="311"/>
        <v>1.2646616541353384</v>
      </c>
      <c r="U179" s="221">
        <f t="shared" si="312"/>
        <v>0.38489702517162472</v>
      </c>
      <c r="V179" s="221">
        <f t="shared" si="313"/>
        <v>0.83201424614166986</v>
      </c>
      <c r="W179" s="201">
        <f t="shared" si="314"/>
        <v>350</v>
      </c>
      <c r="X179" s="451">
        <f t="shared" si="315"/>
        <v>350</v>
      </c>
      <c r="Z179" s="221">
        <f t="shared" si="316"/>
        <v>2.9692542891116021</v>
      </c>
      <c r="AA179" s="177">
        <f t="shared" si="317"/>
        <v>1.9534567691523697</v>
      </c>
      <c r="AB179" s="177">
        <f t="shared" si="318"/>
        <v>1.6917570513665985</v>
      </c>
      <c r="AC179" s="177"/>
      <c r="AD179" s="177">
        <f t="shared" si="319"/>
        <v>0.53947368421052622</v>
      </c>
      <c r="AE179" s="555">
        <f t="shared" si="320"/>
        <v>1559.7858417608568</v>
      </c>
      <c r="AF179" s="538">
        <f t="shared" si="321"/>
        <v>0.15482894736842101</v>
      </c>
      <c r="AH179" s="177">
        <f t="shared" si="322"/>
        <v>1.8383666219594756</v>
      </c>
      <c r="AI179" s="177">
        <f t="shared" si="323"/>
        <v>1.8383666219594756</v>
      </c>
      <c r="AJ179" s="177">
        <f t="shared" si="324"/>
        <v>1.9543456458959079</v>
      </c>
      <c r="AL179" s="555">
        <f t="shared" si="325"/>
        <v>690</v>
      </c>
      <c r="AM179" s="469">
        <f t="shared" si="326"/>
        <v>350</v>
      </c>
      <c r="AO179">
        <f t="shared" si="327"/>
        <v>690</v>
      </c>
      <c r="AP179">
        <f t="shared" si="328"/>
        <v>350</v>
      </c>
      <c r="AR179" s="5">
        <f t="shared" si="249"/>
        <v>2.8571428571428572</v>
      </c>
      <c r="AS179" s="5">
        <f t="shared" ref="AS179:AS242" si="335">L*AI179/J179*1000000</f>
        <v>0.55950288494418821</v>
      </c>
      <c r="AT179" s="5">
        <f t="shared" ref="AT179:AT242" si="336">AR179-AS179</f>
        <v>2.2976399721986689</v>
      </c>
      <c r="AU179" s="177">
        <f t="shared" ref="AU179:AU242" si="337">AS179/AR179</f>
        <v>0.19582600973046588</v>
      </c>
      <c r="AW179" s="5">
        <f t="shared" si="275"/>
        <v>7.7211398122297963</v>
      </c>
      <c r="AX179" s="5"/>
      <c r="AY179" s="5">
        <f t="shared" si="276"/>
        <v>1.5442279624459594</v>
      </c>
      <c r="AZ179" s="5"/>
      <c r="BA179" s="5">
        <f t="shared" si="277"/>
        <v>0.3191166628053706</v>
      </c>
      <c r="BB179" s="5"/>
      <c r="BC179" s="5"/>
      <c r="BD179" s="177">
        <f t="shared" si="278"/>
        <v>0.46968499511389228</v>
      </c>
      <c r="BE179" s="177">
        <f t="shared" si="279"/>
        <v>1.9036035486516207</v>
      </c>
      <c r="BF179" s="177">
        <f t="shared" si="280"/>
        <v>0.38072070973032418</v>
      </c>
      <c r="BG179" s="177"/>
      <c r="BH179" s="538">
        <f t="shared" si="281"/>
        <v>2.4266439409865073E-2</v>
      </c>
      <c r="BI179" s="538">
        <f t="shared" si="282"/>
        <v>0.10822464303475435</v>
      </c>
      <c r="BJ179" s="538">
        <f t="shared" si="283"/>
        <v>1.7499999999999998E-2</v>
      </c>
      <c r="BK179" s="538">
        <f t="shared" si="284"/>
        <v>8.9117405999999996E-2</v>
      </c>
      <c r="BL179">
        <f t="shared" si="285"/>
        <v>6.6699999999999997E-3</v>
      </c>
      <c r="BM179">
        <f t="shared" si="329"/>
        <v>6.3E-5</v>
      </c>
      <c r="BN179">
        <f t="shared" si="330"/>
        <v>0.25023781200466738</v>
      </c>
      <c r="BO179" s="469">
        <f t="shared" si="286"/>
        <v>245.77848844461943</v>
      </c>
      <c r="BP179" s="177">
        <f t="shared" si="287"/>
        <v>0.27599999999999997</v>
      </c>
      <c r="BQ179" s="177">
        <f t="shared" si="288"/>
        <v>5.5199999999999999E-2</v>
      </c>
      <c r="BR179" s="538"/>
      <c r="BT179" s="469">
        <f t="shared" si="289"/>
        <v>331.19999999999993</v>
      </c>
      <c r="BU179" s="538">
        <f t="shared" si="290"/>
        <v>2.2060399463513704E-2</v>
      </c>
      <c r="BV179" s="538">
        <f t="shared" si="291"/>
        <v>0.1087111941131713</v>
      </c>
      <c r="BW179" s="538">
        <f t="shared" si="292"/>
        <v>7.2474129408780889E-3</v>
      </c>
      <c r="BX179" s="538">
        <f t="shared" si="293"/>
        <v>0</v>
      </c>
      <c r="BY179" s="538">
        <f t="shared" si="274"/>
        <v>0.1563071559699554</v>
      </c>
      <c r="BZ179" s="538">
        <f t="shared" si="250"/>
        <v>0.13801900651756308</v>
      </c>
      <c r="CA179" s="641">
        <f t="shared" si="331"/>
        <v>5.9142857142857143E-2</v>
      </c>
      <c r="CB179" s="469">
        <f t="shared" si="294"/>
        <v>491.48802614793874</v>
      </c>
      <c r="CC179" s="177">
        <f t="shared" si="251"/>
        <v>0.79688782511747991</v>
      </c>
      <c r="CD179" s="5">
        <f t="shared" si="295"/>
        <v>4.1399999999999997</v>
      </c>
      <c r="CE179" s="177">
        <f t="shared" si="296"/>
        <v>0.83858498443834562</v>
      </c>
      <c r="CF179" s="5">
        <f t="shared" si="297"/>
        <v>83.858498443834563</v>
      </c>
      <c r="CG179">
        <f t="shared" si="298"/>
        <v>69</v>
      </c>
      <c r="CI179" s="571">
        <f t="shared" si="332"/>
        <v>-50</v>
      </c>
      <c r="CJ179">
        <f t="shared" si="333"/>
        <v>-50</v>
      </c>
    </row>
    <row r="180" spans="5:88" x14ac:dyDescent="0.2">
      <c r="E180" s="174">
        <v>70</v>
      </c>
      <c r="F180" s="221">
        <f t="shared" si="334"/>
        <v>0.7</v>
      </c>
      <c r="G180" s="221">
        <f t="shared" si="299"/>
        <v>0.13999999999999999</v>
      </c>
      <c r="H180" s="221">
        <f t="shared" si="300"/>
        <v>3.5</v>
      </c>
      <c r="I180" s="221">
        <f t="shared" si="301"/>
        <v>0.7</v>
      </c>
      <c r="J180" s="551">
        <f t="shared" si="302"/>
        <v>23</v>
      </c>
      <c r="K180" s="451">
        <f t="shared" si="303"/>
        <v>10.64</v>
      </c>
      <c r="L180" s="451">
        <f t="shared" si="304"/>
        <v>33.64</v>
      </c>
      <c r="M180" s="451"/>
      <c r="N180" s="221">
        <f t="shared" si="305"/>
        <v>0.31629013079667062</v>
      </c>
      <c r="O180" s="176">
        <f t="shared" si="306"/>
        <v>11.184809750297264</v>
      </c>
      <c r="P180" s="176">
        <f t="shared" si="307"/>
        <v>2.6843543400713439</v>
      </c>
      <c r="Q180" s="221">
        <f t="shared" si="308"/>
        <v>2.2369619500594529</v>
      </c>
      <c r="R180" s="221">
        <f t="shared" si="309"/>
        <v>2.2369619500594529</v>
      </c>
      <c r="S180" s="221">
        <f t="shared" si="310"/>
        <v>5</v>
      </c>
      <c r="T180" s="221">
        <f t="shared" si="311"/>
        <v>1.2829900839054158</v>
      </c>
      <c r="U180" s="221">
        <f t="shared" si="312"/>
        <v>0.39047524292773522</v>
      </c>
      <c r="V180" s="221">
        <f t="shared" si="313"/>
        <v>0.84407242362198409</v>
      </c>
      <c r="W180" s="201">
        <f t="shared" si="314"/>
        <v>350</v>
      </c>
      <c r="X180" s="451">
        <f t="shared" si="315"/>
        <v>350</v>
      </c>
      <c r="Z180" s="221">
        <f t="shared" si="316"/>
        <v>2.9692542891116021</v>
      </c>
      <c r="AA180" s="177">
        <f t="shared" si="317"/>
        <v>1.9534567691523697</v>
      </c>
      <c r="AB180" s="177">
        <f t="shared" si="318"/>
        <v>1.6917570513665985</v>
      </c>
      <c r="AC180" s="177"/>
      <c r="AD180" s="177">
        <f t="shared" si="319"/>
        <v>0.53947368421052622</v>
      </c>
      <c r="AE180" s="555">
        <f t="shared" si="320"/>
        <v>1582.3914336704345</v>
      </c>
      <c r="AF180" s="538">
        <f t="shared" si="321"/>
        <v>0.15482894736842101</v>
      </c>
      <c r="AH180" s="177">
        <f t="shared" si="322"/>
        <v>1.8516401995451028</v>
      </c>
      <c r="AI180" s="177">
        <f t="shared" si="323"/>
        <v>1.8516401995451028</v>
      </c>
      <c r="AJ180" s="177">
        <f t="shared" si="324"/>
        <v>1.9641779255889651</v>
      </c>
      <c r="AL180" s="555">
        <f t="shared" si="325"/>
        <v>700</v>
      </c>
      <c r="AM180" s="469">
        <f t="shared" si="326"/>
        <v>350</v>
      </c>
      <c r="AO180">
        <f t="shared" si="327"/>
        <v>700</v>
      </c>
      <c r="AP180">
        <f t="shared" si="328"/>
        <v>350</v>
      </c>
      <c r="AR180" s="5">
        <f t="shared" si="249"/>
        <v>2.8571428571428572</v>
      </c>
      <c r="AS180" s="5">
        <f t="shared" si="335"/>
        <v>0.56354266942677045</v>
      </c>
      <c r="AT180" s="5">
        <f t="shared" si="336"/>
        <v>2.2936001877160868</v>
      </c>
      <c r="AU180" s="177">
        <f t="shared" si="337"/>
        <v>0.19723993429936965</v>
      </c>
      <c r="AW180" s="5">
        <f t="shared" si="275"/>
        <v>7.8895973719747863</v>
      </c>
      <c r="AX180" s="5"/>
      <c r="AY180" s="5">
        <f t="shared" si="276"/>
        <v>1.5779194743949569</v>
      </c>
      <c r="AZ180" s="5"/>
      <c r="BA180" s="5">
        <f t="shared" si="277"/>
        <v>0.32317232918704925</v>
      </c>
      <c r="BB180" s="5"/>
      <c r="BC180" s="5"/>
      <c r="BD180" s="177">
        <f t="shared" si="278"/>
        <v>0.47478107351779314</v>
      </c>
      <c r="BE180" s="177">
        <f t="shared" si="279"/>
        <v>1.9156618439447337</v>
      </c>
      <c r="BF180" s="177">
        <f t="shared" si="280"/>
        <v>0.38313236878894674</v>
      </c>
      <c r="BG180" s="177"/>
      <c r="BH180" s="538">
        <f t="shared" si="281"/>
        <v>2.4795877454777893E-2</v>
      </c>
      <c r="BI180" s="538">
        <f t="shared" si="282"/>
        <v>0.10900605854722019</v>
      </c>
      <c r="BJ180" s="538">
        <f t="shared" si="283"/>
        <v>1.7499999999999998E-2</v>
      </c>
      <c r="BK180" s="538">
        <f t="shared" si="284"/>
        <v>8.9117405999999996E-2</v>
      </c>
      <c r="BL180">
        <f t="shared" si="285"/>
        <v>6.6699999999999997E-3</v>
      </c>
      <c r="BM180">
        <f t="shared" si="329"/>
        <v>6.3E-5</v>
      </c>
      <c r="BN180">
        <f t="shared" si="330"/>
        <v>0.2516510485881111</v>
      </c>
      <c r="BO180" s="469">
        <f t="shared" si="286"/>
        <v>247.08934200199806</v>
      </c>
      <c r="BP180" s="177">
        <f t="shared" si="287"/>
        <v>0.27999999999999997</v>
      </c>
      <c r="BQ180" s="177">
        <f t="shared" si="288"/>
        <v>5.5999999999999994E-2</v>
      </c>
      <c r="BR180" s="538"/>
      <c r="BT180" s="469">
        <f t="shared" si="289"/>
        <v>335.99999999999994</v>
      </c>
      <c r="BU180" s="538">
        <f t="shared" si="290"/>
        <v>2.2541706777070812E-2</v>
      </c>
      <c r="BV180" s="538">
        <f t="shared" si="291"/>
        <v>0.11009280901037212</v>
      </c>
      <c r="BW180" s="538">
        <f t="shared" si="292"/>
        <v>7.3395206006914753E-3</v>
      </c>
      <c r="BX180" s="538">
        <f t="shared" si="293"/>
        <v>0</v>
      </c>
      <c r="BY180" s="538">
        <f t="shared" si="274"/>
        <v>0.15854631011318959</v>
      </c>
      <c r="BZ180" s="538">
        <f t="shared" si="250"/>
        <v>0.13997403638813441</v>
      </c>
      <c r="CA180" s="641">
        <f t="shared" si="331"/>
        <v>6.0000000000000005E-2</v>
      </c>
      <c r="CB180" s="469">
        <f t="shared" si="294"/>
        <v>498.49438288945839</v>
      </c>
      <c r="CC180" s="177">
        <f t="shared" si="251"/>
        <v>0.80619735870130071</v>
      </c>
      <c r="CD180" s="5">
        <f t="shared" si="295"/>
        <v>4.2</v>
      </c>
      <c r="CE180" s="177">
        <f t="shared" si="296"/>
        <v>0.83896013262440716</v>
      </c>
      <c r="CF180" s="5">
        <f t="shared" si="297"/>
        <v>83.896013262440718</v>
      </c>
      <c r="CG180">
        <f t="shared" si="298"/>
        <v>70</v>
      </c>
      <c r="CI180" s="571">
        <f t="shared" si="332"/>
        <v>-50</v>
      </c>
      <c r="CJ180">
        <f t="shared" si="333"/>
        <v>-50</v>
      </c>
    </row>
    <row r="181" spans="5:88" x14ac:dyDescent="0.2">
      <c r="E181" s="174">
        <v>71</v>
      </c>
      <c r="F181" s="221">
        <f t="shared" si="334"/>
        <v>0.71</v>
      </c>
      <c r="G181" s="221">
        <f t="shared" si="299"/>
        <v>0.14199999999999999</v>
      </c>
      <c r="H181" s="221">
        <f t="shared" si="300"/>
        <v>3.55</v>
      </c>
      <c r="I181" s="221">
        <f t="shared" si="301"/>
        <v>0.71</v>
      </c>
      <c r="J181" s="551">
        <f t="shared" si="302"/>
        <v>23</v>
      </c>
      <c r="K181" s="451">
        <f t="shared" si="303"/>
        <v>10.64</v>
      </c>
      <c r="L181" s="451">
        <f t="shared" si="304"/>
        <v>33.64</v>
      </c>
      <c r="M181" s="451"/>
      <c r="N181" s="221">
        <f t="shared" si="305"/>
        <v>0.31629013079667062</v>
      </c>
      <c r="O181" s="176">
        <f t="shared" si="306"/>
        <v>11.184809750297264</v>
      </c>
      <c r="P181" s="176">
        <f t="shared" si="307"/>
        <v>2.6843543400713439</v>
      </c>
      <c r="Q181" s="221">
        <f t="shared" si="308"/>
        <v>2.2369619500594529</v>
      </c>
      <c r="R181" s="221">
        <f t="shared" si="309"/>
        <v>2.2369619500594529</v>
      </c>
      <c r="S181" s="221">
        <f t="shared" si="310"/>
        <v>5</v>
      </c>
      <c r="T181" s="221">
        <f t="shared" si="311"/>
        <v>1.301318513675493</v>
      </c>
      <c r="U181" s="221">
        <f t="shared" si="312"/>
        <v>0.39605346068384573</v>
      </c>
      <c r="V181" s="221">
        <f t="shared" si="313"/>
        <v>0.85613060110229811</v>
      </c>
      <c r="W181" s="201">
        <f t="shared" si="314"/>
        <v>350</v>
      </c>
      <c r="X181" s="451">
        <f t="shared" si="315"/>
        <v>350</v>
      </c>
      <c r="Z181" s="221">
        <f t="shared" si="316"/>
        <v>2.9692542891116021</v>
      </c>
      <c r="AA181" s="177">
        <f t="shared" si="317"/>
        <v>1.9534567691523697</v>
      </c>
      <c r="AB181" s="177">
        <f t="shared" si="318"/>
        <v>1.6917570513665985</v>
      </c>
      <c r="AC181" s="177"/>
      <c r="AD181" s="177">
        <f t="shared" si="319"/>
        <v>0.53947368421052622</v>
      </c>
      <c r="AE181" s="555">
        <f t="shared" si="320"/>
        <v>1604.997025580012</v>
      </c>
      <c r="AF181" s="538">
        <f t="shared" si="321"/>
        <v>0.15482894736842101</v>
      </c>
      <c r="AH181" s="177">
        <f t="shared" si="322"/>
        <v>1.8648192996663679</v>
      </c>
      <c r="AI181" s="177">
        <f t="shared" si="323"/>
        <v>1.8648192996663679</v>
      </c>
      <c r="AJ181" s="177">
        <f t="shared" si="324"/>
        <v>1.9739402219750875</v>
      </c>
      <c r="AL181" s="555">
        <f t="shared" si="325"/>
        <v>710</v>
      </c>
      <c r="AM181" s="469">
        <f t="shared" si="326"/>
        <v>350</v>
      </c>
      <c r="AO181">
        <f t="shared" si="327"/>
        <v>710</v>
      </c>
      <c r="AP181">
        <f t="shared" si="328"/>
        <v>350</v>
      </c>
      <c r="AR181" s="5">
        <f t="shared" si="249"/>
        <v>2.8571428571428572</v>
      </c>
      <c r="AS181" s="5">
        <f t="shared" si="335"/>
        <v>0.56755369989845972</v>
      </c>
      <c r="AT181" s="5">
        <f t="shared" si="336"/>
        <v>2.2895891572443974</v>
      </c>
      <c r="AU181" s="177">
        <f t="shared" si="337"/>
        <v>0.19864379496446088</v>
      </c>
      <c r="AW181" s="5">
        <f t="shared" si="275"/>
        <v>8.0592625385581282</v>
      </c>
      <c r="AX181" s="5"/>
      <c r="AY181" s="5">
        <f t="shared" si="276"/>
        <v>1.6118525077116255</v>
      </c>
      <c r="AZ181" s="5"/>
      <c r="BA181" s="5">
        <f t="shared" si="277"/>
        <v>0.32721584171568474</v>
      </c>
      <c r="BB181" s="5"/>
      <c r="BC181" s="5"/>
      <c r="BD181" s="177">
        <f t="shared" si="278"/>
        <v>0.47985898340950506</v>
      </c>
      <c r="BE181" s="177">
        <f t="shared" si="279"/>
        <v>1.9276089121090765</v>
      </c>
      <c r="BF181" s="177">
        <f t="shared" si="280"/>
        <v>0.38552178242181534</v>
      </c>
      <c r="BG181" s="177"/>
      <c r="BH181" s="538">
        <f t="shared" si="281"/>
        <v>2.5329110835468401E-2</v>
      </c>
      <c r="BI181" s="538">
        <f t="shared" si="282"/>
        <v>0.1097819121713591</v>
      </c>
      <c r="BJ181" s="538">
        <f t="shared" si="283"/>
        <v>1.7499999999999998E-2</v>
      </c>
      <c r="BK181" s="538">
        <f t="shared" si="284"/>
        <v>8.9117405999999996E-2</v>
      </c>
      <c r="BL181">
        <f t="shared" si="285"/>
        <v>6.6699999999999997E-3</v>
      </c>
      <c r="BM181">
        <f t="shared" si="329"/>
        <v>6.3E-5</v>
      </c>
      <c r="BN181">
        <f t="shared" si="330"/>
        <v>0.25306348052828381</v>
      </c>
      <c r="BO181" s="469">
        <f t="shared" si="286"/>
        <v>248.39842900682751</v>
      </c>
      <c r="BP181" s="177">
        <f t="shared" si="287"/>
        <v>0.28399999999999997</v>
      </c>
      <c r="BQ181" s="177">
        <f t="shared" si="288"/>
        <v>5.6799999999999996E-2</v>
      </c>
      <c r="BR181" s="538"/>
      <c r="BT181" s="469">
        <f t="shared" si="289"/>
        <v>340.8</v>
      </c>
      <c r="BU181" s="538">
        <f t="shared" si="290"/>
        <v>2.3026464395880367E-2</v>
      </c>
      <c r="BV181" s="538">
        <f t="shared" si="291"/>
        <v>0.11147028354127012</v>
      </c>
      <c r="BW181" s="538">
        <f t="shared" si="292"/>
        <v>7.4313522360846766E-3</v>
      </c>
      <c r="BX181" s="538">
        <f t="shared" si="293"/>
        <v>0</v>
      </c>
      <c r="BY181" s="538">
        <f t="shared" si="274"/>
        <v>0.16078506570698514</v>
      </c>
      <c r="BZ181" s="538">
        <f t="shared" si="250"/>
        <v>0.14192810017323518</v>
      </c>
      <c r="CA181" s="641">
        <f t="shared" si="331"/>
        <v>6.085714285714286E-2</v>
      </c>
      <c r="CB181" s="469">
        <f t="shared" si="294"/>
        <v>505.49840891059836</v>
      </c>
      <c r="CC181" s="177">
        <f t="shared" si="251"/>
        <v>0.81550568909241172</v>
      </c>
      <c r="CD181" s="5">
        <f t="shared" si="295"/>
        <v>4.26</v>
      </c>
      <c r="CE181" s="177">
        <f t="shared" si="296"/>
        <v>0.8393252339673295</v>
      </c>
      <c r="CF181" s="5">
        <f t="shared" si="297"/>
        <v>83.932523396732947</v>
      </c>
      <c r="CG181">
        <f t="shared" si="298"/>
        <v>71</v>
      </c>
      <c r="CI181" s="571">
        <f t="shared" si="332"/>
        <v>-50</v>
      </c>
      <c r="CJ181">
        <f t="shared" si="333"/>
        <v>-50</v>
      </c>
    </row>
    <row r="182" spans="5:88" x14ac:dyDescent="0.2">
      <c r="E182" s="174">
        <v>72</v>
      </c>
      <c r="F182" s="221">
        <f t="shared" si="334"/>
        <v>0.72</v>
      </c>
      <c r="G182" s="221">
        <f t="shared" si="299"/>
        <v>0.14399999999999999</v>
      </c>
      <c r="H182" s="221">
        <f t="shared" si="300"/>
        <v>3.5999999999999996</v>
      </c>
      <c r="I182" s="221">
        <f t="shared" si="301"/>
        <v>0.72</v>
      </c>
      <c r="J182" s="551">
        <f t="shared" si="302"/>
        <v>23</v>
      </c>
      <c r="K182" s="451">
        <f t="shared" si="303"/>
        <v>10.64</v>
      </c>
      <c r="L182" s="451">
        <f t="shared" si="304"/>
        <v>33.64</v>
      </c>
      <c r="M182" s="451"/>
      <c r="N182" s="221">
        <f t="shared" si="305"/>
        <v>0.31629013079667062</v>
      </c>
      <c r="O182" s="176">
        <f t="shared" si="306"/>
        <v>11.184809750297264</v>
      </c>
      <c r="P182" s="176">
        <f t="shared" si="307"/>
        <v>2.6843543400713439</v>
      </c>
      <c r="Q182" s="221">
        <f t="shared" si="308"/>
        <v>2.2369619500594529</v>
      </c>
      <c r="R182" s="221">
        <f t="shared" si="309"/>
        <v>2.2369619500594529</v>
      </c>
      <c r="S182" s="221">
        <f t="shared" si="310"/>
        <v>5</v>
      </c>
      <c r="T182" s="221">
        <f t="shared" si="311"/>
        <v>1.3196469434455704</v>
      </c>
      <c r="U182" s="221">
        <f t="shared" si="312"/>
        <v>0.40163167843995617</v>
      </c>
      <c r="V182" s="221">
        <f t="shared" si="313"/>
        <v>0.86818877858261212</v>
      </c>
      <c r="W182" s="201">
        <f t="shared" si="314"/>
        <v>350</v>
      </c>
      <c r="X182" s="451">
        <f t="shared" si="315"/>
        <v>350</v>
      </c>
      <c r="Z182" s="221">
        <f t="shared" si="316"/>
        <v>2.9692542891116021</v>
      </c>
      <c r="AA182" s="177">
        <f t="shared" si="317"/>
        <v>1.9534567691523697</v>
      </c>
      <c r="AB182" s="177">
        <f t="shared" si="318"/>
        <v>1.6917570513665985</v>
      </c>
      <c r="AC182" s="177"/>
      <c r="AD182" s="177">
        <f t="shared" si="319"/>
        <v>0.53947368421052622</v>
      </c>
      <c r="AE182" s="555">
        <f t="shared" si="320"/>
        <v>1627.6026174895899</v>
      </c>
      <c r="AF182" s="538">
        <f t="shared" si="321"/>
        <v>0.15482894736842101</v>
      </c>
      <c r="AH182" s="177">
        <f t="shared" si="322"/>
        <v>1.8779059114462837</v>
      </c>
      <c r="AI182" s="177">
        <f t="shared" si="323"/>
        <v>1.8779059114462837</v>
      </c>
      <c r="AJ182" s="177">
        <f t="shared" si="324"/>
        <v>1.9836340084787285</v>
      </c>
      <c r="AL182" s="555">
        <f t="shared" si="325"/>
        <v>720</v>
      </c>
      <c r="AM182" s="469">
        <f t="shared" si="326"/>
        <v>350</v>
      </c>
      <c r="AO182">
        <f t="shared" si="327"/>
        <v>720</v>
      </c>
      <c r="AP182">
        <f t="shared" si="328"/>
        <v>350</v>
      </c>
      <c r="AR182" s="5">
        <f t="shared" si="249"/>
        <v>2.8571428571428572</v>
      </c>
      <c r="AS182" s="5">
        <f t="shared" si="335"/>
        <v>0.57153658174452104</v>
      </c>
      <c r="AT182" s="5">
        <f t="shared" si="336"/>
        <v>2.2856062753983362</v>
      </c>
      <c r="AU182" s="177">
        <f t="shared" si="337"/>
        <v>0.20003780361058235</v>
      </c>
      <c r="AW182" s="5">
        <f t="shared" si="275"/>
        <v>8.230126777121102</v>
      </c>
      <c r="AX182" s="5"/>
      <c r="AY182" s="5">
        <f t="shared" si="276"/>
        <v>1.6460253554242203</v>
      </c>
      <c r="AZ182" s="5"/>
      <c r="BA182" s="5">
        <f t="shared" si="277"/>
        <v>0.33124728628961386</v>
      </c>
      <c r="BB182" s="5"/>
      <c r="BC182" s="5"/>
      <c r="BD182" s="177">
        <f t="shared" si="278"/>
        <v>0.48491904411594022</v>
      </c>
      <c r="BE182" s="177">
        <f t="shared" si="279"/>
        <v>1.9394470601027658</v>
      </c>
      <c r="BF182" s="177">
        <f t="shared" si="280"/>
        <v>0.38788941202055316</v>
      </c>
      <c r="BG182" s="177"/>
      <c r="BH182" s="538">
        <f t="shared" si="281"/>
        <v>2.586611272809489E-2</v>
      </c>
      <c r="BI182" s="538">
        <f t="shared" si="282"/>
        <v>0.11055232100684273</v>
      </c>
      <c r="BJ182" s="538">
        <f t="shared" si="283"/>
        <v>1.7499999999999998E-2</v>
      </c>
      <c r="BK182" s="538">
        <f t="shared" si="284"/>
        <v>8.9117405999999996E-2</v>
      </c>
      <c r="BL182">
        <f t="shared" si="285"/>
        <v>6.6699999999999997E-3</v>
      </c>
      <c r="BM182">
        <f t="shared" si="329"/>
        <v>6.3E-5</v>
      </c>
      <c r="BN182">
        <f t="shared" si="330"/>
        <v>0.25447519637260996</v>
      </c>
      <c r="BO182" s="469">
        <f t="shared" si="286"/>
        <v>249.7058397349376</v>
      </c>
      <c r="BP182" s="177">
        <f t="shared" si="287"/>
        <v>0.28799999999999998</v>
      </c>
      <c r="BQ182" s="177">
        <f t="shared" si="288"/>
        <v>5.7599999999999998E-2</v>
      </c>
      <c r="BR182" s="538"/>
      <c r="BT182" s="469">
        <f t="shared" si="289"/>
        <v>345.59999999999997</v>
      </c>
      <c r="BU182" s="538">
        <f t="shared" si="290"/>
        <v>2.3514647934631719E-2</v>
      </c>
      <c r="BV182" s="538">
        <f t="shared" si="291"/>
        <v>0.11284364696823783</v>
      </c>
      <c r="BW182" s="538">
        <f t="shared" si="292"/>
        <v>7.5229097978825226E-3</v>
      </c>
      <c r="BX182" s="538">
        <f t="shared" si="293"/>
        <v>0</v>
      </c>
      <c r="BY182" s="538">
        <f t="shared" si="274"/>
        <v>0.16302342986349905</v>
      </c>
      <c r="BZ182" s="538">
        <f t="shared" si="250"/>
        <v>0.14388120470075208</v>
      </c>
      <c r="CA182" s="641">
        <f t="shared" si="331"/>
        <v>6.1714285714285715E-2</v>
      </c>
      <c r="CB182" s="469">
        <f t="shared" si="294"/>
        <v>512.5001249792889</v>
      </c>
      <c r="CC182" s="177">
        <f t="shared" si="251"/>
        <v>0.82481291195039474</v>
      </c>
      <c r="CD182" s="5">
        <f t="shared" si="295"/>
        <v>4.3199999999999994</v>
      </c>
      <c r="CE182" s="177">
        <f t="shared" si="296"/>
        <v>0.83968067914879552</v>
      </c>
      <c r="CF182" s="5">
        <f t="shared" si="297"/>
        <v>83.968067914879555</v>
      </c>
      <c r="CG182">
        <f t="shared" si="298"/>
        <v>72</v>
      </c>
      <c r="CI182" s="571">
        <f t="shared" si="332"/>
        <v>-50</v>
      </c>
      <c r="CJ182">
        <f t="shared" si="333"/>
        <v>-50</v>
      </c>
    </row>
    <row r="183" spans="5:88" x14ac:dyDescent="0.2">
      <c r="E183" s="174">
        <v>73</v>
      </c>
      <c r="F183" s="221">
        <f t="shared" si="334"/>
        <v>0.73</v>
      </c>
      <c r="G183" s="221">
        <f t="shared" si="299"/>
        <v>0.14599999999999999</v>
      </c>
      <c r="H183" s="221">
        <f t="shared" si="300"/>
        <v>3.65</v>
      </c>
      <c r="I183" s="221">
        <f t="shared" si="301"/>
        <v>0.73</v>
      </c>
      <c r="J183" s="551">
        <f t="shared" si="302"/>
        <v>23</v>
      </c>
      <c r="K183" s="451">
        <f t="shared" si="303"/>
        <v>10.64</v>
      </c>
      <c r="L183" s="451">
        <f t="shared" si="304"/>
        <v>33.64</v>
      </c>
      <c r="M183" s="451"/>
      <c r="N183" s="221">
        <f t="shared" si="305"/>
        <v>0.31629013079667062</v>
      </c>
      <c r="O183" s="176">
        <f t="shared" si="306"/>
        <v>11.184809750297264</v>
      </c>
      <c r="P183" s="176">
        <f t="shared" si="307"/>
        <v>2.6843543400713439</v>
      </c>
      <c r="Q183" s="221">
        <f t="shared" si="308"/>
        <v>2.2369619500594529</v>
      </c>
      <c r="R183" s="221">
        <f t="shared" si="309"/>
        <v>2.2369619500594529</v>
      </c>
      <c r="S183" s="221">
        <f t="shared" si="310"/>
        <v>5</v>
      </c>
      <c r="T183" s="221">
        <f t="shared" si="311"/>
        <v>1.3379753732156479</v>
      </c>
      <c r="U183" s="221">
        <f t="shared" si="312"/>
        <v>0.40720989619606668</v>
      </c>
      <c r="V183" s="221">
        <f t="shared" si="313"/>
        <v>0.88024695606292613</v>
      </c>
      <c r="W183" s="201">
        <f t="shared" si="314"/>
        <v>350</v>
      </c>
      <c r="X183" s="451">
        <f t="shared" si="315"/>
        <v>350</v>
      </c>
      <c r="Z183" s="221">
        <f t="shared" si="316"/>
        <v>2.9692542891116021</v>
      </c>
      <c r="AA183" s="177">
        <f t="shared" si="317"/>
        <v>1.9534567691523697</v>
      </c>
      <c r="AB183" s="177">
        <f t="shared" si="318"/>
        <v>1.6917570513665985</v>
      </c>
      <c r="AC183" s="177"/>
      <c r="AD183" s="177">
        <f t="shared" si="319"/>
        <v>0.53947368421052622</v>
      </c>
      <c r="AE183" s="555">
        <f t="shared" si="320"/>
        <v>1650.2082093991673</v>
      </c>
      <c r="AF183" s="538">
        <f t="shared" si="321"/>
        <v>0.15482894736842101</v>
      </c>
      <c r="AH183" s="177">
        <f t="shared" si="322"/>
        <v>1.8909019551742052</v>
      </c>
      <c r="AI183" s="177">
        <f t="shared" si="323"/>
        <v>1.8909019551742052</v>
      </c>
      <c r="AJ183" s="177">
        <f t="shared" si="324"/>
        <v>1.9932607075364484</v>
      </c>
      <c r="AL183" s="555">
        <f t="shared" si="325"/>
        <v>730</v>
      </c>
      <c r="AM183" s="469">
        <f t="shared" si="326"/>
        <v>350</v>
      </c>
      <c r="AO183">
        <f t="shared" si="327"/>
        <v>730</v>
      </c>
      <c r="AP183">
        <f t="shared" si="328"/>
        <v>350</v>
      </c>
      <c r="AR183" s="5">
        <f t="shared" si="249"/>
        <v>2.8571428571428572</v>
      </c>
      <c r="AS183" s="5">
        <f t="shared" si="335"/>
        <v>0.57549189940084511</v>
      </c>
      <c r="AT183" s="5">
        <f t="shared" si="336"/>
        <v>2.2816509577420119</v>
      </c>
      <c r="AU183" s="177">
        <f t="shared" si="337"/>
        <v>0.20142216479029579</v>
      </c>
      <c r="AW183" s="5">
        <f t="shared" si="275"/>
        <v>8.4021817312523375</v>
      </c>
      <c r="AX183" s="5"/>
      <c r="AY183" s="5">
        <f t="shared" si="276"/>
        <v>1.6804363462504674</v>
      </c>
      <c r="AZ183" s="5"/>
      <c r="BA183" s="5">
        <f t="shared" si="277"/>
        <v>0.3352667470112054</v>
      </c>
      <c r="BB183" s="5"/>
      <c r="BC183" s="5"/>
      <c r="BD183" s="177">
        <f t="shared" si="278"/>
        <v>0.48996156500141741</v>
      </c>
      <c r="BE183" s="177">
        <f t="shared" si="279"/>
        <v>1.9511785151699872</v>
      </c>
      <c r="BF183" s="177">
        <f t="shared" si="280"/>
        <v>0.39023570303399746</v>
      </c>
      <c r="BG183" s="177"/>
      <c r="BH183" s="538">
        <f t="shared" si="281"/>
        <v>2.6406856869650198E-2</v>
      </c>
      <c r="BI183" s="538">
        <f t="shared" si="282"/>
        <v>0.11131739810110547</v>
      </c>
      <c r="BJ183" s="538">
        <f t="shared" si="283"/>
        <v>1.7499999999999998E-2</v>
      </c>
      <c r="BK183" s="538">
        <f t="shared" si="284"/>
        <v>8.9117405999999996E-2</v>
      </c>
      <c r="BL183">
        <f t="shared" si="285"/>
        <v>6.6699999999999997E-3</v>
      </c>
      <c r="BM183">
        <f t="shared" si="329"/>
        <v>6.3E-5</v>
      </c>
      <c r="BN183">
        <f t="shared" si="330"/>
        <v>0.25588628126675517</v>
      </c>
      <c r="BO183" s="469">
        <f t="shared" si="286"/>
        <v>251.01166097075566</v>
      </c>
      <c r="BP183" s="177">
        <f t="shared" si="287"/>
        <v>0.29199999999999998</v>
      </c>
      <c r="BQ183" s="177">
        <f t="shared" si="288"/>
        <v>5.8400000000000001E-2</v>
      </c>
      <c r="BR183" s="538"/>
      <c r="BT183" s="469">
        <f t="shared" si="289"/>
        <v>350.4</v>
      </c>
      <c r="BU183" s="538">
        <f t="shared" si="290"/>
        <v>2.400623351786382E-2</v>
      </c>
      <c r="BV183" s="538">
        <f t="shared" si="291"/>
        <v>0.11421292794182868</v>
      </c>
      <c r="BW183" s="538">
        <f t="shared" si="292"/>
        <v>7.6141951961219137E-3</v>
      </c>
      <c r="BX183" s="538">
        <f t="shared" si="293"/>
        <v>0</v>
      </c>
      <c r="BY183" s="538">
        <f t="shared" si="274"/>
        <v>0.16526140954083299</v>
      </c>
      <c r="BZ183" s="538">
        <f t="shared" si="250"/>
        <v>0.1458333566558144</v>
      </c>
      <c r="CA183" s="641">
        <f t="shared" si="331"/>
        <v>6.257142857142857E-2</v>
      </c>
      <c r="CB183" s="469">
        <f t="shared" si="294"/>
        <v>519.49955142389035</v>
      </c>
      <c r="CC183" s="177">
        <f t="shared" si="251"/>
        <v>0.83411911937901673</v>
      </c>
      <c r="CD183" s="5">
        <f t="shared" si="295"/>
        <v>4.38</v>
      </c>
      <c r="CE183" s="177">
        <f t="shared" si="296"/>
        <v>0.84002683861231808</v>
      </c>
      <c r="CF183" s="5">
        <f t="shared" si="297"/>
        <v>84.002683861231802</v>
      </c>
      <c r="CG183">
        <f t="shared" si="298"/>
        <v>73</v>
      </c>
      <c r="CI183" s="571">
        <f t="shared" si="332"/>
        <v>-50</v>
      </c>
      <c r="CJ183">
        <f t="shared" si="333"/>
        <v>-50</v>
      </c>
    </row>
    <row r="184" spans="5:88" x14ac:dyDescent="0.2">
      <c r="E184" s="174">
        <v>74</v>
      </c>
      <c r="F184" s="221">
        <f t="shared" si="334"/>
        <v>0.74</v>
      </c>
      <c r="G184" s="221">
        <f t="shared" si="299"/>
        <v>0.14799999999999999</v>
      </c>
      <c r="H184" s="221">
        <f t="shared" si="300"/>
        <v>3.7</v>
      </c>
      <c r="I184" s="221">
        <f t="shared" si="301"/>
        <v>0.74</v>
      </c>
      <c r="J184" s="551">
        <f t="shared" si="302"/>
        <v>23</v>
      </c>
      <c r="K184" s="451">
        <f t="shared" si="303"/>
        <v>10.64</v>
      </c>
      <c r="L184" s="451">
        <f t="shared" si="304"/>
        <v>33.64</v>
      </c>
      <c r="M184" s="451"/>
      <c r="N184" s="221">
        <f t="shared" si="305"/>
        <v>0.31629013079667062</v>
      </c>
      <c r="O184" s="176">
        <f t="shared" si="306"/>
        <v>11.184809750297264</v>
      </c>
      <c r="P184" s="176">
        <f t="shared" si="307"/>
        <v>2.6843543400713439</v>
      </c>
      <c r="Q184" s="221">
        <f t="shared" si="308"/>
        <v>2.2369619500594529</v>
      </c>
      <c r="R184" s="221">
        <f t="shared" si="309"/>
        <v>2.2369619500594529</v>
      </c>
      <c r="S184" s="221">
        <f t="shared" si="310"/>
        <v>5</v>
      </c>
      <c r="T184" s="221">
        <f t="shared" si="311"/>
        <v>1.3563038029857253</v>
      </c>
      <c r="U184" s="221">
        <f t="shared" si="312"/>
        <v>0.41278811395217729</v>
      </c>
      <c r="V184" s="221">
        <f t="shared" si="313"/>
        <v>0.89230513354324037</v>
      </c>
      <c r="W184" s="201">
        <f t="shared" si="314"/>
        <v>350</v>
      </c>
      <c r="X184" s="451">
        <f t="shared" si="315"/>
        <v>350</v>
      </c>
      <c r="Z184" s="221">
        <f t="shared" si="316"/>
        <v>2.9692542891116021</v>
      </c>
      <c r="AA184" s="177">
        <f t="shared" si="317"/>
        <v>1.9534567691523697</v>
      </c>
      <c r="AB184" s="177">
        <f t="shared" si="318"/>
        <v>1.6917570513665985</v>
      </c>
      <c r="AC184" s="177"/>
      <c r="AD184" s="177">
        <f t="shared" si="319"/>
        <v>0.53947368421052622</v>
      </c>
      <c r="AE184" s="555">
        <f t="shared" si="320"/>
        <v>1672.813801308745</v>
      </c>
      <c r="AF184" s="538">
        <f t="shared" si="321"/>
        <v>0.15482894736842101</v>
      </c>
      <c r="AH184" s="177">
        <f t="shared" si="322"/>
        <v>1.9038092855951636</v>
      </c>
      <c r="AI184" s="177">
        <f t="shared" si="323"/>
        <v>1.9038092855951636</v>
      </c>
      <c r="AJ184" s="177">
        <f t="shared" si="324"/>
        <v>2.0028216930334546</v>
      </c>
      <c r="AL184" s="555">
        <f t="shared" si="325"/>
        <v>740</v>
      </c>
      <c r="AM184" s="469">
        <f t="shared" si="326"/>
        <v>350</v>
      </c>
      <c r="AO184">
        <f t="shared" si="327"/>
        <v>740</v>
      </c>
      <c r="AP184">
        <f t="shared" si="328"/>
        <v>350</v>
      </c>
      <c r="AR184" s="5">
        <f t="shared" si="249"/>
        <v>2.8571428571428572</v>
      </c>
      <c r="AS184" s="5">
        <f t="shared" si="335"/>
        <v>0.57942021735504978</v>
      </c>
      <c r="AT184" s="5">
        <f t="shared" si="336"/>
        <v>2.2777226397878074</v>
      </c>
      <c r="AU184" s="177">
        <f t="shared" si="337"/>
        <v>0.20279707607426742</v>
      </c>
      <c r="AW184" s="5">
        <f t="shared" si="275"/>
        <v>8.575419216854737</v>
      </c>
      <c r="AX184" s="5"/>
      <c r="AY184" s="5">
        <f t="shared" si="276"/>
        <v>1.7150838433709474</v>
      </c>
      <c r="AZ184" s="5"/>
      <c r="BA184" s="5">
        <f t="shared" si="277"/>
        <v>0.33927430624858645</v>
      </c>
      <c r="BB184" s="5"/>
      <c r="BC184" s="5"/>
      <c r="BD184" s="177">
        <f t="shared" si="278"/>
        <v>0.49498684591049585</v>
      </c>
      <c r="BE184" s="177">
        <f t="shared" si="279"/>
        <v>1.9628054286471712</v>
      </c>
      <c r="BF184" s="177">
        <f t="shared" si="280"/>
        <v>0.39256108572943427</v>
      </c>
      <c r="BG184" s="177"/>
      <c r="BH184" s="538">
        <f t="shared" si="281"/>
        <v>2.6951317538686306E-2</v>
      </c>
      <c r="BI184" s="538">
        <f t="shared" si="282"/>
        <v>0.1120772526429873</v>
      </c>
      <c r="BJ184" s="538">
        <f t="shared" si="283"/>
        <v>1.7499999999999998E-2</v>
      </c>
      <c r="BK184" s="538">
        <f t="shared" si="284"/>
        <v>8.9117405999999996E-2</v>
      </c>
      <c r="BL184">
        <f t="shared" si="285"/>
        <v>6.6699999999999997E-3</v>
      </c>
      <c r="BM184">
        <f t="shared" si="329"/>
        <v>6.3E-5</v>
      </c>
      <c r="BN184">
        <f t="shared" si="330"/>
        <v>0.25729681712599661</v>
      </c>
      <c r="BO184" s="469">
        <f t="shared" si="286"/>
        <v>252.31597618167362</v>
      </c>
      <c r="BP184" s="177">
        <f t="shared" si="287"/>
        <v>0.29599999999999999</v>
      </c>
      <c r="BQ184" s="177">
        <f t="shared" si="288"/>
        <v>5.9200000000000003E-2</v>
      </c>
      <c r="BR184" s="538"/>
      <c r="BT184" s="469">
        <f t="shared" si="289"/>
        <v>355.19999999999993</v>
      </c>
      <c r="BU184" s="538">
        <f t="shared" si="290"/>
        <v>2.4501197762442098E-2</v>
      </c>
      <c r="BV184" s="538">
        <f t="shared" si="291"/>
        <v>0.11557815452180417</v>
      </c>
      <c r="BW184" s="538">
        <f t="shared" si="292"/>
        <v>7.7052103014536126E-3</v>
      </c>
      <c r="BX184" s="538">
        <f t="shared" si="293"/>
        <v>0</v>
      </c>
      <c r="BY184" s="538">
        <f t="shared" si="274"/>
        <v>0.1674990115484013</v>
      </c>
      <c r="BZ184" s="538">
        <f t="shared" si="250"/>
        <v>0.14778456258569989</v>
      </c>
      <c r="CA184" s="641">
        <f t="shared" si="331"/>
        <v>6.3428571428571431E-2</v>
      </c>
      <c r="CB184" s="469">
        <f t="shared" si="294"/>
        <v>526.49670814837248</v>
      </c>
      <c r="CC184" s="177">
        <f t="shared" si="251"/>
        <v>0.84342440010296937</v>
      </c>
      <c r="CD184" s="5">
        <f t="shared" si="295"/>
        <v>4.4400000000000004</v>
      </c>
      <c r="CE184" s="177">
        <f t="shared" si="296"/>
        <v>0.84036406386612983</v>
      </c>
      <c r="CF184" s="5">
        <f t="shared" si="297"/>
        <v>84.036406386612981</v>
      </c>
      <c r="CG184">
        <f t="shared" si="298"/>
        <v>74</v>
      </c>
      <c r="CI184" s="571">
        <f t="shared" si="332"/>
        <v>-50</v>
      </c>
      <c r="CJ184">
        <f t="shared" si="333"/>
        <v>-50</v>
      </c>
    </row>
    <row r="185" spans="5:88" x14ac:dyDescent="0.2">
      <c r="E185" s="174">
        <v>75</v>
      </c>
      <c r="F185" s="221">
        <f t="shared" si="334"/>
        <v>0.75</v>
      </c>
      <c r="G185" s="221">
        <f t="shared" si="299"/>
        <v>0.15000000000000002</v>
      </c>
      <c r="H185" s="221">
        <f t="shared" si="300"/>
        <v>3.75</v>
      </c>
      <c r="I185" s="221">
        <f t="shared" si="301"/>
        <v>0.75000000000000011</v>
      </c>
      <c r="J185" s="551">
        <f t="shared" si="302"/>
        <v>23</v>
      </c>
      <c r="K185" s="451">
        <f t="shared" si="303"/>
        <v>10.64</v>
      </c>
      <c r="L185" s="451">
        <f t="shared" si="304"/>
        <v>33.64</v>
      </c>
      <c r="M185" s="451"/>
      <c r="N185" s="221">
        <f t="shared" si="305"/>
        <v>0.31629013079667062</v>
      </c>
      <c r="O185" s="176">
        <f t="shared" si="306"/>
        <v>11.184809750297264</v>
      </c>
      <c r="P185" s="176">
        <f t="shared" si="307"/>
        <v>2.6843543400713439</v>
      </c>
      <c r="Q185" s="221">
        <f t="shared" si="308"/>
        <v>2.2369619500594529</v>
      </c>
      <c r="R185" s="221">
        <f t="shared" si="309"/>
        <v>2.2369619500594529</v>
      </c>
      <c r="S185" s="221">
        <f t="shared" si="310"/>
        <v>5</v>
      </c>
      <c r="T185" s="221">
        <f t="shared" si="311"/>
        <v>1.3746322327558027</v>
      </c>
      <c r="U185" s="221">
        <f t="shared" si="312"/>
        <v>0.4183663317082878</v>
      </c>
      <c r="V185" s="221">
        <f t="shared" si="313"/>
        <v>0.90436331102355438</v>
      </c>
      <c r="W185" s="201">
        <f t="shared" si="314"/>
        <v>350</v>
      </c>
      <c r="X185" s="451">
        <f t="shared" si="315"/>
        <v>350</v>
      </c>
      <c r="Z185" s="221">
        <f t="shared" si="316"/>
        <v>2.9692542891116021</v>
      </c>
      <c r="AA185" s="177">
        <f t="shared" si="317"/>
        <v>1.9534567691523697</v>
      </c>
      <c r="AB185" s="177">
        <f t="shared" si="318"/>
        <v>1.6917570513665985</v>
      </c>
      <c r="AC185" s="177"/>
      <c r="AD185" s="177">
        <f t="shared" si="319"/>
        <v>0.53947368421052622</v>
      </c>
      <c r="AE185" s="555">
        <f t="shared" si="320"/>
        <v>1695.419393218323</v>
      </c>
      <c r="AF185" s="538">
        <f t="shared" si="321"/>
        <v>0.15482894736842101</v>
      </c>
      <c r="AH185" s="177">
        <f t="shared" si="322"/>
        <v>1.9166296949998196</v>
      </c>
      <c r="AI185" s="177">
        <f t="shared" si="323"/>
        <v>1.9166296949998196</v>
      </c>
      <c r="AJ185" s="177">
        <f t="shared" si="324"/>
        <v>2.0123182925924588</v>
      </c>
      <c r="AL185" s="555">
        <f t="shared" si="325"/>
        <v>750</v>
      </c>
      <c r="AM185" s="469">
        <f t="shared" si="326"/>
        <v>350</v>
      </c>
      <c r="AO185">
        <f t="shared" si="327"/>
        <v>750</v>
      </c>
      <c r="AP185">
        <f t="shared" si="328"/>
        <v>350</v>
      </c>
      <c r="AR185" s="5">
        <f t="shared" si="249"/>
        <v>2.8571428571428572</v>
      </c>
      <c r="AS185" s="5">
        <f t="shared" si="335"/>
        <v>0.58332208108690164</v>
      </c>
      <c r="AT185" s="5">
        <f t="shared" si="336"/>
        <v>2.2738207760559557</v>
      </c>
      <c r="AU185" s="177">
        <f t="shared" si="337"/>
        <v>0.20416272838041558</v>
      </c>
      <c r="AW185" s="5">
        <f t="shared" si="275"/>
        <v>8.7498312163035248</v>
      </c>
      <c r="AX185" s="5"/>
      <c r="AY185" s="5">
        <f t="shared" si="276"/>
        <v>1.749966243260705</v>
      </c>
      <c r="AZ185" s="5"/>
      <c r="BA185" s="5">
        <f t="shared" si="277"/>
        <v>0.34327004469443767</v>
      </c>
      <c r="BB185" s="5"/>
      <c r="BC185" s="5"/>
      <c r="BD185" s="177">
        <f t="shared" si="278"/>
        <v>0.49999517758541645</v>
      </c>
      <c r="BE185" s="177">
        <f t="shared" si="279"/>
        <v>1.9743298795385691</v>
      </c>
      <c r="BF185" s="177">
        <f t="shared" si="280"/>
        <v>0.39486597590771383</v>
      </c>
      <c r="BG185" s="177"/>
      <c r="BH185" s="538">
        <f t="shared" si="281"/>
        <v>2.7499469536953935E-2</v>
      </c>
      <c r="BI185" s="538">
        <f t="shared" si="282"/>
        <v>0.11283199014463939</v>
      </c>
      <c r="BJ185" s="538">
        <f t="shared" si="283"/>
        <v>1.7499999999999998E-2</v>
      </c>
      <c r="BK185" s="538">
        <f t="shared" si="284"/>
        <v>8.9117405999999996E-2</v>
      </c>
      <c r="BL185">
        <f t="shared" si="285"/>
        <v>6.6699999999999997E-3</v>
      </c>
      <c r="BM185">
        <f t="shared" si="329"/>
        <v>6.3E-5</v>
      </c>
      <c r="BN185">
        <f t="shared" si="330"/>
        <v>0.25870688279591347</v>
      </c>
      <c r="BO185" s="469">
        <f t="shared" si="286"/>
        <v>253.61886568159332</v>
      </c>
      <c r="BP185" s="177">
        <f t="shared" si="287"/>
        <v>0.30000000000000004</v>
      </c>
      <c r="BQ185" s="177">
        <f t="shared" si="288"/>
        <v>6.0000000000000012E-2</v>
      </c>
      <c r="BR185" s="538"/>
      <c r="BT185" s="469">
        <f t="shared" si="289"/>
        <v>360.00000000000006</v>
      </c>
      <c r="BU185" s="538">
        <f t="shared" si="290"/>
        <v>2.4999517760867215E-2</v>
      </c>
      <c r="BV185" s="538">
        <f t="shared" si="291"/>
        <v>0.11693935419716342</v>
      </c>
      <c r="BW185" s="538">
        <f t="shared" si="292"/>
        <v>7.7959569464775618E-3</v>
      </c>
      <c r="BX185" s="538">
        <f t="shared" si="293"/>
        <v>0</v>
      </c>
      <c r="BY185" s="538">
        <f t="shared" si="274"/>
        <v>0.16973624255204309</v>
      </c>
      <c r="BZ185" s="538">
        <f t="shared" si="250"/>
        <v>0.14973482890450818</v>
      </c>
      <c r="CA185" s="641">
        <f t="shared" si="331"/>
        <v>6.4285714285714293E-2</v>
      </c>
      <c r="CB185" s="469">
        <f t="shared" si="294"/>
        <v>533.49161464677377</v>
      </c>
      <c r="CC185" s="177">
        <f t="shared" si="251"/>
        <v>0.85272883963367097</v>
      </c>
      <c r="CD185" s="5">
        <f t="shared" si="295"/>
        <v>4.5</v>
      </c>
      <c r="CE185" s="177">
        <f t="shared" si="296"/>
        <v>0.84069268868623848</v>
      </c>
      <c r="CF185" s="5">
        <f t="shared" si="297"/>
        <v>84.069268868623851</v>
      </c>
      <c r="CG185">
        <f t="shared" si="298"/>
        <v>75</v>
      </c>
      <c r="CI185" s="571">
        <f t="shared" si="332"/>
        <v>-50</v>
      </c>
      <c r="CJ185">
        <f t="shared" si="333"/>
        <v>-50</v>
      </c>
    </row>
    <row r="186" spans="5:88" x14ac:dyDescent="0.2">
      <c r="E186" s="174">
        <v>76</v>
      </c>
      <c r="F186" s="221">
        <f t="shared" si="334"/>
        <v>0.76</v>
      </c>
      <c r="G186" s="221">
        <f t="shared" si="299"/>
        <v>0.15200000000000002</v>
      </c>
      <c r="H186" s="221">
        <f t="shared" si="300"/>
        <v>3.8</v>
      </c>
      <c r="I186" s="221">
        <f t="shared" si="301"/>
        <v>0.76000000000000012</v>
      </c>
      <c r="J186" s="551">
        <f t="shared" si="302"/>
        <v>23</v>
      </c>
      <c r="K186" s="451">
        <f t="shared" si="303"/>
        <v>10.64</v>
      </c>
      <c r="L186" s="451">
        <f t="shared" si="304"/>
        <v>33.64</v>
      </c>
      <c r="M186" s="451"/>
      <c r="N186" s="221">
        <f t="shared" si="305"/>
        <v>0.31629013079667062</v>
      </c>
      <c r="O186" s="176">
        <f t="shared" si="306"/>
        <v>11.184809750297264</v>
      </c>
      <c r="P186" s="176">
        <f t="shared" si="307"/>
        <v>2.6843543400713439</v>
      </c>
      <c r="Q186" s="221">
        <f t="shared" si="308"/>
        <v>2.2369619500594529</v>
      </c>
      <c r="R186" s="221">
        <f t="shared" si="309"/>
        <v>2.2369619500594529</v>
      </c>
      <c r="S186" s="221">
        <f t="shared" si="310"/>
        <v>5</v>
      </c>
      <c r="T186" s="221">
        <f t="shared" si="311"/>
        <v>1.3929606625258799</v>
      </c>
      <c r="U186" s="221">
        <f t="shared" si="312"/>
        <v>0.42394454946439819</v>
      </c>
      <c r="V186" s="221">
        <f t="shared" si="313"/>
        <v>0.91642148850386818</v>
      </c>
      <c r="W186" s="201">
        <f t="shared" si="314"/>
        <v>350</v>
      </c>
      <c r="X186" s="451">
        <f t="shared" si="315"/>
        <v>350</v>
      </c>
      <c r="Z186" s="221">
        <f t="shared" si="316"/>
        <v>2.9692542891116021</v>
      </c>
      <c r="AA186" s="177">
        <f t="shared" si="317"/>
        <v>1.9534567691523697</v>
      </c>
      <c r="AB186" s="177">
        <f t="shared" si="318"/>
        <v>1.6917570513665985</v>
      </c>
      <c r="AC186" s="177"/>
      <c r="AD186" s="177">
        <f t="shared" si="319"/>
        <v>0.53947368421052622</v>
      </c>
      <c r="AE186" s="555">
        <f t="shared" si="320"/>
        <v>1718.0249851279</v>
      </c>
      <c r="AF186" s="538">
        <f t="shared" si="321"/>
        <v>0.15482894736842101</v>
      </c>
      <c r="AH186" s="177">
        <f t="shared" si="322"/>
        <v>1.9293649161296149</v>
      </c>
      <c r="AI186" s="177">
        <f t="shared" si="323"/>
        <v>1.9293649161296149</v>
      </c>
      <c r="AJ186" s="177">
        <f t="shared" si="324"/>
        <v>2.0217517897256405</v>
      </c>
      <c r="AL186" s="555">
        <f t="shared" si="325"/>
        <v>760</v>
      </c>
      <c r="AM186" s="469">
        <f t="shared" si="326"/>
        <v>350</v>
      </c>
      <c r="AO186">
        <f t="shared" si="327"/>
        <v>760</v>
      </c>
      <c r="AP186">
        <f t="shared" si="328"/>
        <v>350</v>
      </c>
      <c r="AR186" s="5">
        <f t="shared" si="249"/>
        <v>2.8571428571428572</v>
      </c>
      <c r="AS186" s="5">
        <f t="shared" si="335"/>
        <v>0.58719801795249149</v>
      </c>
      <c r="AT186" s="5">
        <f t="shared" si="336"/>
        <v>2.2699448391903658</v>
      </c>
      <c r="AU186" s="177">
        <f t="shared" si="337"/>
        <v>0.20551930628337201</v>
      </c>
      <c r="AW186" s="5">
        <f t="shared" si="275"/>
        <v>8.9254098728778715</v>
      </c>
      <c r="AX186" s="5"/>
      <c r="AY186" s="5">
        <f t="shared" si="276"/>
        <v>1.7850819745755746</v>
      </c>
      <c r="AZ186" s="5"/>
      <c r="BA186" s="5">
        <f t="shared" si="277"/>
        <v>0.34725404142203664</v>
      </c>
      <c r="BB186" s="5"/>
      <c r="BC186" s="5"/>
      <c r="BD186" s="177">
        <f t="shared" si="278"/>
        <v>0.50498684205992272</v>
      </c>
      <c r="BE186" s="177">
        <f t="shared" si="279"/>
        <v>1.9857538778780806</v>
      </c>
      <c r="BF186" s="177">
        <f t="shared" si="280"/>
        <v>0.39715077557561612</v>
      </c>
      <c r="BG186" s="177"/>
      <c r="BH186" s="538">
        <f t="shared" si="281"/>
        <v>2.8051288171901868E-2</v>
      </c>
      <c r="BI186" s="538">
        <f t="shared" si="282"/>
        <v>0.11358171261255044</v>
      </c>
      <c r="BJ186" s="538">
        <f t="shared" si="283"/>
        <v>1.7499999999999998E-2</v>
      </c>
      <c r="BK186" s="538">
        <f t="shared" si="284"/>
        <v>8.9117405999999996E-2</v>
      </c>
      <c r="BL186">
        <f t="shared" si="285"/>
        <v>6.6699999999999997E-3</v>
      </c>
      <c r="BM186">
        <f t="shared" si="329"/>
        <v>6.3E-5</v>
      </c>
      <c r="BN186">
        <f t="shared" si="330"/>
        <v>0.26011655420319257</v>
      </c>
      <c r="BO186" s="469">
        <f t="shared" si="286"/>
        <v>254.92040678445233</v>
      </c>
      <c r="BP186" s="177">
        <f t="shared" si="287"/>
        <v>0.30400000000000005</v>
      </c>
      <c r="BQ186" s="177">
        <f t="shared" si="288"/>
        <v>6.0800000000000014E-2</v>
      </c>
      <c r="BR186" s="538"/>
      <c r="BT186" s="469">
        <f t="shared" si="289"/>
        <v>364.80000000000007</v>
      </c>
      <c r="BU186" s="538">
        <f t="shared" si="290"/>
        <v>2.5501171065365338E-2</v>
      </c>
      <c r="BV186" s="538">
        <f t="shared" si="291"/>
        <v>0.11829655390523504</v>
      </c>
      <c r="BW186" s="538">
        <f t="shared" si="292"/>
        <v>7.886436927015671E-3</v>
      </c>
      <c r="BX186" s="538">
        <f t="shared" si="293"/>
        <v>0</v>
      </c>
      <c r="BY186" s="538">
        <f t="shared" si="274"/>
        <v>0.17197310907889476</v>
      </c>
      <c r="BZ186" s="538">
        <f t="shared" si="250"/>
        <v>0.15168416189761605</v>
      </c>
      <c r="CA186" s="641">
        <f t="shared" si="331"/>
        <v>6.5142857142857127E-2</v>
      </c>
      <c r="CB186" s="469">
        <f t="shared" si="294"/>
        <v>540.484290016984</v>
      </c>
      <c r="CC186" s="177">
        <f t="shared" si="251"/>
        <v>0.86203252042494449</v>
      </c>
      <c r="CD186" s="5">
        <f t="shared" si="295"/>
        <v>4.5599999999999996</v>
      </c>
      <c r="CE186" s="177">
        <f t="shared" si="296"/>
        <v>0.84101303022849005</v>
      </c>
      <c r="CF186" s="5">
        <f t="shared" si="297"/>
        <v>84.101303022849009</v>
      </c>
      <c r="CG186">
        <f t="shared" si="298"/>
        <v>76</v>
      </c>
      <c r="CI186" s="571">
        <f t="shared" si="332"/>
        <v>-50</v>
      </c>
      <c r="CJ186">
        <f t="shared" si="333"/>
        <v>-50</v>
      </c>
    </row>
    <row r="187" spans="5:88" x14ac:dyDescent="0.2">
      <c r="E187" s="174">
        <v>77</v>
      </c>
      <c r="F187" s="221">
        <f t="shared" si="334"/>
        <v>0.77</v>
      </c>
      <c r="G187" s="221">
        <f t="shared" si="299"/>
        <v>0.15400000000000003</v>
      </c>
      <c r="H187" s="221">
        <f t="shared" si="300"/>
        <v>3.85</v>
      </c>
      <c r="I187" s="221">
        <f t="shared" si="301"/>
        <v>0.77000000000000013</v>
      </c>
      <c r="J187" s="551">
        <f t="shared" si="302"/>
        <v>23</v>
      </c>
      <c r="K187" s="451">
        <f t="shared" si="303"/>
        <v>10.64</v>
      </c>
      <c r="L187" s="451">
        <f t="shared" si="304"/>
        <v>33.64</v>
      </c>
      <c r="M187" s="451"/>
      <c r="N187" s="221">
        <f t="shared" si="305"/>
        <v>0.31629013079667062</v>
      </c>
      <c r="O187" s="176">
        <f t="shared" si="306"/>
        <v>11.184809750297264</v>
      </c>
      <c r="P187" s="176">
        <f t="shared" si="307"/>
        <v>2.6843543400713439</v>
      </c>
      <c r="Q187" s="221">
        <f t="shared" si="308"/>
        <v>2.2369619500594529</v>
      </c>
      <c r="R187" s="221">
        <f t="shared" si="309"/>
        <v>2.2369619500594529</v>
      </c>
      <c r="S187" s="221">
        <f t="shared" si="310"/>
        <v>5</v>
      </c>
      <c r="T187" s="221">
        <f t="shared" si="311"/>
        <v>1.4112890922959573</v>
      </c>
      <c r="U187" s="221">
        <f t="shared" si="312"/>
        <v>0.42952276722050875</v>
      </c>
      <c r="V187" s="221">
        <f t="shared" si="313"/>
        <v>0.92847966598418241</v>
      </c>
      <c r="W187" s="201">
        <f t="shared" si="314"/>
        <v>350</v>
      </c>
      <c r="X187" s="451">
        <f t="shared" si="315"/>
        <v>350</v>
      </c>
      <c r="Z187" s="221">
        <f t="shared" si="316"/>
        <v>2.9692542891116021</v>
      </c>
      <c r="AA187" s="177">
        <f t="shared" si="317"/>
        <v>1.9534567691523697</v>
      </c>
      <c r="AB187" s="177">
        <f t="shared" si="318"/>
        <v>1.6917570513665985</v>
      </c>
      <c r="AC187" s="177"/>
      <c r="AD187" s="177">
        <f t="shared" si="319"/>
        <v>0.53947368421052622</v>
      </c>
      <c r="AE187" s="555">
        <f t="shared" si="320"/>
        <v>1740.6305770374779</v>
      </c>
      <c r="AF187" s="538">
        <f t="shared" si="321"/>
        <v>0.15482894736842101</v>
      </c>
      <c r="AH187" s="177">
        <f t="shared" si="322"/>
        <v>1.9420166249104489</v>
      </c>
      <c r="AI187" s="177">
        <f t="shared" si="323"/>
        <v>1.9420166249104489</v>
      </c>
      <c r="AJ187" s="177">
        <f t="shared" si="324"/>
        <v>2.031123425859592</v>
      </c>
      <c r="AL187" s="555">
        <f t="shared" si="325"/>
        <v>770</v>
      </c>
      <c r="AM187" s="469">
        <f t="shared" si="326"/>
        <v>350</v>
      </c>
      <c r="AO187">
        <f t="shared" si="327"/>
        <v>770</v>
      </c>
      <c r="AP187">
        <f t="shared" si="328"/>
        <v>350</v>
      </c>
      <c r="AR187" s="5">
        <f t="shared" si="249"/>
        <v>2.8571428571428572</v>
      </c>
      <c r="AS187" s="5">
        <f t="shared" si="335"/>
        <v>0.59104853801622359</v>
      </c>
      <c r="AT187" s="5">
        <f t="shared" si="336"/>
        <v>2.2660943191266334</v>
      </c>
      <c r="AU187" s="177">
        <f t="shared" si="337"/>
        <v>0.20686698830567826</v>
      </c>
      <c r="AW187" s="5">
        <f t="shared" si="275"/>
        <v>9.1021474854498425</v>
      </c>
      <c r="AX187" s="5"/>
      <c r="AY187" s="5">
        <f t="shared" si="276"/>
        <v>1.820429497089969</v>
      </c>
      <c r="AZ187" s="5"/>
      <c r="BA187" s="5">
        <f t="shared" si="277"/>
        <v>0.3512263739387092</v>
      </c>
      <c r="BB187" s="5"/>
      <c r="BC187" s="5"/>
      <c r="BD187" s="177">
        <f t="shared" si="278"/>
        <v>0.50996211303109407</v>
      </c>
      <c r="BE187" s="177">
        <f t="shared" si="279"/>
        <v>1.9970793678927421</v>
      </c>
      <c r="BF187" s="177">
        <f t="shared" si="280"/>
        <v>0.39941587357854846</v>
      </c>
      <c r="BG187" s="177"/>
      <c r="BH187" s="538">
        <f t="shared" si="281"/>
        <v>2.860674923998522E-2</v>
      </c>
      <c r="BI187" s="538">
        <f t="shared" si="282"/>
        <v>0.11432651870847813</v>
      </c>
      <c r="BJ187" s="538">
        <f t="shared" si="283"/>
        <v>1.7499999999999998E-2</v>
      </c>
      <c r="BK187" s="538">
        <f t="shared" si="284"/>
        <v>8.9117405999999996E-2</v>
      </c>
      <c r="BL187">
        <f t="shared" si="285"/>
        <v>6.6699999999999997E-3</v>
      </c>
      <c r="BM187">
        <f t="shared" si="329"/>
        <v>6.3E-5</v>
      </c>
      <c r="BN187">
        <f t="shared" si="330"/>
        <v>0.26152590449727359</v>
      </c>
      <c r="BO187" s="469">
        <f t="shared" si="286"/>
        <v>256.22067394846334</v>
      </c>
      <c r="BP187" s="177">
        <f t="shared" si="287"/>
        <v>0.30800000000000005</v>
      </c>
      <c r="BQ187" s="177">
        <f t="shared" si="288"/>
        <v>6.1600000000000016E-2</v>
      </c>
      <c r="BR187" s="538"/>
      <c r="BT187" s="469">
        <f t="shared" si="289"/>
        <v>369.6</v>
      </c>
      <c r="BU187" s="538">
        <f t="shared" si="290"/>
        <v>2.6006135672713839E-2</v>
      </c>
      <c r="BV187" s="538">
        <f t="shared" si="291"/>
        <v>0.11964978004988623</v>
      </c>
      <c r="BW187" s="538">
        <f t="shared" si="292"/>
        <v>7.9766520033257501E-3</v>
      </c>
      <c r="BX187" s="538">
        <f t="shared" si="293"/>
        <v>0</v>
      </c>
      <c r="BY187" s="538">
        <f t="shared" si="274"/>
        <v>0.17420961752203387</v>
      </c>
      <c r="BZ187" s="538">
        <f t="shared" si="250"/>
        <v>0.15363256772592582</v>
      </c>
      <c r="CA187" s="641">
        <f t="shared" si="331"/>
        <v>6.6000000000000003E-2</v>
      </c>
      <c r="CB187" s="469">
        <f t="shared" si="294"/>
        <v>547.47475297388553</v>
      </c>
      <c r="CC187" s="177">
        <f t="shared" si="251"/>
        <v>0.87133552201930753</v>
      </c>
      <c r="CD187" s="5">
        <f t="shared" si="295"/>
        <v>4.62</v>
      </c>
      <c r="CE187" s="177">
        <f t="shared" si="296"/>
        <v>0.84132539005759122</v>
      </c>
      <c r="CF187" s="5">
        <f t="shared" si="297"/>
        <v>84.132539005759128</v>
      </c>
      <c r="CG187">
        <f t="shared" si="298"/>
        <v>77</v>
      </c>
      <c r="CI187" s="571">
        <f t="shared" si="332"/>
        <v>-50</v>
      </c>
      <c r="CJ187">
        <f t="shared" si="333"/>
        <v>-50</v>
      </c>
    </row>
    <row r="188" spans="5:88" x14ac:dyDescent="0.2">
      <c r="E188" s="174">
        <v>78</v>
      </c>
      <c r="F188" s="221">
        <f t="shared" si="334"/>
        <v>0.78</v>
      </c>
      <c r="G188" s="221">
        <f t="shared" si="299"/>
        <v>0.15600000000000003</v>
      </c>
      <c r="H188" s="221">
        <f t="shared" si="300"/>
        <v>3.9000000000000004</v>
      </c>
      <c r="I188" s="221">
        <f t="shared" si="301"/>
        <v>0.78000000000000014</v>
      </c>
      <c r="J188" s="551">
        <f t="shared" si="302"/>
        <v>23</v>
      </c>
      <c r="K188" s="451">
        <f t="shared" si="303"/>
        <v>10.64</v>
      </c>
      <c r="L188" s="451">
        <f t="shared" si="304"/>
        <v>33.64</v>
      </c>
      <c r="M188" s="451"/>
      <c r="N188" s="221">
        <f t="shared" si="305"/>
        <v>0.31629013079667062</v>
      </c>
      <c r="O188" s="176">
        <f t="shared" si="306"/>
        <v>11.184809750297264</v>
      </c>
      <c r="P188" s="176">
        <f t="shared" si="307"/>
        <v>2.6843543400713439</v>
      </c>
      <c r="Q188" s="221">
        <f t="shared" si="308"/>
        <v>2.2369619500594529</v>
      </c>
      <c r="R188" s="221">
        <f t="shared" si="309"/>
        <v>2.2369619500594529</v>
      </c>
      <c r="S188" s="221">
        <f t="shared" si="310"/>
        <v>5</v>
      </c>
      <c r="T188" s="221">
        <f t="shared" si="311"/>
        <v>1.429617522066035</v>
      </c>
      <c r="U188" s="221">
        <f t="shared" si="312"/>
        <v>0.43510098497661936</v>
      </c>
      <c r="V188" s="221">
        <f t="shared" si="313"/>
        <v>0.94053784346449665</v>
      </c>
      <c r="W188" s="201">
        <f t="shared" si="314"/>
        <v>350</v>
      </c>
      <c r="X188" s="451">
        <f t="shared" si="315"/>
        <v>350</v>
      </c>
      <c r="Z188" s="221">
        <f t="shared" si="316"/>
        <v>2.9692542891116021</v>
      </c>
      <c r="AA188" s="177">
        <f t="shared" si="317"/>
        <v>1.9534567691523697</v>
      </c>
      <c r="AB188" s="177">
        <f t="shared" si="318"/>
        <v>1.6917570513665985</v>
      </c>
      <c r="AC188" s="177"/>
      <c r="AD188" s="177">
        <f t="shared" si="319"/>
        <v>0.53947368421052622</v>
      </c>
      <c r="AE188" s="555">
        <f t="shared" si="320"/>
        <v>1763.2361689470556</v>
      </c>
      <c r="AF188" s="538">
        <f t="shared" si="321"/>
        <v>0.15482894736842101</v>
      </c>
      <c r="AH188" s="177">
        <f t="shared" si="322"/>
        <v>1.9545864430270936</v>
      </c>
      <c r="AI188" s="177">
        <f t="shared" si="323"/>
        <v>1.9545864430270936</v>
      </c>
      <c r="AJ188" s="177">
        <f t="shared" si="324"/>
        <v>2.0404344022422918</v>
      </c>
      <c r="AL188" s="555">
        <f t="shared" si="325"/>
        <v>780</v>
      </c>
      <c r="AM188" s="469">
        <f t="shared" si="326"/>
        <v>350</v>
      </c>
      <c r="AO188">
        <f t="shared" si="327"/>
        <v>780</v>
      </c>
      <c r="AP188">
        <f t="shared" si="328"/>
        <v>350</v>
      </c>
      <c r="AR188" s="5">
        <f t="shared" si="249"/>
        <v>2.8571428571428572</v>
      </c>
      <c r="AS188" s="5">
        <f t="shared" si="335"/>
        <v>0.59487413483433282</v>
      </c>
      <c r="AT188" s="5">
        <f t="shared" si="336"/>
        <v>2.2622687223085243</v>
      </c>
      <c r="AU188" s="177">
        <f t="shared" si="337"/>
        <v>0.20820594719201649</v>
      </c>
      <c r="AW188" s="5">
        <f t="shared" si="275"/>
        <v>9.2800365034155927</v>
      </c>
      <c r="AX188" s="5"/>
      <c r="AY188" s="5">
        <f t="shared" si="276"/>
        <v>1.8560073006831188</v>
      </c>
      <c r="AZ188" s="5"/>
      <c r="BA188" s="5">
        <f t="shared" si="277"/>
        <v>0.35518711823684557</v>
      </c>
      <c r="BB188" s="5"/>
      <c r="BC188" s="5"/>
      <c r="BD188" s="177">
        <f t="shared" si="278"/>
        <v>0.51492125621068352</v>
      </c>
      <c r="BE188" s="177">
        <f t="shared" si="279"/>
        <v>2.0083082309820011</v>
      </c>
      <c r="BF188" s="177">
        <f t="shared" si="280"/>
        <v>0.40166164619640021</v>
      </c>
      <c r="BG188" s="177"/>
      <c r="BH188" s="538">
        <f t="shared" si="281"/>
        <v>2.9165829010734719E-2</v>
      </c>
      <c r="BI188" s="538">
        <f t="shared" si="282"/>
        <v>0.11506650390100499</v>
      </c>
      <c r="BJ188" s="538">
        <f t="shared" si="283"/>
        <v>1.7499999999999998E-2</v>
      </c>
      <c r="BK188" s="538">
        <f t="shared" si="284"/>
        <v>8.9117405999999996E-2</v>
      </c>
      <c r="BL188">
        <f t="shared" si="285"/>
        <v>6.6699999999999997E-3</v>
      </c>
      <c r="BM188">
        <f t="shared" si="329"/>
        <v>6.3E-5</v>
      </c>
      <c r="BN188">
        <f t="shared" si="330"/>
        <v>0.26293500418349874</v>
      </c>
      <c r="BO188" s="469">
        <f t="shared" si="286"/>
        <v>257.51973891173969</v>
      </c>
      <c r="BP188" s="177">
        <f t="shared" si="287"/>
        <v>0.31200000000000006</v>
      </c>
      <c r="BQ188" s="177">
        <f t="shared" si="288"/>
        <v>6.2400000000000011E-2</v>
      </c>
      <c r="BR188" s="538"/>
      <c r="BT188" s="469">
        <f t="shared" si="289"/>
        <v>374.40000000000009</v>
      </c>
      <c r="BU188" s="538">
        <f t="shared" si="290"/>
        <v>2.6514390009758838E-2</v>
      </c>
      <c r="BV188" s="538">
        <f t="shared" si="291"/>
        <v>0.12099905851890164</v>
      </c>
      <c r="BW188" s="538">
        <f t="shared" si="292"/>
        <v>8.0666039012601103E-3</v>
      </c>
      <c r="BX188" s="538">
        <f t="shared" si="293"/>
        <v>0</v>
      </c>
      <c r="BY188" s="538">
        <f t="shared" si="274"/>
        <v>0.1764457741449113</v>
      </c>
      <c r="BZ188" s="538">
        <f t="shared" si="250"/>
        <v>0.15558005242992057</v>
      </c>
      <c r="CA188" s="641">
        <f t="shared" si="331"/>
        <v>6.6857142857142865E-2</v>
      </c>
      <c r="CB188" s="469">
        <f t="shared" si="294"/>
        <v>554.4630218618953</v>
      </c>
      <c r="CC188" s="177">
        <f t="shared" si="251"/>
        <v>0.88063792118555295</v>
      </c>
      <c r="CD188" s="5">
        <f t="shared" si="295"/>
        <v>4.6800000000000006</v>
      </c>
      <c r="CE188" s="177">
        <f t="shared" si="296"/>
        <v>0.84163005510026145</v>
      </c>
      <c r="CF188" s="5">
        <f t="shared" si="297"/>
        <v>84.163005510026139</v>
      </c>
      <c r="CG188">
        <f t="shared" si="298"/>
        <v>78</v>
      </c>
      <c r="CI188" s="571">
        <f t="shared" si="332"/>
        <v>-50</v>
      </c>
      <c r="CJ188">
        <f t="shared" si="333"/>
        <v>-50</v>
      </c>
    </row>
    <row r="189" spans="5:88" x14ac:dyDescent="0.2">
      <c r="E189" s="174">
        <v>79</v>
      </c>
      <c r="F189" s="221">
        <f t="shared" si="334"/>
        <v>0.79</v>
      </c>
      <c r="G189" s="221">
        <f t="shared" si="299"/>
        <v>0.15800000000000003</v>
      </c>
      <c r="H189" s="221">
        <f t="shared" si="300"/>
        <v>3.95</v>
      </c>
      <c r="I189" s="221">
        <f t="shared" si="301"/>
        <v>0.79000000000000015</v>
      </c>
      <c r="J189" s="551">
        <f t="shared" si="302"/>
        <v>23</v>
      </c>
      <c r="K189" s="451">
        <f t="shared" si="303"/>
        <v>10.64</v>
      </c>
      <c r="L189" s="451">
        <f t="shared" si="304"/>
        <v>33.64</v>
      </c>
      <c r="M189" s="451"/>
      <c r="N189" s="221">
        <f t="shared" si="305"/>
        <v>0.31629013079667062</v>
      </c>
      <c r="O189" s="176">
        <f t="shared" si="306"/>
        <v>11.184809750297264</v>
      </c>
      <c r="P189" s="176">
        <f t="shared" si="307"/>
        <v>2.6843543400713439</v>
      </c>
      <c r="Q189" s="221">
        <f t="shared" si="308"/>
        <v>2.2369619500594529</v>
      </c>
      <c r="R189" s="221">
        <f t="shared" si="309"/>
        <v>2.2369619500594529</v>
      </c>
      <c r="S189" s="221">
        <f t="shared" si="310"/>
        <v>5</v>
      </c>
      <c r="T189" s="221">
        <f t="shared" si="311"/>
        <v>1.4479459518361122</v>
      </c>
      <c r="U189" s="221">
        <f t="shared" si="312"/>
        <v>0.44067920273272981</v>
      </c>
      <c r="V189" s="221">
        <f t="shared" si="313"/>
        <v>0.95259602094481066</v>
      </c>
      <c r="W189" s="201">
        <f t="shared" si="314"/>
        <v>350</v>
      </c>
      <c r="X189" s="451">
        <f t="shared" si="315"/>
        <v>350</v>
      </c>
      <c r="Z189" s="221">
        <f t="shared" si="316"/>
        <v>2.9692542891116021</v>
      </c>
      <c r="AA189" s="177">
        <f t="shared" si="317"/>
        <v>1.9534567691523697</v>
      </c>
      <c r="AB189" s="177">
        <f t="shared" si="318"/>
        <v>1.6917570513665985</v>
      </c>
      <c r="AC189" s="177"/>
      <c r="AD189" s="177">
        <f t="shared" si="319"/>
        <v>0.53947368421052622</v>
      </c>
      <c r="AE189" s="555">
        <f t="shared" si="320"/>
        <v>1785.8417608566335</v>
      </c>
      <c r="AF189" s="538">
        <f t="shared" si="321"/>
        <v>0.15482894736842101</v>
      </c>
      <c r="AH189" s="177">
        <f t="shared" si="322"/>
        <v>1.9670759403495435</v>
      </c>
      <c r="AI189" s="177">
        <f t="shared" si="323"/>
        <v>1.9670759403495435</v>
      </c>
      <c r="AJ189" s="177">
        <f t="shared" si="324"/>
        <v>2.0496858817404027</v>
      </c>
      <c r="AL189" s="555">
        <f t="shared" si="325"/>
        <v>790</v>
      </c>
      <c r="AM189" s="469">
        <f t="shared" si="326"/>
        <v>350</v>
      </c>
      <c r="AO189">
        <f t="shared" si="327"/>
        <v>790</v>
      </c>
      <c r="AP189">
        <f t="shared" si="328"/>
        <v>350</v>
      </c>
      <c r="AR189" s="5">
        <f t="shared" si="249"/>
        <v>2.8571428571428572</v>
      </c>
      <c r="AS189" s="5">
        <f t="shared" si="335"/>
        <v>0.59867528619333932</v>
      </c>
      <c r="AT189" s="5">
        <f t="shared" si="336"/>
        <v>2.2584675709495179</v>
      </c>
      <c r="AU189" s="177">
        <f t="shared" si="337"/>
        <v>0.20953635016766875</v>
      </c>
      <c r="AW189" s="5">
        <f t="shared" si="275"/>
        <v>9.4590695218547616</v>
      </c>
      <c r="AX189" s="5"/>
      <c r="AY189" s="5">
        <f t="shared" si="276"/>
        <v>1.8918139043709525</v>
      </c>
      <c r="AZ189" s="5"/>
      <c r="BA189" s="5">
        <f t="shared" si="277"/>
        <v>0.35913634884261653</v>
      </c>
      <c r="BB189" s="5"/>
      <c r="BC189" s="5"/>
      <c r="BD189" s="177">
        <f t="shared" si="278"/>
        <v>0.51986452965734287</v>
      </c>
      <c r="BE189" s="177">
        <f t="shared" si="279"/>
        <v>2.0194422885257173</v>
      </c>
      <c r="BF189" s="177">
        <f t="shared" si="280"/>
        <v>0.40388845770514348</v>
      </c>
      <c r="BG189" s="177"/>
      <c r="BH189" s="538">
        <f t="shared" si="281"/>
        <v>2.9728504211543536E-2</v>
      </c>
      <c r="BI189" s="538">
        <f t="shared" si="282"/>
        <v>0.11580176060837763</v>
      </c>
      <c r="BJ189" s="538">
        <f t="shared" si="283"/>
        <v>1.7499999999999998E-2</v>
      </c>
      <c r="BK189" s="538">
        <f t="shared" si="284"/>
        <v>8.9117405999999996E-2</v>
      </c>
      <c r="BL189">
        <f t="shared" si="285"/>
        <v>6.6699999999999997E-3</v>
      </c>
      <c r="BM189">
        <f t="shared" si="329"/>
        <v>6.3E-5</v>
      </c>
      <c r="BN189">
        <f t="shared" si="330"/>
        <v>0.26434392124837525</v>
      </c>
      <c r="BO189" s="469">
        <f t="shared" si="286"/>
        <v>258.81767081992115</v>
      </c>
      <c r="BP189" s="177">
        <f t="shared" si="287"/>
        <v>0.31600000000000006</v>
      </c>
      <c r="BQ189" s="177">
        <f t="shared" si="288"/>
        <v>6.320000000000002E-2</v>
      </c>
      <c r="BR189" s="538"/>
      <c r="BT189" s="469">
        <f t="shared" si="289"/>
        <v>379.2000000000001</v>
      </c>
      <c r="BU189" s="538">
        <f t="shared" si="290"/>
        <v>2.7025912919585032E-2</v>
      </c>
      <c r="BV189" s="538">
        <f t="shared" si="291"/>
        <v>0.12234441470057959</v>
      </c>
      <c r="BW189" s="538">
        <f t="shared" si="292"/>
        <v>8.1562943133719739E-3</v>
      </c>
      <c r="BX189" s="538">
        <f t="shared" si="293"/>
        <v>0</v>
      </c>
      <c r="BY189" s="538">
        <f t="shared" si="274"/>
        <v>0.17868158508558191</v>
      </c>
      <c r="BZ189" s="538">
        <f t="shared" si="250"/>
        <v>0.15752662193353659</v>
      </c>
      <c r="CA189" s="641">
        <f t="shared" si="331"/>
        <v>6.7714285714285727E-2</v>
      </c>
      <c r="CB189" s="469">
        <f t="shared" si="294"/>
        <v>561.44911466694077</v>
      </c>
      <c r="CC189" s="177">
        <f t="shared" si="251"/>
        <v>0.88993979204824292</v>
      </c>
      <c r="CD189" s="5">
        <f t="shared" si="295"/>
        <v>4.74</v>
      </c>
      <c r="CE189" s="177">
        <f t="shared" si="296"/>
        <v>0.84192729852898274</v>
      </c>
      <c r="CF189" s="5">
        <f t="shared" si="297"/>
        <v>84.192729852898267</v>
      </c>
      <c r="CG189">
        <f t="shared" si="298"/>
        <v>79</v>
      </c>
      <c r="CI189" s="571">
        <f t="shared" si="332"/>
        <v>-50</v>
      </c>
      <c r="CJ189">
        <f t="shared" si="333"/>
        <v>-50</v>
      </c>
    </row>
    <row r="190" spans="5:88" x14ac:dyDescent="0.2">
      <c r="E190" s="174">
        <v>80</v>
      </c>
      <c r="F190" s="221">
        <f t="shared" si="334"/>
        <v>0.8</v>
      </c>
      <c r="G190" s="221">
        <f t="shared" si="299"/>
        <v>0.16000000000000003</v>
      </c>
      <c r="H190" s="221">
        <f t="shared" si="300"/>
        <v>4</v>
      </c>
      <c r="I190" s="221">
        <f t="shared" si="301"/>
        <v>0.80000000000000016</v>
      </c>
      <c r="J190" s="551">
        <f t="shared" si="302"/>
        <v>23</v>
      </c>
      <c r="K190" s="451">
        <f t="shared" si="303"/>
        <v>10.64</v>
      </c>
      <c r="L190" s="451">
        <f t="shared" si="304"/>
        <v>33.64</v>
      </c>
      <c r="M190" s="451"/>
      <c r="N190" s="221">
        <f t="shared" si="305"/>
        <v>0.31629013079667062</v>
      </c>
      <c r="O190" s="176">
        <f t="shared" si="306"/>
        <v>11.184809750297264</v>
      </c>
      <c r="P190" s="176">
        <f t="shared" si="307"/>
        <v>2.6843543400713439</v>
      </c>
      <c r="Q190" s="221">
        <f t="shared" si="308"/>
        <v>2.2369619500594529</v>
      </c>
      <c r="R190" s="221">
        <f t="shared" si="309"/>
        <v>2.2369619500594529</v>
      </c>
      <c r="S190" s="221">
        <f t="shared" si="310"/>
        <v>5</v>
      </c>
      <c r="T190" s="221">
        <f t="shared" si="311"/>
        <v>1.4662743816061894</v>
      </c>
      <c r="U190" s="221">
        <f t="shared" si="312"/>
        <v>0.44625742048884021</v>
      </c>
      <c r="V190" s="221">
        <f t="shared" si="313"/>
        <v>0.96465419842512445</v>
      </c>
      <c r="W190" s="201">
        <f t="shared" si="314"/>
        <v>350</v>
      </c>
      <c r="X190" s="451">
        <f t="shared" si="315"/>
        <v>350</v>
      </c>
      <c r="Z190" s="221">
        <f t="shared" si="316"/>
        <v>2.9692542891116021</v>
      </c>
      <c r="AA190" s="177">
        <f t="shared" si="317"/>
        <v>1.9534567691523697</v>
      </c>
      <c r="AB190" s="177">
        <f t="shared" si="318"/>
        <v>1.6917570513665985</v>
      </c>
      <c r="AC190" s="177"/>
      <c r="AD190" s="177">
        <f t="shared" si="319"/>
        <v>0.53947368421052622</v>
      </c>
      <c r="AE190" s="555">
        <f t="shared" si="320"/>
        <v>1808.447352766211</v>
      </c>
      <c r="AF190" s="538">
        <f t="shared" si="321"/>
        <v>0.15482894736842101</v>
      </c>
      <c r="AH190" s="177">
        <f t="shared" si="322"/>
        <v>1.9794866372215738</v>
      </c>
      <c r="AI190" s="177">
        <f t="shared" si="323"/>
        <v>1.9794866372215738</v>
      </c>
      <c r="AJ190" s="177">
        <f t="shared" si="324"/>
        <v>2.0588789905344993</v>
      </c>
      <c r="AL190" s="555">
        <f t="shared" si="325"/>
        <v>800</v>
      </c>
      <c r="AM190" s="469">
        <f t="shared" si="326"/>
        <v>350</v>
      </c>
      <c r="AO190">
        <f t="shared" si="327"/>
        <v>800</v>
      </c>
      <c r="AP190">
        <f t="shared" si="328"/>
        <v>350</v>
      </c>
      <c r="AR190" s="5">
        <f t="shared" si="249"/>
        <v>2.8571428571428572</v>
      </c>
      <c r="AS190" s="5">
        <f t="shared" si="335"/>
        <v>0.60245245480656606</v>
      </c>
      <c r="AT190" s="5">
        <f t="shared" si="336"/>
        <v>2.254690402336291</v>
      </c>
      <c r="AU190" s="177">
        <f t="shared" si="337"/>
        <v>0.21085835918229812</v>
      </c>
      <c r="AW190" s="5">
        <f t="shared" si="275"/>
        <v>9.639239276905057</v>
      </c>
      <c r="AX190" s="5"/>
      <c r="AY190" s="5">
        <f t="shared" si="276"/>
        <v>1.9278478553810119</v>
      </c>
      <c r="AZ190" s="5"/>
      <c r="BA190" s="5">
        <f t="shared" si="277"/>
        <v>0.36307413886252671</v>
      </c>
      <c r="BB190" s="5"/>
      <c r="BC190" s="5"/>
      <c r="BD190" s="177">
        <f t="shared" si="278"/>
        <v>0.52479218409099959</v>
      </c>
      <c r="BE190" s="177">
        <f t="shared" si="279"/>
        <v>2.0304833045327801</v>
      </c>
      <c r="BF190" s="177">
        <f t="shared" si="280"/>
        <v>0.40609666090655605</v>
      </c>
      <c r="BG190" s="177"/>
      <c r="BH190" s="538">
        <f t="shared" si="281"/>
        <v>3.0294752013130179E-2</v>
      </c>
      <c r="BI190" s="538">
        <f t="shared" si="282"/>
        <v>0.11653237833323404</v>
      </c>
      <c r="BJ190" s="538">
        <f t="shared" si="283"/>
        <v>1.7499999999999998E-2</v>
      </c>
      <c r="BK190" s="538">
        <f t="shared" si="284"/>
        <v>8.9117405999999996E-2</v>
      </c>
      <c r="BL190">
        <f t="shared" si="285"/>
        <v>6.6699999999999997E-3</v>
      </c>
      <c r="BM190">
        <f t="shared" si="329"/>
        <v>6.3E-5</v>
      </c>
      <c r="BN190">
        <f t="shared" si="330"/>
        <v>0.26575272127750738</v>
      </c>
      <c r="BO190" s="469">
        <f t="shared" si="286"/>
        <v>260.11453634636422</v>
      </c>
      <c r="BP190" s="177">
        <f t="shared" si="287"/>
        <v>0.32000000000000006</v>
      </c>
      <c r="BQ190" s="177">
        <f t="shared" si="288"/>
        <v>6.4000000000000015E-2</v>
      </c>
      <c r="BR190" s="538"/>
      <c r="BT190" s="469">
        <f t="shared" si="289"/>
        <v>384.00000000000006</v>
      </c>
      <c r="BU190" s="538">
        <f t="shared" si="290"/>
        <v>2.7540683648300163E-2</v>
      </c>
      <c r="BV190" s="538">
        <f t="shared" si="291"/>
        <v>0.12368587349959076</v>
      </c>
      <c r="BW190" s="538">
        <f t="shared" si="292"/>
        <v>8.245724899972719E-3</v>
      </c>
      <c r="BX190" s="538">
        <f t="shared" si="293"/>
        <v>0</v>
      </c>
      <c r="BY190" s="538">
        <f t="shared" si="274"/>
        <v>0.18091705636074573</v>
      </c>
      <c r="BZ190" s="538">
        <f t="shared" si="250"/>
        <v>0.15947228204786365</v>
      </c>
      <c r="CA190" s="641">
        <f t="shared" si="331"/>
        <v>6.8571428571428547E-2</v>
      </c>
      <c r="CB190" s="469">
        <f t="shared" si="294"/>
        <v>568.43304902790157</v>
      </c>
      <c r="CC190" s="177">
        <f t="shared" si="251"/>
        <v>0.89924120620968173</v>
      </c>
      <c r="CD190" s="5">
        <f t="shared" si="295"/>
        <v>4.8</v>
      </c>
      <c r="CE190" s="177">
        <f t="shared" si="296"/>
        <v>0.8422173805821902</v>
      </c>
      <c r="CF190" s="5">
        <f t="shared" si="297"/>
        <v>84.221738058219017</v>
      </c>
      <c r="CG190">
        <f t="shared" si="298"/>
        <v>80</v>
      </c>
      <c r="CI190" s="571">
        <f t="shared" si="332"/>
        <v>-50</v>
      </c>
      <c r="CJ190">
        <f t="shared" si="333"/>
        <v>-50</v>
      </c>
    </row>
    <row r="191" spans="5:88" x14ac:dyDescent="0.2">
      <c r="E191" s="174">
        <v>81</v>
      </c>
      <c r="F191" s="221">
        <f t="shared" si="334"/>
        <v>0.81</v>
      </c>
      <c r="G191" s="221">
        <f t="shared" si="299"/>
        <v>0.16200000000000003</v>
      </c>
      <c r="H191" s="221">
        <f t="shared" si="300"/>
        <v>4.0500000000000007</v>
      </c>
      <c r="I191" s="221">
        <f t="shared" si="301"/>
        <v>0.81000000000000016</v>
      </c>
      <c r="J191" s="551">
        <f t="shared" si="302"/>
        <v>23</v>
      </c>
      <c r="K191" s="451">
        <f t="shared" si="303"/>
        <v>10.64</v>
      </c>
      <c r="L191" s="451">
        <f t="shared" si="304"/>
        <v>33.64</v>
      </c>
      <c r="M191" s="451"/>
      <c r="N191" s="221">
        <f t="shared" si="305"/>
        <v>0.31629013079667062</v>
      </c>
      <c r="O191" s="176">
        <f t="shared" si="306"/>
        <v>11.184809750297264</v>
      </c>
      <c r="P191" s="176">
        <f t="shared" si="307"/>
        <v>2.6843543400713439</v>
      </c>
      <c r="Q191" s="221">
        <f t="shared" si="308"/>
        <v>2.2369619500594529</v>
      </c>
      <c r="R191" s="221">
        <f t="shared" si="309"/>
        <v>2.2369619500594529</v>
      </c>
      <c r="S191" s="221">
        <f t="shared" si="310"/>
        <v>5</v>
      </c>
      <c r="T191" s="221">
        <f t="shared" si="311"/>
        <v>1.4846028113762673</v>
      </c>
      <c r="U191" s="221">
        <f t="shared" si="312"/>
        <v>0.45183563824495088</v>
      </c>
      <c r="V191" s="221">
        <f t="shared" si="313"/>
        <v>0.9767123759054388</v>
      </c>
      <c r="W191" s="201">
        <f t="shared" si="314"/>
        <v>350</v>
      </c>
      <c r="X191" s="451">
        <f t="shared" si="315"/>
        <v>350</v>
      </c>
      <c r="Z191" s="221">
        <f t="shared" si="316"/>
        <v>2.9692542891116021</v>
      </c>
      <c r="AA191" s="177">
        <f t="shared" si="317"/>
        <v>1.9534567691523697</v>
      </c>
      <c r="AB191" s="177">
        <f t="shared" si="318"/>
        <v>1.6917570513665985</v>
      </c>
      <c r="AC191" s="177"/>
      <c r="AD191" s="177">
        <f t="shared" si="319"/>
        <v>0.53947368421052622</v>
      </c>
      <c r="AE191" s="555">
        <f t="shared" si="320"/>
        <v>1831.0529446757887</v>
      </c>
      <c r="AF191" s="538">
        <f t="shared" si="321"/>
        <v>0.15482894736842101</v>
      </c>
      <c r="AH191" s="177">
        <f t="shared" si="322"/>
        <v>1.9918200066209575</v>
      </c>
      <c r="AI191" s="177">
        <f t="shared" si="323"/>
        <v>1.9918200066209575</v>
      </c>
      <c r="AJ191" s="177">
        <f t="shared" si="324"/>
        <v>2.0680148197192274</v>
      </c>
      <c r="AL191" s="555">
        <f t="shared" si="325"/>
        <v>810</v>
      </c>
      <c r="AM191" s="469">
        <f t="shared" si="326"/>
        <v>350</v>
      </c>
      <c r="AO191">
        <f t="shared" si="327"/>
        <v>810</v>
      </c>
      <c r="AP191">
        <f t="shared" si="328"/>
        <v>350</v>
      </c>
      <c r="AR191" s="5">
        <f t="shared" si="249"/>
        <v>2.8571428571428572</v>
      </c>
      <c r="AS191" s="5">
        <f t="shared" si="335"/>
        <v>0.60620608897159578</v>
      </c>
      <c r="AT191" s="5">
        <f t="shared" si="336"/>
        <v>2.2509367681712615</v>
      </c>
      <c r="AU191" s="177">
        <f t="shared" si="337"/>
        <v>0.21217213114005851</v>
      </c>
      <c r="AW191" s="5">
        <f t="shared" si="275"/>
        <v>9.8205386413398532</v>
      </c>
      <c r="AX191" s="5"/>
      <c r="AY191" s="5">
        <f t="shared" si="276"/>
        <v>1.9641077282679709</v>
      </c>
      <c r="AZ191" s="5"/>
      <c r="BA191" s="5">
        <f t="shared" si="277"/>
        <v>0.36700056002792314</v>
      </c>
      <c r="BB191" s="5"/>
      <c r="BC191" s="5"/>
      <c r="BD191" s="177">
        <f t="shared" si="278"/>
        <v>0.52970446319055675</v>
      </c>
      <c r="BE191" s="177">
        <f t="shared" si="279"/>
        <v>2.0414329881412629</v>
      </c>
      <c r="BF191" s="177">
        <f t="shared" si="280"/>
        <v>0.40828659762825259</v>
      </c>
      <c r="BG191" s="177"/>
      <c r="BH191" s="538">
        <f t="shared" si="281"/>
        <v>3.086455001563955E-2</v>
      </c>
      <c r="BI191" s="538">
        <f t="shared" si="282"/>
        <v>0.11725844378977576</v>
      </c>
      <c r="BJ191" s="538">
        <f t="shared" si="283"/>
        <v>1.7499999999999998E-2</v>
      </c>
      <c r="BK191" s="538">
        <f t="shared" si="284"/>
        <v>8.9117405999999996E-2</v>
      </c>
      <c r="BL191">
        <f t="shared" si="285"/>
        <v>6.6699999999999997E-3</v>
      </c>
      <c r="BM191">
        <f t="shared" si="329"/>
        <v>6.3E-5</v>
      </c>
      <c r="BN191">
        <f t="shared" si="330"/>
        <v>0.26716146756671111</v>
      </c>
      <c r="BO191" s="469">
        <f t="shared" si="286"/>
        <v>261.4103998054153</v>
      </c>
      <c r="BP191" s="177">
        <f t="shared" si="287"/>
        <v>0.32400000000000007</v>
      </c>
      <c r="BQ191" s="177">
        <f t="shared" si="288"/>
        <v>6.480000000000001E-2</v>
      </c>
      <c r="BR191" s="538"/>
      <c r="BT191" s="469">
        <f t="shared" si="289"/>
        <v>388.80000000000007</v>
      </c>
      <c r="BU191" s="538">
        <f t="shared" si="290"/>
        <v>2.8058681832399592E-2</v>
      </c>
      <c r="BV191" s="538">
        <f t="shared" si="291"/>
        <v>0.12502345935214096</v>
      </c>
      <c r="BW191" s="538">
        <f t="shared" si="292"/>
        <v>8.3348972901427319E-3</v>
      </c>
      <c r="BX191" s="538">
        <f t="shared" si="293"/>
        <v>0</v>
      </c>
      <c r="BY191" s="538">
        <f t="shared" si="274"/>
        <v>0.18315219386961118</v>
      </c>
      <c r="BZ191" s="538">
        <f t="shared" si="250"/>
        <v>0.16141703847468328</v>
      </c>
      <c r="CA191" s="641">
        <f t="shared" si="331"/>
        <v>6.9428571428571451E-2</v>
      </c>
      <c r="CB191" s="469">
        <f t="shared" si="294"/>
        <v>575.41484224754913</v>
      </c>
      <c r="CC191" s="177">
        <f t="shared" si="251"/>
        <v>0.90854223286489377</v>
      </c>
      <c r="CD191" s="5">
        <f t="shared" si="295"/>
        <v>4.8600000000000012</v>
      </c>
      <c r="CE191" s="177">
        <f t="shared" si="296"/>
        <v>0.84250054932619001</v>
      </c>
      <c r="CF191" s="5">
        <f t="shared" si="297"/>
        <v>84.250054932618994</v>
      </c>
      <c r="CG191">
        <f t="shared" si="298"/>
        <v>81</v>
      </c>
      <c r="CI191" s="571">
        <f t="shared" si="332"/>
        <v>-50</v>
      </c>
      <c r="CJ191">
        <f t="shared" si="333"/>
        <v>-50</v>
      </c>
    </row>
    <row r="192" spans="5:88" x14ac:dyDescent="0.2">
      <c r="E192" s="174">
        <v>82</v>
      </c>
      <c r="F192" s="221">
        <f t="shared" si="334"/>
        <v>0.82</v>
      </c>
      <c r="G192" s="221">
        <f t="shared" si="299"/>
        <v>0.16400000000000001</v>
      </c>
      <c r="H192" s="221">
        <f t="shared" si="300"/>
        <v>4.0999999999999996</v>
      </c>
      <c r="I192" s="221">
        <f t="shared" si="301"/>
        <v>0.82000000000000006</v>
      </c>
      <c r="J192" s="551">
        <f t="shared" si="302"/>
        <v>23</v>
      </c>
      <c r="K192" s="451">
        <f t="shared" si="303"/>
        <v>10.64</v>
      </c>
      <c r="L192" s="451">
        <f t="shared" si="304"/>
        <v>33.64</v>
      </c>
      <c r="M192" s="451"/>
      <c r="N192" s="221">
        <f t="shared" si="305"/>
        <v>0.31629013079667062</v>
      </c>
      <c r="O192" s="176">
        <f t="shared" si="306"/>
        <v>11.184809750297264</v>
      </c>
      <c r="P192" s="176">
        <f t="shared" si="307"/>
        <v>2.6843543400713439</v>
      </c>
      <c r="Q192" s="221">
        <f t="shared" si="308"/>
        <v>2.2369619500594529</v>
      </c>
      <c r="R192" s="221">
        <f t="shared" si="309"/>
        <v>2.2369619500594529</v>
      </c>
      <c r="S192" s="221">
        <f t="shared" si="310"/>
        <v>5</v>
      </c>
      <c r="T192" s="221">
        <f t="shared" si="311"/>
        <v>1.5029312411463442</v>
      </c>
      <c r="U192" s="221">
        <f t="shared" si="312"/>
        <v>0.45741385600106133</v>
      </c>
      <c r="V192" s="221">
        <f t="shared" si="313"/>
        <v>0.9887705533857527</v>
      </c>
      <c r="W192" s="201">
        <f t="shared" si="314"/>
        <v>350</v>
      </c>
      <c r="X192" s="451">
        <f t="shared" si="315"/>
        <v>350</v>
      </c>
      <c r="Z192" s="221">
        <f t="shared" si="316"/>
        <v>2.9692542891116021</v>
      </c>
      <c r="AA192" s="177">
        <f t="shared" si="317"/>
        <v>1.9534567691523697</v>
      </c>
      <c r="AB192" s="177">
        <f t="shared" si="318"/>
        <v>1.6917570513665985</v>
      </c>
      <c r="AC192" s="177"/>
      <c r="AD192" s="177">
        <f t="shared" si="319"/>
        <v>0.53947368421052622</v>
      </c>
      <c r="AE192" s="555">
        <f t="shared" si="320"/>
        <v>1853.6585365853662</v>
      </c>
      <c r="AF192" s="538">
        <f t="shared" si="321"/>
        <v>0.15482894736842101</v>
      </c>
      <c r="AH192" s="177">
        <f t="shared" si="322"/>
        <v>2.0040774762000204</v>
      </c>
      <c r="AI192" s="177">
        <f t="shared" si="323"/>
        <v>2.0040774762000204</v>
      </c>
      <c r="AJ192" s="177">
        <f t="shared" si="324"/>
        <v>2.0770944268148299</v>
      </c>
      <c r="AL192" s="555">
        <f t="shared" si="325"/>
        <v>820</v>
      </c>
      <c r="AM192" s="469">
        <f t="shared" si="326"/>
        <v>350</v>
      </c>
      <c r="AO192">
        <f t="shared" si="327"/>
        <v>820</v>
      </c>
      <c r="AP192">
        <f t="shared" si="328"/>
        <v>350</v>
      </c>
      <c r="AR192" s="5">
        <f t="shared" si="249"/>
        <v>2.8571428571428572</v>
      </c>
      <c r="AS192" s="5">
        <f t="shared" si="335"/>
        <v>0.60993662319131059</v>
      </c>
      <c r="AT192" s="5">
        <f t="shared" si="336"/>
        <v>2.2472062339515464</v>
      </c>
      <c r="AU192" s="177">
        <f t="shared" si="337"/>
        <v>0.21347781811695871</v>
      </c>
      <c r="AW192" s="5">
        <f t="shared" si="275"/>
        <v>10.002960620337493</v>
      </c>
      <c r="AX192" s="5"/>
      <c r="AY192" s="5">
        <f t="shared" si="276"/>
        <v>2.0005921240674986</v>
      </c>
      <c r="AZ192" s="5"/>
      <c r="BA192" s="5">
        <f t="shared" si="277"/>
        <v>0.37091568273757403</v>
      </c>
      <c r="BB192" s="5"/>
      <c r="BC192" s="5"/>
      <c r="BD192" s="177">
        <f t="shared" si="278"/>
        <v>0.5346016038759942</v>
      </c>
      <c r="BE192" s="177">
        <f t="shared" si="279"/>
        <v>2.0522929959801504</v>
      </c>
      <c r="BF192" s="177">
        <f t="shared" si="280"/>
        <v>0.41045859919603012</v>
      </c>
      <c r="BG192" s="177"/>
      <c r="BH192" s="538">
        <f t="shared" si="281"/>
        <v>3.1437876235346392E-2</v>
      </c>
      <c r="BI192" s="538">
        <f t="shared" si="282"/>
        <v>0.11798004102389523</v>
      </c>
      <c r="BJ192" s="538">
        <f t="shared" si="283"/>
        <v>1.7499999999999998E-2</v>
      </c>
      <c r="BK192" s="538">
        <f t="shared" si="284"/>
        <v>8.9117405999999996E-2</v>
      </c>
      <c r="BL192">
        <f t="shared" si="285"/>
        <v>6.6699999999999997E-3</v>
      </c>
      <c r="BM192">
        <f t="shared" si="329"/>
        <v>6.3E-5</v>
      </c>
      <c r="BN192">
        <f t="shared" si="330"/>
        <v>0.26857022122677965</v>
      </c>
      <c r="BO192" s="469">
        <f t="shared" si="286"/>
        <v>262.7053232592416</v>
      </c>
      <c r="BP192" s="177">
        <f t="shared" si="287"/>
        <v>0.32800000000000001</v>
      </c>
      <c r="BQ192" s="177">
        <f t="shared" si="288"/>
        <v>6.5600000000000006E-2</v>
      </c>
      <c r="BR192" s="538"/>
      <c r="BT192" s="469">
        <f t="shared" si="289"/>
        <v>393.6</v>
      </c>
      <c r="BU192" s="538">
        <f t="shared" si="290"/>
        <v>2.8579887486678543E-2</v>
      </c>
      <c r="BV192" s="538">
        <f t="shared" si="291"/>
        <v>0.12635719624047545</v>
      </c>
      <c r="BW192" s="538">
        <f t="shared" si="292"/>
        <v>8.4238130826983643E-3</v>
      </c>
      <c r="BX192" s="538">
        <f t="shared" si="293"/>
        <v>0</v>
      </c>
      <c r="BY192" s="538">
        <f t="shared" si="274"/>
        <v>0.18538700339758832</v>
      </c>
      <c r="BZ192" s="538">
        <f t="shared" si="250"/>
        <v>0.16336089680985233</v>
      </c>
      <c r="CA192" s="641">
        <f t="shared" si="331"/>
        <v>7.0285714285714257E-2</v>
      </c>
      <c r="CB192" s="469">
        <f t="shared" si="294"/>
        <v>582.39451130300722</v>
      </c>
      <c r="CC192" s="177">
        <f t="shared" si="251"/>
        <v>0.91784293891008217</v>
      </c>
      <c r="CD192" s="5">
        <f t="shared" si="295"/>
        <v>4.92</v>
      </c>
      <c r="CE192" s="177">
        <f t="shared" si="296"/>
        <v>0.8427770413635961</v>
      </c>
      <c r="CF192" s="5">
        <f t="shared" si="297"/>
        <v>84.277704136359617</v>
      </c>
      <c r="CG192">
        <f t="shared" si="298"/>
        <v>82</v>
      </c>
      <c r="CI192" s="571">
        <f t="shared" si="332"/>
        <v>-50</v>
      </c>
      <c r="CJ192">
        <f t="shared" si="333"/>
        <v>-50</v>
      </c>
    </row>
    <row r="193" spans="5:88" x14ac:dyDescent="0.2">
      <c r="E193" s="174">
        <v>83</v>
      </c>
      <c r="F193" s="221">
        <f t="shared" si="334"/>
        <v>0.83</v>
      </c>
      <c r="G193" s="221">
        <f t="shared" si="299"/>
        <v>0.16600000000000001</v>
      </c>
      <c r="H193" s="221">
        <f t="shared" si="300"/>
        <v>4.1499999999999995</v>
      </c>
      <c r="I193" s="221">
        <f t="shared" si="301"/>
        <v>0.83000000000000007</v>
      </c>
      <c r="J193" s="551">
        <f t="shared" si="302"/>
        <v>23</v>
      </c>
      <c r="K193" s="451">
        <f t="shared" si="303"/>
        <v>10.64</v>
      </c>
      <c r="L193" s="451">
        <f t="shared" si="304"/>
        <v>33.64</v>
      </c>
      <c r="M193" s="451"/>
      <c r="N193" s="221">
        <f t="shared" si="305"/>
        <v>0.31629013079667062</v>
      </c>
      <c r="O193" s="176">
        <f t="shared" si="306"/>
        <v>11.184809750297264</v>
      </c>
      <c r="P193" s="176">
        <f t="shared" si="307"/>
        <v>2.6843543400713439</v>
      </c>
      <c r="Q193" s="221">
        <f t="shared" si="308"/>
        <v>2.2369619500594529</v>
      </c>
      <c r="R193" s="221">
        <f t="shared" si="309"/>
        <v>2.2369619500594529</v>
      </c>
      <c r="S193" s="221">
        <f t="shared" si="310"/>
        <v>5</v>
      </c>
      <c r="T193" s="221">
        <f t="shared" si="311"/>
        <v>1.5212596709164214</v>
      </c>
      <c r="U193" s="221">
        <f t="shared" si="312"/>
        <v>0.46299207375717172</v>
      </c>
      <c r="V193" s="221">
        <f t="shared" si="313"/>
        <v>1.0008287308660666</v>
      </c>
      <c r="W193" s="201">
        <f t="shared" si="314"/>
        <v>350</v>
      </c>
      <c r="X193" s="451">
        <f t="shared" si="315"/>
        <v>350</v>
      </c>
      <c r="Z193" s="221">
        <f t="shared" si="316"/>
        <v>2.9692542891116021</v>
      </c>
      <c r="AA193" s="177">
        <f t="shared" si="317"/>
        <v>1.9534567691523697</v>
      </c>
      <c r="AB193" s="177">
        <f t="shared" si="318"/>
        <v>1.6917570513665985</v>
      </c>
      <c r="AC193" s="177"/>
      <c r="AD193" s="177">
        <f t="shared" si="319"/>
        <v>0.53947368421052622</v>
      </c>
      <c r="AE193" s="555">
        <f t="shared" si="320"/>
        <v>1876.2641284949436</v>
      </c>
      <c r="AF193" s="538">
        <f t="shared" si="321"/>
        <v>0.15482894736842101</v>
      </c>
      <c r="AH193" s="177">
        <f t="shared" si="322"/>
        <v>2.0162604302145541</v>
      </c>
      <c r="AI193" s="177">
        <f t="shared" si="323"/>
        <v>2.0162604302145541</v>
      </c>
      <c r="AJ193" s="177">
        <f t="shared" si="324"/>
        <v>2.0861188371959662</v>
      </c>
      <c r="AL193" s="555">
        <f t="shared" si="325"/>
        <v>830</v>
      </c>
      <c r="AM193" s="469">
        <f t="shared" si="326"/>
        <v>350</v>
      </c>
      <c r="AO193">
        <f t="shared" si="327"/>
        <v>830</v>
      </c>
      <c r="AP193">
        <f t="shared" si="328"/>
        <v>350</v>
      </c>
      <c r="AR193" s="5">
        <f t="shared" si="249"/>
        <v>2.8571428571428572</v>
      </c>
      <c r="AS193" s="5">
        <f t="shared" si="335"/>
        <v>0.61364447876095118</v>
      </c>
      <c r="AT193" s="5">
        <f t="shared" si="336"/>
        <v>2.243498378381906</v>
      </c>
      <c r="AU193" s="177">
        <f t="shared" si="337"/>
        <v>0.2147755675663329</v>
      </c>
      <c r="AW193" s="5">
        <f t="shared" si="275"/>
        <v>10.186498347431789</v>
      </c>
      <c r="AX193" s="5"/>
      <c r="AY193" s="5">
        <f t="shared" si="276"/>
        <v>2.0372996694863579</v>
      </c>
      <c r="AZ193" s="5"/>
      <c r="BA193" s="5">
        <f t="shared" si="277"/>
        <v>0.3748195760984262</v>
      </c>
      <c r="BB193" s="5"/>
      <c r="BC193" s="5"/>
      <c r="BD193" s="177">
        <f t="shared" si="278"/>
        <v>0.53948383657587229</v>
      </c>
      <c r="BE193" s="177">
        <f t="shared" si="279"/>
        <v>2.0630649344019241</v>
      </c>
      <c r="BF193" s="177">
        <f t="shared" si="280"/>
        <v>0.41261298688038484</v>
      </c>
      <c r="BG193" s="177"/>
      <c r="BH193" s="538">
        <f t="shared" si="281"/>
        <v>3.2014709091928474E-2</v>
      </c>
      <c r="BI193" s="538">
        <f t="shared" si="282"/>
        <v>0.1186972515267308</v>
      </c>
      <c r="BJ193" s="538">
        <f t="shared" si="283"/>
        <v>1.7499999999999998E-2</v>
      </c>
      <c r="BK193" s="538">
        <f t="shared" si="284"/>
        <v>8.9117405999999996E-2</v>
      </c>
      <c r="BL193">
        <f t="shared" si="285"/>
        <v>6.6699999999999997E-3</v>
      </c>
      <c r="BM193">
        <f t="shared" si="329"/>
        <v>6.3E-5</v>
      </c>
      <c r="BN193">
        <f t="shared" si="330"/>
        <v>0.26997904128233657</v>
      </c>
      <c r="BO193" s="469">
        <f t="shared" si="286"/>
        <v>263.99936661865922</v>
      </c>
      <c r="BP193" s="177">
        <f t="shared" si="287"/>
        <v>0.33200000000000002</v>
      </c>
      <c r="BQ193" s="177">
        <f t="shared" si="288"/>
        <v>6.6400000000000001E-2</v>
      </c>
      <c r="BR193" s="538"/>
      <c r="BT193" s="469">
        <f t="shared" si="289"/>
        <v>398.40000000000003</v>
      </c>
      <c r="BU193" s="538">
        <f t="shared" si="290"/>
        <v>2.9104280992662247E-2</v>
      </c>
      <c r="BV193" s="538">
        <f t="shared" si="291"/>
        <v>0.12768710770676447</v>
      </c>
      <c r="BW193" s="538">
        <f t="shared" si="292"/>
        <v>8.5124738471176308E-3</v>
      </c>
      <c r="BX193" s="538">
        <f t="shared" si="293"/>
        <v>0</v>
      </c>
      <c r="BY193" s="538">
        <f t="shared" si="274"/>
        <v>0.18762149061982547</v>
      </c>
      <c r="BZ193" s="538">
        <f t="shared" si="250"/>
        <v>0.16530386254654433</v>
      </c>
      <c r="CA193" s="641">
        <f t="shared" si="331"/>
        <v>7.1142857142857133E-2</v>
      </c>
      <c r="CB193" s="469">
        <f t="shared" ref="CB193:CB210" si="338">SUM(BU193:CA193)*1000</f>
        <v>589.37207285577131</v>
      </c>
      <c r="CC193" s="177">
        <f t="shared" si="251"/>
        <v>0.92714338904501925</v>
      </c>
      <c r="CD193" s="5">
        <f t="shared" ref="CD193:CD210" si="339">MIN(H193+I193,O193+P193)</f>
        <v>4.9799999999999995</v>
      </c>
      <c r="CE193" s="177">
        <f t="shared" ref="CE193:CE210" si="340">CD193/(CD193+CC193)</f>
        <v>0.84304708249262483</v>
      </c>
      <c r="CF193" s="5">
        <f t="shared" ref="CF193:CF210" si="341">CE193*100</f>
        <v>84.30470824926249</v>
      </c>
      <c r="CG193">
        <f t="shared" ref="CG193:CG210" si="342">F193/Iout*100</f>
        <v>83</v>
      </c>
      <c r="CI193" s="571">
        <f t="shared" si="332"/>
        <v>-50</v>
      </c>
      <c r="CJ193">
        <f t="shared" si="333"/>
        <v>-50</v>
      </c>
    </row>
    <row r="194" spans="5:88" x14ac:dyDescent="0.2">
      <c r="E194" s="174">
        <v>84</v>
      </c>
      <c r="F194" s="221">
        <f t="shared" si="334"/>
        <v>0.84</v>
      </c>
      <c r="G194" s="221">
        <f t="shared" si="299"/>
        <v>0.16800000000000001</v>
      </c>
      <c r="H194" s="221">
        <f t="shared" si="300"/>
        <v>4.2</v>
      </c>
      <c r="I194" s="221">
        <f t="shared" si="301"/>
        <v>0.84000000000000008</v>
      </c>
      <c r="J194" s="551">
        <f t="shared" si="302"/>
        <v>23</v>
      </c>
      <c r="K194" s="451">
        <f t="shared" si="303"/>
        <v>10.64</v>
      </c>
      <c r="L194" s="451">
        <f t="shared" si="304"/>
        <v>33.64</v>
      </c>
      <c r="M194" s="451"/>
      <c r="N194" s="221">
        <f t="shared" si="305"/>
        <v>0.31629013079667062</v>
      </c>
      <c r="O194" s="176">
        <f t="shared" si="306"/>
        <v>11.184809750297264</v>
      </c>
      <c r="P194" s="176">
        <f t="shared" si="307"/>
        <v>2.6843543400713439</v>
      </c>
      <c r="Q194" s="221">
        <f t="shared" si="308"/>
        <v>2.2369619500594529</v>
      </c>
      <c r="R194" s="221">
        <f t="shared" si="309"/>
        <v>2.2369619500594529</v>
      </c>
      <c r="S194" s="221">
        <f t="shared" si="310"/>
        <v>5</v>
      </c>
      <c r="T194" s="221">
        <f t="shared" si="311"/>
        <v>1.5395881006864989</v>
      </c>
      <c r="U194" s="221">
        <f t="shared" si="312"/>
        <v>0.46857029151328222</v>
      </c>
      <c r="V194" s="221">
        <f t="shared" si="313"/>
        <v>1.0128869083463807</v>
      </c>
      <c r="W194" s="201">
        <f t="shared" si="314"/>
        <v>350</v>
      </c>
      <c r="X194" s="451">
        <f t="shared" si="315"/>
        <v>350</v>
      </c>
      <c r="Z194" s="221">
        <f t="shared" si="316"/>
        <v>2.9692542891116021</v>
      </c>
      <c r="AA194" s="177">
        <f t="shared" si="317"/>
        <v>1.9534567691523697</v>
      </c>
      <c r="AB194" s="177">
        <f t="shared" si="318"/>
        <v>1.6917570513665985</v>
      </c>
      <c r="AC194" s="177"/>
      <c r="AD194" s="177">
        <f t="shared" si="319"/>
        <v>0.53947368421052622</v>
      </c>
      <c r="AE194" s="555">
        <f t="shared" si="320"/>
        <v>1898.8697204045213</v>
      </c>
      <c r="AF194" s="538">
        <f t="shared" si="321"/>
        <v>0.15482894736842101</v>
      </c>
      <c r="AH194" s="177">
        <f t="shared" si="322"/>
        <v>2.0283702113484399</v>
      </c>
      <c r="AI194" s="177">
        <f t="shared" si="323"/>
        <v>2.0283702113484399</v>
      </c>
      <c r="AJ194" s="177">
        <f t="shared" si="324"/>
        <v>2.0950890454432889</v>
      </c>
      <c r="AL194" s="555">
        <f t="shared" si="325"/>
        <v>840</v>
      </c>
      <c r="AM194" s="469">
        <f t="shared" si="326"/>
        <v>350</v>
      </c>
      <c r="AO194">
        <f t="shared" si="327"/>
        <v>840</v>
      </c>
      <c r="AP194">
        <f t="shared" si="328"/>
        <v>350</v>
      </c>
      <c r="AR194" s="5">
        <f t="shared" si="249"/>
        <v>2.8571428571428572</v>
      </c>
      <c r="AS194" s="5">
        <f t="shared" si="335"/>
        <v>0.61733006432343818</v>
      </c>
      <c r="AT194" s="5">
        <f t="shared" si="336"/>
        <v>2.2398127928194191</v>
      </c>
      <c r="AU194" s="177">
        <f t="shared" si="337"/>
        <v>0.21606552251320335</v>
      </c>
      <c r="AW194" s="5">
        <f t="shared" si="275"/>
        <v>10.371145080633761</v>
      </c>
      <c r="AX194" s="5"/>
      <c r="AY194" s="5">
        <f t="shared" si="276"/>
        <v>2.0742290161267523</v>
      </c>
      <c r="AZ194" s="5"/>
      <c r="BA194" s="5">
        <f t="shared" si="277"/>
        <v>0.37871230796463601</v>
      </c>
      <c r="BB194" s="5"/>
      <c r="BC194" s="5"/>
      <c r="BD194" s="177">
        <f t="shared" si="278"/>
        <v>0.54435138548115258</v>
      </c>
      <c r="BE194" s="177">
        <f t="shared" si="279"/>
        <v>2.0737503615944917</v>
      </c>
      <c r="BF194" s="177">
        <f t="shared" si="280"/>
        <v>0.41475007231889838</v>
      </c>
      <c r="BG194" s="177"/>
      <c r="BH194" s="538">
        <f t="shared" si="281"/>
        <v>3.2595027396277544E-2</v>
      </c>
      <c r="BI194" s="538">
        <f t="shared" si="282"/>
        <v>0.11941015434208267</v>
      </c>
      <c r="BJ194" s="538">
        <f t="shared" si="283"/>
        <v>1.7499999999999998E-2</v>
      </c>
      <c r="BK194" s="538">
        <f t="shared" si="284"/>
        <v>8.9117405999999996E-2</v>
      </c>
      <c r="BL194">
        <f t="shared" si="285"/>
        <v>6.6699999999999997E-3</v>
      </c>
      <c r="BM194">
        <f t="shared" si="329"/>
        <v>6.3E-5</v>
      </c>
      <c r="BN194">
        <f t="shared" si="330"/>
        <v>0.27138798476517012</v>
      </c>
      <c r="BO194" s="469">
        <f t="shared" si="286"/>
        <v>265.29258773836023</v>
      </c>
      <c r="BP194" s="177">
        <f t="shared" si="287"/>
        <v>0.33600000000000002</v>
      </c>
      <c r="BQ194" s="177">
        <f t="shared" si="288"/>
        <v>6.720000000000001E-2</v>
      </c>
      <c r="BR194" s="538"/>
      <c r="BT194" s="469">
        <f t="shared" si="289"/>
        <v>403.2</v>
      </c>
      <c r="BU194" s="538">
        <f t="shared" si="290"/>
        <v>2.9631843087525041E-2</v>
      </c>
      <c r="BV194" s="538">
        <f t="shared" si="291"/>
        <v>0.12901321686639855</v>
      </c>
      <c r="BW194" s="538">
        <f t="shared" si="292"/>
        <v>8.6008811244265727E-3</v>
      </c>
      <c r="BX194" s="538">
        <f t="shared" si="293"/>
        <v>0</v>
      </c>
      <c r="BY194" s="538">
        <f t="shared" si="274"/>
        <v>0.1898556611045914</v>
      </c>
      <c r="BZ194" s="538">
        <f t="shared" si="250"/>
        <v>0.16724594107835017</v>
      </c>
      <c r="CA194" s="641">
        <f t="shared" si="331"/>
        <v>7.2000000000000008E-2</v>
      </c>
      <c r="CB194" s="469">
        <f t="shared" si="338"/>
        <v>596.34754326129166</v>
      </c>
      <c r="CC194" s="177">
        <f t="shared" si="251"/>
        <v>0.93644364586976159</v>
      </c>
      <c r="CD194" s="5">
        <f t="shared" si="339"/>
        <v>5.04</v>
      </c>
      <c r="CE194" s="177">
        <f t="shared" si="340"/>
        <v>0.84331088832119661</v>
      </c>
      <c r="CF194" s="5">
        <f t="shared" si="341"/>
        <v>84.331088832119661</v>
      </c>
      <c r="CG194">
        <f t="shared" si="342"/>
        <v>84</v>
      </c>
      <c r="CI194" s="571">
        <f t="shared" si="332"/>
        <v>-50</v>
      </c>
      <c r="CJ194">
        <f t="shared" si="333"/>
        <v>-50</v>
      </c>
    </row>
    <row r="195" spans="5:88" x14ac:dyDescent="0.2">
      <c r="E195" s="174">
        <v>85</v>
      </c>
      <c r="F195" s="221">
        <f t="shared" si="334"/>
        <v>0.85</v>
      </c>
      <c r="G195" s="221">
        <f t="shared" si="299"/>
        <v>0.17</v>
      </c>
      <c r="H195" s="221">
        <f t="shared" si="300"/>
        <v>4.25</v>
      </c>
      <c r="I195" s="221">
        <f t="shared" si="301"/>
        <v>0.85000000000000009</v>
      </c>
      <c r="J195" s="551">
        <f t="shared" si="302"/>
        <v>23</v>
      </c>
      <c r="K195" s="451">
        <f t="shared" si="303"/>
        <v>10.64</v>
      </c>
      <c r="L195" s="451">
        <f t="shared" si="304"/>
        <v>33.64</v>
      </c>
      <c r="M195" s="451"/>
      <c r="N195" s="221">
        <f t="shared" si="305"/>
        <v>0.31629013079667062</v>
      </c>
      <c r="O195" s="176">
        <f t="shared" si="306"/>
        <v>11.184809750297264</v>
      </c>
      <c r="P195" s="176">
        <f t="shared" si="307"/>
        <v>2.6843543400713439</v>
      </c>
      <c r="Q195" s="221">
        <f t="shared" si="308"/>
        <v>2.2369619500594529</v>
      </c>
      <c r="R195" s="221">
        <f t="shared" si="309"/>
        <v>2.2369619500594529</v>
      </c>
      <c r="S195" s="221">
        <f t="shared" si="310"/>
        <v>5</v>
      </c>
      <c r="T195" s="221">
        <f t="shared" si="311"/>
        <v>1.5579165304565763</v>
      </c>
      <c r="U195" s="221">
        <f t="shared" si="312"/>
        <v>0.47414850926939278</v>
      </c>
      <c r="V195" s="221">
        <f t="shared" si="313"/>
        <v>1.0249450858266949</v>
      </c>
      <c r="W195" s="201">
        <f t="shared" si="314"/>
        <v>350</v>
      </c>
      <c r="X195" s="451">
        <f t="shared" si="315"/>
        <v>350</v>
      </c>
      <c r="Z195" s="221">
        <f t="shared" si="316"/>
        <v>2.9692542891116021</v>
      </c>
      <c r="AA195" s="177">
        <f t="shared" si="317"/>
        <v>1.9534567691523697</v>
      </c>
      <c r="AB195" s="177">
        <f t="shared" si="318"/>
        <v>1.6917570513665985</v>
      </c>
      <c r="AC195" s="177"/>
      <c r="AD195" s="177">
        <f t="shared" si="319"/>
        <v>0.53947368421052622</v>
      </c>
      <c r="AE195" s="555">
        <f t="shared" si="320"/>
        <v>1921.4753123140988</v>
      </c>
      <c r="AF195" s="538">
        <f t="shared" si="321"/>
        <v>0.15482894736842101</v>
      </c>
      <c r="AH195" s="177">
        <f t="shared" si="322"/>
        <v>2.0404081224408142</v>
      </c>
      <c r="AI195" s="177">
        <f t="shared" si="323"/>
        <v>2.0404081224408142</v>
      </c>
      <c r="AJ195" s="177">
        <f t="shared" si="324"/>
        <v>2.1040060166228254</v>
      </c>
      <c r="AL195" s="555">
        <f t="shared" si="325"/>
        <v>850</v>
      </c>
      <c r="AM195" s="469">
        <f t="shared" si="326"/>
        <v>350</v>
      </c>
      <c r="AO195">
        <f t="shared" si="327"/>
        <v>850</v>
      </c>
      <c r="AP195">
        <f t="shared" si="328"/>
        <v>350</v>
      </c>
      <c r="AR195" s="5">
        <f t="shared" si="249"/>
        <v>2.8571428571428572</v>
      </c>
      <c r="AS195" s="5">
        <f t="shared" si="335"/>
        <v>0.62099377639503039</v>
      </c>
      <c r="AT195" s="5">
        <f t="shared" si="336"/>
        <v>2.2361490807478268</v>
      </c>
      <c r="AU195" s="177">
        <f t="shared" si="337"/>
        <v>0.21734782173826064</v>
      </c>
      <c r="AW195" s="5">
        <f t="shared" si="275"/>
        <v>10.556894198715517</v>
      </c>
      <c r="AX195" s="5"/>
      <c r="AY195" s="5">
        <f t="shared" si="276"/>
        <v>2.1113788397431037</v>
      </c>
      <c r="AZ195" s="5"/>
      <c r="BA195" s="5">
        <f t="shared" si="277"/>
        <v>0.38259394497497029</v>
      </c>
      <c r="BB195" s="5"/>
      <c r="BC195" s="5"/>
      <c r="BD195" s="177">
        <f t="shared" si="278"/>
        <v>0.54920446878619711</v>
      </c>
      <c r="BE195" s="177">
        <f t="shared" si="279"/>
        <v>2.084350789580379</v>
      </c>
      <c r="BF195" s="177">
        <f t="shared" si="280"/>
        <v>0.41687015791607585</v>
      </c>
      <c r="BG195" s="177"/>
      <c r="BH195" s="538">
        <f t="shared" si="281"/>
        <v>3.3178810338820183E-2</v>
      </c>
      <c r="BI195" s="538">
        <f t="shared" si="282"/>
        <v>0.12011882616809072</v>
      </c>
      <c r="BJ195" s="538">
        <f t="shared" si="283"/>
        <v>1.7499999999999998E-2</v>
      </c>
      <c r="BK195" s="538">
        <f t="shared" si="284"/>
        <v>8.9117405999999996E-2</v>
      </c>
      <c r="BL195">
        <f t="shared" si="285"/>
        <v>6.6699999999999997E-3</v>
      </c>
      <c r="BM195">
        <f t="shared" si="329"/>
        <v>6.3E-5</v>
      </c>
      <c r="BN195">
        <f t="shared" si="330"/>
        <v>0.27279710680241948</v>
      </c>
      <c r="BO195" s="469">
        <f t="shared" si="286"/>
        <v>266.5850425069109</v>
      </c>
      <c r="BP195" s="177">
        <f t="shared" si="287"/>
        <v>0.34</v>
      </c>
      <c r="BQ195" s="177">
        <f t="shared" si="288"/>
        <v>6.8000000000000005E-2</v>
      </c>
      <c r="BR195" s="538"/>
      <c r="BT195" s="469">
        <f t="shared" si="289"/>
        <v>408.00000000000006</v>
      </c>
      <c r="BU195" s="538">
        <f t="shared" si="290"/>
        <v>3.0162554853472898E-2</v>
      </c>
      <c r="BV195" s="538">
        <f t="shared" si="291"/>
        <v>0.13033554642073047</v>
      </c>
      <c r="BW195" s="538">
        <f t="shared" si="292"/>
        <v>8.6890364280487013E-3</v>
      </c>
      <c r="BX195" s="538">
        <f t="shared" si="293"/>
        <v>0</v>
      </c>
      <c r="BY195" s="538">
        <f t="shared" si="274"/>
        <v>0.19208952031651838</v>
      </c>
      <c r="BZ195" s="538">
        <f t="shared" si="250"/>
        <v>0.16918713770225208</v>
      </c>
      <c r="CA195" s="641">
        <f t="shared" si="331"/>
        <v>7.2857142857142843E-2</v>
      </c>
      <c r="CB195" s="469">
        <f t="shared" si="338"/>
        <v>603.3209385781654</v>
      </c>
      <c r="CC195" s="177">
        <f t="shared" si="251"/>
        <v>0.94574376997608067</v>
      </c>
      <c r="CD195" s="5">
        <f t="shared" si="339"/>
        <v>5.0999999999999996</v>
      </c>
      <c r="CE195" s="177">
        <f t="shared" si="340"/>
        <v>0.84356866483942594</v>
      </c>
      <c r="CF195" s="5">
        <f t="shared" si="341"/>
        <v>84.356866483942596</v>
      </c>
      <c r="CG195">
        <f t="shared" si="342"/>
        <v>85</v>
      </c>
      <c r="CI195" s="571">
        <f t="shared" si="332"/>
        <v>-50</v>
      </c>
      <c r="CJ195">
        <f t="shared" si="333"/>
        <v>-50</v>
      </c>
    </row>
    <row r="196" spans="5:88" x14ac:dyDescent="0.2">
      <c r="E196" s="174">
        <v>86</v>
      </c>
      <c r="F196" s="221">
        <f t="shared" si="334"/>
        <v>0.86</v>
      </c>
      <c r="G196" s="221">
        <f t="shared" si="299"/>
        <v>0.17200000000000001</v>
      </c>
      <c r="H196" s="221">
        <f t="shared" si="300"/>
        <v>4.3</v>
      </c>
      <c r="I196" s="221">
        <f t="shared" si="301"/>
        <v>0.8600000000000001</v>
      </c>
      <c r="J196" s="551">
        <f t="shared" si="302"/>
        <v>23</v>
      </c>
      <c r="K196" s="451">
        <f t="shared" si="303"/>
        <v>10.64</v>
      </c>
      <c r="L196" s="451">
        <f t="shared" si="304"/>
        <v>33.64</v>
      </c>
      <c r="M196" s="451"/>
      <c r="N196" s="221">
        <f t="shared" si="305"/>
        <v>0.31629013079667062</v>
      </c>
      <c r="O196" s="176">
        <f t="shared" si="306"/>
        <v>11.184809750297264</v>
      </c>
      <c r="P196" s="176">
        <f t="shared" si="307"/>
        <v>2.6843543400713439</v>
      </c>
      <c r="Q196" s="221">
        <f t="shared" si="308"/>
        <v>2.2369619500594529</v>
      </c>
      <c r="R196" s="221">
        <f t="shared" si="309"/>
        <v>2.2369619500594529</v>
      </c>
      <c r="S196" s="221">
        <f t="shared" si="310"/>
        <v>5</v>
      </c>
      <c r="T196" s="221">
        <f t="shared" si="311"/>
        <v>1.5762449602266537</v>
      </c>
      <c r="U196" s="221">
        <f t="shared" si="312"/>
        <v>0.47972672702550334</v>
      </c>
      <c r="V196" s="221">
        <f t="shared" si="313"/>
        <v>1.0370032633070088</v>
      </c>
      <c r="W196" s="201">
        <f t="shared" si="314"/>
        <v>350</v>
      </c>
      <c r="X196" s="451">
        <f t="shared" si="315"/>
        <v>350</v>
      </c>
      <c r="Z196" s="221">
        <f t="shared" si="316"/>
        <v>2.9692542891116021</v>
      </c>
      <c r="AA196" s="177">
        <f t="shared" si="317"/>
        <v>1.9534567691523697</v>
      </c>
      <c r="AB196" s="177">
        <f t="shared" si="318"/>
        <v>1.6917570513665985</v>
      </c>
      <c r="AC196" s="177"/>
      <c r="AD196" s="177">
        <f t="shared" si="319"/>
        <v>0.53947368421052622</v>
      </c>
      <c r="AE196" s="555">
        <f t="shared" si="320"/>
        <v>1944.0809042236767</v>
      </c>
      <c r="AF196" s="538">
        <f t="shared" si="321"/>
        <v>0.15482894736842101</v>
      </c>
      <c r="AH196" s="177">
        <f t="shared" si="322"/>
        <v>2.0523754281220539</v>
      </c>
      <c r="AI196" s="177">
        <f t="shared" si="323"/>
        <v>2.0523754281220539</v>
      </c>
      <c r="AJ196" s="177">
        <f t="shared" si="324"/>
        <v>2.1128706874978178</v>
      </c>
      <c r="AL196" s="555">
        <f t="shared" si="325"/>
        <v>860</v>
      </c>
      <c r="AM196" s="469">
        <f t="shared" si="326"/>
        <v>350</v>
      </c>
      <c r="AO196">
        <f t="shared" si="327"/>
        <v>860</v>
      </c>
      <c r="AP196">
        <f t="shared" si="328"/>
        <v>350</v>
      </c>
      <c r="AR196" s="5">
        <f t="shared" si="249"/>
        <v>2.8571428571428572</v>
      </c>
      <c r="AS196" s="5">
        <f t="shared" si="335"/>
        <v>0.62463599986323382</v>
      </c>
      <c r="AT196" s="5">
        <f t="shared" si="336"/>
        <v>2.2325068572796232</v>
      </c>
      <c r="AU196" s="177">
        <f t="shared" si="337"/>
        <v>0.21862259995213182</v>
      </c>
      <c r="AW196" s="5">
        <f t="shared" si="275"/>
        <v>10.743739197647621</v>
      </c>
      <c r="AX196" s="5"/>
      <c r="AY196" s="5">
        <f t="shared" si="276"/>
        <v>2.1487478395295243</v>
      </c>
      <c r="AZ196" s="5"/>
      <c r="BA196" s="5">
        <f t="shared" si="277"/>
        <v>0.38646455258866258</v>
      </c>
      <c r="BB196" s="5"/>
      <c r="BC196" s="5"/>
      <c r="BD196" s="177">
        <f t="shared" si="278"/>
        <v>0.55404329891773474</v>
      </c>
      <c r="BE196" s="177">
        <f t="shared" si="279"/>
        <v>2.0948676861104283</v>
      </c>
      <c r="BF196" s="177">
        <f t="shared" si="280"/>
        <v>0.41897353722208569</v>
      </c>
      <c r="BG196" s="177"/>
      <c r="BH196" s="538">
        <f t="shared" si="281"/>
        <v>3.3766037478321104E-2</v>
      </c>
      <c r="BI196" s="538">
        <f t="shared" si="282"/>
        <v>0.12082334145354531</v>
      </c>
      <c r="BJ196" s="538">
        <f t="shared" si="283"/>
        <v>1.7499999999999998E-2</v>
      </c>
      <c r="BK196" s="538">
        <f t="shared" si="284"/>
        <v>8.9117405999999996E-2</v>
      </c>
      <c r="BL196">
        <f t="shared" si="285"/>
        <v>6.6699999999999997E-3</v>
      </c>
      <c r="BM196">
        <f t="shared" si="329"/>
        <v>6.3E-5</v>
      </c>
      <c r="BN196">
        <f t="shared" si="330"/>
        <v>0.27420646069995197</v>
      </c>
      <c r="BO196" s="469">
        <f t="shared" si="286"/>
        <v>267.87678493186638</v>
      </c>
      <c r="BP196" s="177">
        <f t="shared" si="287"/>
        <v>0.34400000000000003</v>
      </c>
      <c r="BQ196" s="177">
        <f t="shared" si="288"/>
        <v>6.8800000000000014E-2</v>
      </c>
      <c r="BR196" s="538"/>
      <c r="BT196" s="469">
        <f t="shared" si="289"/>
        <v>412.80000000000007</v>
      </c>
      <c r="BU196" s="538">
        <f t="shared" si="290"/>
        <v>3.0696397707564639E-2</v>
      </c>
      <c r="BV196" s="538">
        <f t="shared" si="291"/>
        <v>0.13165411866928978</v>
      </c>
      <c r="BW196" s="538">
        <f t="shared" si="292"/>
        <v>8.7769412446193212E-3</v>
      </c>
      <c r="BX196" s="538">
        <f t="shared" si="293"/>
        <v>0</v>
      </c>
      <c r="BY196" s="538">
        <f t="shared" si="274"/>
        <v>0.19432307361970913</v>
      </c>
      <c r="BZ196" s="538">
        <f t="shared" si="250"/>
        <v>0.17112745762147374</v>
      </c>
      <c r="CA196" s="641">
        <f t="shared" si="331"/>
        <v>7.3714285714285718E-2</v>
      </c>
      <c r="CB196" s="469">
        <f t="shared" si="338"/>
        <v>610.2922745769423</v>
      </c>
      <c r="CC196" s="177">
        <f t="shared" si="251"/>
        <v>0.95504382003394683</v>
      </c>
      <c r="CD196" s="5">
        <f t="shared" si="339"/>
        <v>5.16</v>
      </c>
      <c r="CE196" s="177">
        <f t="shared" si="340"/>
        <v>0.84382060895376465</v>
      </c>
      <c r="CF196" s="5">
        <f t="shared" si="341"/>
        <v>84.382060895376469</v>
      </c>
      <c r="CG196">
        <f t="shared" si="342"/>
        <v>86</v>
      </c>
      <c r="CI196" s="571">
        <f t="shared" si="332"/>
        <v>-50</v>
      </c>
      <c r="CJ196">
        <f t="shared" si="333"/>
        <v>-50</v>
      </c>
    </row>
    <row r="197" spans="5:88" x14ac:dyDescent="0.2">
      <c r="E197" s="174">
        <v>87</v>
      </c>
      <c r="F197" s="221">
        <f t="shared" si="334"/>
        <v>0.87</v>
      </c>
      <c r="G197" s="221">
        <f t="shared" si="299"/>
        <v>0.17400000000000002</v>
      </c>
      <c r="H197" s="221">
        <f t="shared" si="300"/>
        <v>4.3499999999999996</v>
      </c>
      <c r="I197" s="221">
        <f t="shared" si="301"/>
        <v>0.87000000000000011</v>
      </c>
      <c r="J197" s="551">
        <f t="shared" si="302"/>
        <v>23</v>
      </c>
      <c r="K197" s="451">
        <f t="shared" si="303"/>
        <v>10.64</v>
      </c>
      <c r="L197" s="451">
        <f t="shared" si="304"/>
        <v>33.64</v>
      </c>
      <c r="M197" s="451"/>
      <c r="N197" s="221">
        <f t="shared" si="305"/>
        <v>0.31629013079667062</v>
      </c>
      <c r="O197" s="176">
        <f t="shared" si="306"/>
        <v>11.184809750297264</v>
      </c>
      <c r="P197" s="176">
        <f t="shared" si="307"/>
        <v>2.6843543400713439</v>
      </c>
      <c r="Q197" s="221">
        <f t="shared" si="308"/>
        <v>2.2369619500594529</v>
      </c>
      <c r="R197" s="221">
        <f t="shared" si="309"/>
        <v>2.2369619500594529</v>
      </c>
      <c r="S197" s="221">
        <f t="shared" si="310"/>
        <v>5</v>
      </c>
      <c r="T197" s="221">
        <f t="shared" si="311"/>
        <v>1.5945733899967309</v>
      </c>
      <c r="U197" s="221">
        <f t="shared" si="312"/>
        <v>0.48530494478161379</v>
      </c>
      <c r="V197" s="221">
        <f t="shared" si="313"/>
        <v>1.0490614407873229</v>
      </c>
      <c r="W197" s="201">
        <f t="shared" si="314"/>
        <v>350</v>
      </c>
      <c r="X197" s="451">
        <f t="shared" si="315"/>
        <v>350</v>
      </c>
      <c r="Z197" s="221">
        <f t="shared" si="316"/>
        <v>2.9692542891116021</v>
      </c>
      <c r="AA197" s="177">
        <f t="shared" si="317"/>
        <v>1.9534567691523697</v>
      </c>
      <c r="AB197" s="177">
        <f t="shared" si="318"/>
        <v>1.6917570513665985</v>
      </c>
      <c r="AC197" s="177"/>
      <c r="AD197" s="177">
        <f t="shared" si="319"/>
        <v>0.53947368421052622</v>
      </c>
      <c r="AE197" s="555">
        <f t="shared" si="320"/>
        <v>1966.6864961332544</v>
      </c>
      <c r="AF197" s="538">
        <f t="shared" si="321"/>
        <v>0.15482894736842101</v>
      </c>
      <c r="AH197" s="177">
        <f t="shared" si="322"/>
        <v>2.0642733563643936</v>
      </c>
      <c r="AI197" s="177">
        <f t="shared" si="323"/>
        <v>2.0642733563643936</v>
      </c>
      <c r="AJ197" s="177">
        <f t="shared" si="324"/>
        <v>2.1216839676773285</v>
      </c>
      <c r="AL197" s="555">
        <f t="shared" si="325"/>
        <v>870</v>
      </c>
      <c r="AM197" s="469">
        <f t="shared" si="326"/>
        <v>350</v>
      </c>
      <c r="AO197">
        <f t="shared" si="327"/>
        <v>870</v>
      </c>
      <c r="AP197">
        <f t="shared" si="328"/>
        <v>350</v>
      </c>
      <c r="AR197" s="5">
        <f t="shared" si="249"/>
        <v>2.8571428571428572</v>
      </c>
      <c r="AS197" s="5">
        <f t="shared" si="335"/>
        <v>0.62825710845872851</v>
      </c>
      <c r="AT197" s="5">
        <f t="shared" si="336"/>
        <v>2.2288857486841289</v>
      </c>
      <c r="AU197" s="177">
        <f t="shared" si="337"/>
        <v>0.21988998796055498</v>
      </c>
      <c r="AW197" s="5">
        <f t="shared" si="275"/>
        <v>10.931673687181876</v>
      </c>
      <c r="AX197" s="5"/>
      <c r="AY197" s="5">
        <f t="shared" si="276"/>
        <v>2.1863347374363751</v>
      </c>
      <c r="AZ197" s="5"/>
      <c r="BA197" s="5">
        <f t="shared" si="277"/>
        <v>0.3903241951198051</v>
      </c>
      <c r="BB197" s="5"/>
      <c r="BC197" s="5"/>
      <c r="BD197" s="177">
        <f t="shared" si="278"/>
        <v>0.55886808275252409</v>
      </c>
      <c r="BE197" s="177">
        <f t="shared" si="279"/>
        <v>2.1053024764587382</v>
      </c>
      <c r="BF197" s="177">
        <f t="shared" si="280"/>
        <v>0.42106049529174766</v>
      </c>
      <c r="BG197" s="177"/>
      <c r="BH197" s="538">
        <f t="shared" si="281"/>
        <v>3.4356688731143031E-2</v>
      </c>
      <c r="BI197" s="538">
        <f t="shared" si="282"/>
        <v>0.12152377248917184</v>
      </c>
      <c r="BJ197" s="538">
        <f t="shared" si="283"/>
        <v>1.7499999999999998E-2</v>
      </c>
      <c r="BK197" s="538">
        <f t="shared" si="284"/>
        <v>8.9117405999999996E-2</v>
      </c>
      <c r="BL197">
        <f t="shared" si="285"/>
        <v>6.6699999999999997E-3</v>
      </c>
      <c r="BM197">
        <f t="shared" si="329"/>
        <v>6.3E-5</v>
      </c>
      <c r="BN197">
        <f t="shared" si="330"/>
        <v>0.27561609802124115</v>
      </c>
      <c r="BO197" s="469">
        <f t="shared" si="286"/>
        <v>269.16786722031486</v>
      </c>
      <c r="BP197" s="177">
        <f t="shared" si="287"/>
        <v>0.34800000000000003</v>
      </c>
      <c r="BQ197" s="177">
        <f t="shared" si="288"/>
        <v>6.9600000000000009E-2</v>
      </c>
      <c r="BR197" s="538"/>
      <c r="BT197" s="469">
        <f t="shared" si="289"/>
        <v>417.6</v>
      </c>
      <c r="BU197" s="538">
        <f t="shared" si="290"/>
        <v>3.1233353391948212E-2</v>
      </c>
      <c r="BV197" s="538">
        <f t="shared" si="291"/>
        <v>0.1329689555214989</v>
      </c>
      <c r="BW197" s="538">
        <f t="shared" si="292"/>
        <v>8.8645970347665925E-3</v>
      </c>
      <c r="BX197" s="538">
        <f t="shared" si="293"/>
        <v>0</v>
      </c>
      <c r="BY197" s="538">
        <f t="shared" si="274"/>
        <v>0.19655632628071543</v>
      </c>
      <c r="BZ197" s="538">
        <f t="shared" si="250"/>
        <v>0.1730669059482137</v>
      </c>
      <c r="CA197" s="641">
        <f t="shared" si="331"/>
        <v>7.457142857142858E-2</v>
      </c>
      <c r="CB197" s="469">
        <f t="shared" si="338"/>
        <v>617.26156674857145</v>
      </c>
      <c r="CC197" s="177">
        <f t="shared" si="251"/>
        <v>0.9643438528733852</v>
      </c>
      <c r="CD197" s="5">
        <f t="shared" si="339"/>
        <v>5.22</v>
      </c>
      <c r="CE197" s="177">
        <f t="shared" si="340"/>
        <v>0.8440669089857723</v>
      </c>
      <c r="CF197" s="5">
        <f t="shared" si="341"/>
        <v>84.406690898577224</v>
      </c>
      <c r="CG197">
        <f t="shared" si="342"/>
        <v>87</v>
      </c>
      <c r="CI197" s="571">
        <f t="shared" si="332"/>
        <v>-50</v>
      </c>
      <c r="CJ197">
        <f t="shared" si="333"/>
        <v>-50</v>
      </c>
    </row>
    <row r="198" spans="5:88" x14ac:dyDescent="0.2">
      <c r="E198" s="174">
        <v>88</v>
      </c>
      <c r="F198" s="221">
        <f t="shared" si="334"/>
        <v>0.88</v>
      </c>
      <c r="G198" s="221">
        <f t="shared" si="299"/>
        <v>0.17600000000000002</v>
      </c>
      <c r="H198" s="221">
        <f t="shared" si="300"/>
        <v>4.4000000000000004</v>
      </c>
      <c r="I198" s="221">
        <f t="shared" si="301"/>
        <v>0.88000000000000012</v>
      </c>
      <c r="J198" s="551">
        <f t="shared" si="302"/>
        <v>23</v>
      </c>
      <c r="K198" s="451">
        <f t="shared" si="303"/>
        <v>10.64</v>
      </c>
      <c r="L198" s="451">
        <f t="shared" si="304"/>
        <v>33.64</v>
      </c>
      <c r="M198" s="451"/>
      <c r="N198" s="221">
        <f t="shared" si="305"/>
        <v>0.31629013079667062</v>
      </c>
      <c r="O198" s="176">
        <f t="shared" si="306"/>
        <v>11.184809750297264</v>
      </c>
      <c r="P198" s="176">
        <f t="shared" si="307"/>
        <v>2.6843543400713439</v>
      </c>
      <c r="Q198" s="221">
        <f t="shared" si="308"/>
        <v>2.2369619500594529</v>
      </c>
      <c r="R198" s="221">
        <f t="shared" si="309"/>
        <v>2.2369619500594529</v>
      </c>
      <c r="S198" s="221">
        <f t="shared" si="310"/>
        <v>5</v>
      </c>
      <c r="T198" s="221">
        <f t="shared" si="311"/>
        <v>1.6129018197668086</v>
      </c>
      <c r="U198" s="221">
        <f t="shared" si="312"/>
        <v>0.49088316253772429</v>
      </c>
      <c r="V198" s="221">
        <f t="shared" si="313"/>
        <v>1.061119618267637</v>
      </c>
      <c r="W198" s="201">
        <f t="shared" si="314"/>
        <v>350</v>
      </c>
      <c r="X198" s="451">
        <f t="shared" si="315"/>
        <v>350</v>
      </c>
      <c r="Z198" s="221">
        <f t="shared" si="316"/>
        <v>2.9692542891116021</v>
      </c>
      <c r="AA198" s="177">
        <f t="shared" si="317"/>
        <v>1.9534567691523697</v>
      </c>
      <c r="AB198" s="177">
        <f t="shared" si="318"/>
        <v>1.6917570513665985</v>
      </c>
      <c r="AC198" s="177"/>
      <c r="AD198" s="177">
        <f t="shared" si="319"/>
        <v>0.53947368421052622</v>
      </c>
      <c r="AE198" s="555">
        <f t="shared" si="320"/>
        <v>1989.2920880428319</v>
      </c>
      <c r="AF198" s="538">
        <f t="shared" si="321"/>
        <v>0.15482894736842101</v>
      </c>
      <c r="AH198" s="177">
        <f t="shared" si="322"/>
        <v>2.0761030999525656</v>
      </c>
      <c r="AI198" s="177">
        <f t="shared" si="323"/>
        <v>2.0761030999525656</v>
      </c>
      <c r="AJ198" s="177">
        <f t="shared" si="324"/>
        <v>2.130446740705604</v>
      </c>
      <c r="AL198" s="555">
        <f t="shared" si="325"/>
        <v>880</v>
      </c>
      <c r="AM198" s="469">
        <f t="shared" si="326"/>
        <v>350</v>
      </c>
      <c r="AO198">
        <f t="shared" si="327"/>
        <v>880</v>
      </c>
      <c r="AP198">
        <f t="shared" si="328"/>
        <v>350</v>
      </c>
      <c r="AR198" s="5">
        <f t="shared" ref="AR198:AR262" si="343">1/AM198*1000</f>
        <v>2.8571428571428572</v>
      </c>
      <c r="AS198" s="5">
        <f t="shared" si="335"/>
        <v>0.63185746520295472</v>
      </c>
      <c r="AT198" s="5">
        <f t="shared" si="336"/>
        <v>2.2252853919399023</v>
      </c>
      <c r="AU198" s="177">
        <f t="shared" si="337"/>
        <v>0.22115011282103414</v>
      </c>
      <c r="AW198" s="5">
        <f t="shared" si="275"/>
        <v>11.120691387572004</v>
      </c>
      <c r="AX198" s="5"/>
      <c r="AY198" s="5">
        <f t="shared" si="276"/>
        <v>2.2241382775144007</v>
      </c>
      <c r="AZ198" s="5"/>
      <c r="BA198" s="5">
        <f t="shared" si="277"/>
        <v>0.39417293577035306</v>
      </c>
      <c r="BB198" s="5"/>
      <c r="BC198" s="5"/>
      <c r="BD198" s="177">
        <f t="shared" si="278"/>
        <v>0.56367902182440177</v>
      </c>
      <c r="BE198" s="177">
        <f t="shared" si="279"/>
        <v>2.11565654512507</v>
      </c>
      <c r="BF198" s="177">
        <f t="shared" si="280"/>
        <v>0.423131309025014</v>
      </c>
      <c r="BG198" s="177"/>
      <c r="BH198" s="538">
        <f t="shared" si="281"/>
        <v>3.4950744360940589E-2</v>
      </c>
      <c r="BI198" s="538">
        <f t="shared" si="282"/>
        <v>0.12222018949420754</v>
      </c>
      <c r="BJ198" s="538">
        <f t="shared" si="283"/>
        <v>1.7499999999999998E-2</v>
      </c>
      <c r="BK198" s="538">
        <f t="shared" si="284"/>
        <v>8.9117405999999996E-2</v>
      </c>
      <c r="BL198">
        <f t="shared" si="285"/>
        <v>6.6699999999999997E-3</v>
      </c>
      <c r="BM198">
        <f t="shared" si="329"/>
        <v>6.3E-5</v>
      </c>
      <c r="BN198">
        <f t="shared" si="330"/>
        <v>0.27702606866203933</v>
      </c>
      <c r="BO198" s="469">
        <f t="shared" si="286"/>
        <v>270.4583398551481</v>
      </c>
      <c r="BP198" s="177">
        <f t="shared" si="287"/>
        <v>0.35200000000000004</v>
      </c>
      <c r="BQ198" s="177">
        <f t="shared" si="288"/>
        <v>7.0400000000000004E-2</v>
      </c>
      <c r="BR198" s="538"/>
      <c r="BT198" s="469">
        <f t="shared" si="289"/>
        <v>422.40000000000003</v>
      </c>
      <c r="BU198" s="538">
        <f t="shared" si="290"/>
        <v>3.1773403964491444E-2</v>
      </c>
      <c r="BV198" s="538">
        <f t="shared" si="291"/>
        <v>0.1342800785079164</v>
      </c>
      <c r="BW198" s="538">
        <f t="shared" si="292"/>
        <v>8.9520052338610944E-3</v>
      </c>
      <c r="BX198" s="538">
        <f t="shared" si="293"/>
        <v>0</v>
      </c>
      <c r="BY198" s="538">
        <f t="shared" si="274"/>
        <v>0.19878928347139654</v>
      </c>
      <c r="BZ198" s="538">
        <f t="shared" ref="BZ198:BZ210" si="344">SUM(BU198:BX198)</f>
        <v>0.17500548770626892</v>
      </c>
      <c r="CA198" s="641">
        <f t="shared" si="331"/>
        <v>7.5428571428571428E-2</v>
      </c>
      <c r="CB198" s="469">
        <f t="shared" si="338"/>
        <v>624.22883031250581</v>
      </c>
      <c r="CC198" s="177">
        <f t="shared" ref="CC198:CC210" si="345">SUM(BN198,BP198:BS198,BY198, CA198)</f>
        <v>0.97364392356200735</v>
      </c>
      <c r="CD198" s="5">
        <f t="shared" si="339"/>
        <v>5.28</v>
      </c>
      <c r="CE198" s="177">
        <f t="shared" si="340"/>
        <v>0.84430774513822493</v>
      </c>
      <c r="CF198" s="5">
        <f t="shared" si="341"/>
        <v>84.430774513822499</v>
      </c>
      <c r="CG198">
        <f t="shared" si="342"/>
        <v>88</v>
      </c>
      <c r="CI198" s="571">
        <f t="shared" si="332"/>
        <v>-50</v>
      </c>
      <c r="CJ198">
        <f t="shared" si="333"/>
        <v>-50</v>
      </c>
    </row>
    <row r="199" spans="5:88" x14ac:dyDescent="0.2">
      <c r="E199" s="174">
        <v>89</v>
      </c>
      <c r="F199" s="221">
        <f t="shared" si="334"/>
        <v>0.89</v>
      </c>
      <c r="G199" s="221">
        <f t="shared" si="299"/>
        <v>0.17800000000000002</v>
      </c>
      <c r="H199" s="221">
        <f t="shared" si="300"/>
        <v>4.45</v>
      </c>
      <c r="I199" s="221">
        <f t="shared" si="301"/>
        <v>0.89000000000000012</v>
      </c>
      <c r="J199" s="551">
        <f t="shared" si="302"/>
        <v>23</v>
      </c>
      <c r="K199" s="451">
        <f t="shared" si="303"/>
        <v>10.64</v>
      </c>
      <c r="L199" s="451">
        <f t="shared" si="304"/>
        <v>33.64</v>
      </c>
      <c r="M199" s="451"/>
      <c r="N199" s="221">
        <f t="shared" si="305"/>
        <v>0.31629013079667062</v>
      </c>
      <c r="O199" s="176">
        <f t="shared" si="306"/>
        <v>11.184809750297264</v>
      </c>
      <c r="P199" s="176">
        <f t="shared" si="307"/>
        <v>2.6843543400713439</v>
      </c>
      <c r="Q199" s="221">
        <f t="shared" si="308"/>
        <v>2.2369619500594529</v>
      </c>
      <c r="R199" s="221">
        <f t="shared" si="309"/>
        <v>2.2369619500594529</v>
      </c>
      <c r="S199" s="221">
        <f t="shared" si="310"/>
        <v>5</v>
      </c>
      <c r="T199" s="221">
        <f t="shared" si="311"/>
        <v>1.6312302495368858</v>
      </c>
      <c r="U199" s="221">
        <f t="shared" si="312"/>
        <v>0.4964613802938348</v>
      </c>
      <c r="V199" s="221">
        <f t="shared" si="313"/>
        <v>1.0731777957479511</v>
      </c>
      <c r="W199" s="201">
        <f t="shared" si="314"/>
        <v>350</v>
      </c>
      <c r="X199" s="451">
        <f t="shared" si="315"/>
        <v>350</v>
      </c>
      <c r="Z199" s="221">
        <f t="shared" si="316"/>
        <v>2.9692542891116021</v>
      </c>
      <c r="AA199" s="177">
        <f t="shared" si="317"/>
        <v>1.9534567691523697</v>
      </c>
      <c r="AB199" s="177">
        <f t="shared" si="318"/>
        <v>1.6917570513665985</v>
      </c>
      <c r="AC199" s="177"/>
      <c r="AD199" s="177">
        <f t="shared" si="319"/>
        <v>0.53947368421052622</v>
      </c>
      <c r="AE199" s="555">
        <f t="shared" si="320"/>
        <v>2011.8976799524094</v>
      </c>
      <c r="AF199" s="538">
        <f t="shared" si="321"/>
        <v>0.15482894736842101</v>
      </c>
      <c r="AH199" s="177">
        <f t="shared" si="322"/>
        <v>2.0878658178794409</v>
      </c>
      <c r="AI199" s="177">
        <f t="shared" si="323"/>
        <v>2.0878658178794409</v>
      </c>
      <c r="AJ199" s="177">
        <f t="shared" si="324"/>
        <v>2.1391598650958823</v>
      </c>
      <c r="AL199" s="555">
        <f t="shared" si="325"/>
        <v>890</v>
      </c>
      <c r="AM199" s="469">
        <f t="shared" si="326"/>
        <v>350</v>
      </c>
      <c r="AO199">
        <f t="shared" si="327"/>
        <v>890</v>
      </c>
      <c r="AP199">
        <f t="shared" si="328"/>
        <v>350</v>
      </c>
      <c r="AR199" s="5">
        <f t="shared" si="343"/>
        <v>2.8571428571428572</v>
      </c>
      <c r="AS199" s="5">
        <f t="shared" si="335"/>
        <v>0.6354374228328733</v>
      </c>
      <c r="AT199" s="5">
        <f t="shared" si="336"/>
        <v>2.221705434309984</v>
      </c>
      <c r="AU199" s="177">
        <f t="shared" si="337"/>
        <v>0.22240309799150565</v>
      </c>
      <c r="AW199" s="5">
        <f t="shared" si="275"/>
        <v>11.310786126425144</v>
      </c>
      <c r="AX199" s="5"/>
      <c r="AY199" s="5">
        <f t="shared" si="276"/>
        <v>2.262157225285029</v>
      </c>
      <c r="AZ199" s="5"/>
      <c r="BA199" s="5">
        <f t="shared" si="277"/>
        <v>0.39801083666181269</v>
      </c>
      <c r="BB199" s="5"/>
      <c r="BC199" s="5"/>
      <c r="BD199" s="177">
        <f t="shared" si="278"/>
        <v>0.5684763125213409</v>
      </c>
      <c r="BE199" s="177">
        <f t="shared" si="279"/>
        <v>2.1259312374504815</v>
      </c>
      <c r="BF199" s="177">
        <f t="shared" si="280"/>
        <v>0.42518624749009631</v>
      </c>
      <c r="BG199" s="177"/>
      <c r="BH199" s="538">
        <f t="shared" si="281"/>
        <v>3.5548184968764739E-2</v>
      </c>
      <c r="BI199" s="538">
        <f t="shared" si="282"/>
        <v>0.1229126606985627</v>
      </c>
      <c r="BJ199" s="538">
        <f t="shared" si="283"/>
        <v>1.7499999999999998E-2</v>
      </c>
      <c r="BK199" s="538">
        <f t="shared" si="284"/>
        <v>8.9117405999999996E-2</v>
      </c>
      <c r="BL199">
        <f t="shared" si="285"/>
        <v>6.6699999999999997E-3</v>
      </c>
      <c r="BM199">
        <f t="shared" si="329"/>
        <v>6.3E-5</v>
      </c>
      <c r="BN199">
        <f t="shared" si="330"/>
        <v>0.27843642092110893</v>
      </c>
      <c r="BO199" s="469">
        <f t="shared" si="286"/>
        <v>271.74825166732739</v>
      </c>
      <c r="BP199" s="177">
        <f t="shared" si="287"/>
        <v>0.35600000000000004</v>
      </c>
      <c r="BQ199" s="177">
        <f t="shared" si="288"/>
        <v>7.1200000000000013E-2</v>
      </c>
      <c r="BR199" s="538"/>
      <c r="BT199" s="469">
        <f t="shared" si="289"/>
        <v>427.20000000000005</v>
      </c>
      <c r="BU199" s="538">
        <f t="shared" si="290"/>
        <v>3.2316531789786128E-2</v>
      </c>
      <c r="BV199" s="538">
        <f t="shared" si="291"/>
        <v>0.13558750879103207</v>
      </c>
      <c r="BW199" s="538">
        <f t="shared" si="292"/>
        <v>9.0391672527354722E-3</v>
      </c>
      <c r="BX199" s="538">
        <f t="shared" si="293"/>
        <v>0</v>
      </c>
      <c r="BY199" s="538">
        <f t="shared" si="274"/>
        <v>0.20102195027166211</v>
      </c>
      <c r="BZ199" s="538">
        <f t="shared" si="344"/>
        <v>0.17694320783355366</v>
      </c>
      <c r="CA199" s="641">
        <f t="shared" si="331"/>
        <v>7.6285714285714276E-2</v>
      </c>
      <c r="CB199" s="469">
        <f t="shared" si="338"/>
        <v>631.19408022448374</v>
      </c>
      <c r="CC199" s="177">
        <f t="shared" si="345"/>
        <v>0.98294408547848544</v>
      </c>
      <c r="CD199" s="5">
        <f t="shared" si="339"/>
        <v>5.34</v>
      </c>
      <c r="CE199" s="177">
        <f t="shared" si="340"/>
        <v>0.84454328993103822</v>
      </c>
      <c r="CF199" s="5">
        <f t="shared" si="341"/>
        <v>84.454328993103829</v>
      </c>
      <c r="CG199">
        <f t="shared" si="342"/>
        <v>89</v>
      </c>
      <c r="CI199" s="571">
        <f t="shared" si="332"/>
        <v>-50</v>
      </c>
      <c r="CJ199">
        <f t="shared" si="333"/>
        <v>-50</v>
      </c>
    </row>
    <row r="200" spans="5:88" x14ac:dyDescent="0.2">
      <c r="E200" s="174">
        <v>90</v>
      </c>
      <c r="F200" s="221">
        <f t="shared" si="334"/>
        <v>0.9</v>
      </c>
      <c r="G200" s="221">
        <f t="shared" si="299"/>
        <v>0.18000000000000002</v>
      </c>
      <c r="H200" s="221">
        <f t="shared" si="300"/>
        <v>4.5</v>
      </c>
      <c r="I200" s="221">
        <f t="shared" si="301"/>
        <v>0.90000000000000013</v>
      </c>
      <c r="J200" s="551">
        <f t="shared" si="302"/>
        <v>23</v>
      </c>
      <c r="K200" s="451">
        <f t="shared" si="303"/>
        <v>10.64</v>
      </c>
      <c r="L200" s="451">
        <f t="shared" si="304"/>
        <v>33.64</v>
      </c>
      <c r="M200" s="451"/>
      <c r="N200" s="221">
        <f t="shared" si="305"/>
        <v>0.31629013079667062</v>
      </c>
      <c r="O200" s="176">
        <f t="shared" si="306"/>
        <v>11.184809750297264</v>
      </c>
      <c r="P200" s="176">
        <f t="shared" si="307"/>
        <v>2.6843543400713439</v>
      </c>
      <c r="Q200" s="221">
        <f t="shared" si="308"/>
        <v>2.2369619500594529</v>
      </c>
      <c r="R200" s="221">
        <f t="shared" si="309"/>
        <v>2.2369619500594529</v>
      </c>
      <c r="S200" s="221">
        <f t="shared" si="310"/>
        <v>5</v>
      </c>
      <c r="T200" s="221">
        <f t="shared" si="311"/>
        <v>1.6495586793069632</v>
      </c>
      <c r="U200" s="221">
        <f t="shared" si="312"/>
        <v>0.50203959804994536</v>
      </c>
      <c r="V200" s="221">
        <f t="shared" si="313"/>
        <v>1.0852359732282653</v>
      </c>
      <c r="W200" s="201">
        <f t="shared" si="314"/>
        <v>350</v>
      </c>
      <c r="X200" s="451">
        <f t="shared" si="315"/>
        <v>350</v>
      </c>
      <c r="Z200" s="221">
        <f t="shared" si="316"/>
        <v>2.9692542891116021</v>
      </c>
      <c r="AA200" s="177">
        <f t="shared" si="317"/>
        <v>1.9534567691523697</v>
      </c>
      <c r="AB200" s="177">
        <f t="shared" si="318"/>
        <v>1.6917570513665985</v>
      </c>
      <c r="AC200" s="177"/>
      <c r="AD200" s="177">
        <f t="shared" si="319"/>
        <v>0.53947368421052622</v>
      </c>
      <c r="AE200" s="555">
        <f t="shared" si="320"/>
        <v>2034.5032718619873</v>
      </c>
      <c r="AF200" s="538">
        <f t="shared" si="321"/>
        <v>0.15482894736842101</v>
      </c>
      <c r="AH200" s="177">
        <f t="shared" si="322"/>
        <v>2.0995626366712954</v>
      </c>
      <c r="AI200" s="177">
        <f t="shared" si="323"/>
        <v>2.0995626366712954</v>
      </c>
      <c r="AJ200" s="177">
        <f t="shared" si="324"/>
        <v>2.1478241753120706</v>
      </c>
      <c r="AL200" s="555">
        <f t="shared" si="325"/>
        <v>900</v>
      </c>
      <c r="AM200" s="469">
        <f t="shared" si="326"/>
        <v>350</v>
      </c>
      <c r="AO200">
        <f t="shared" si="327"/>
        <v>900</v>
      </c>
      <c r="AP200">
        <f t="shared" si="328"/>
        <v>350</v>
      </c>
      <c r="AR200" s="5">
        <f t="shared" si="343"/>
        <v>2.8571428571428572</v>
      </c>
      <c r="AS200" s="5">
        <f t="shared" si="335"/>
        <v>0.63899732420430733</v>
      </c>
      <c r="AT200" s="5">
        <f t="shared" si="336"/>
        <v>2.21814553293855</v>
      </c>
      <c r="AU200" s="177">
        <f t="shared" si="337"/>
        <v>0.22364906347150756</v>
      </c>
      <c r="AW200" s="5">
        <f t="shared" si="275"/>
        <v>11.501951835677533</v>
      </c>
      <c r="AX200" s="5"/>
      <c r="AY200" s="5">
        <f t="shared" si="276"/>
        <v>2.3003903671355066</v>
      </c>
      <c r="AZ200" s="5"/>
      <c r="BA200" s="5">
        <f t="shared" si="277"/>
        <v>0.4018379588656793</v>
      </c>
      <c r="BB200" s="5"/>
      <c r="BC200" s="5"/>
      <c r="BD200" s="177">
        <f t="shared" si="278"/>
        <v>0.57326014627311417</v>
      </c>
      <c r="BE200" s="177">
        <f t="shared" si="279"/>
        <v>2.1361278611515444</v>
      </c>
      <c r="BF200" s="177">
        <f t="shared" si="280"/>
        <v>0.42722557223030888</v>
      </c>
      <c r="BG200" s="177"/>
      <c r="BH200" s="538">
        <f t="shared" si="281"/>
        <v>3.6148991483557942E-2</v>
      </c>
      <c r="BI200" s="538">
        <f t="shared" si="282"/>
        <v>0.12360125242083916</v>
      </c>
      <c r="BJ200" s="538">
        <f t="shared" si="283"/>
        <v>1.7499999999999998E-2</v>
      </c>
      <c r="BK200" s="538">
        <f t="shared" si="284"/>
        <v>8.9117405999999996E-2</v>
      </c>
      <c r="BL200">
        <f t="shared" si="285"/>
        <v>6.6699999999999997E-3</v>
      </c>
      <c r="BM200">
        <f t="shared" si="329"/>
        <v>6.3E-5</v>
      </c>
      <c r="BN200">
        <f t="shared" si="330"/>
        <v>0.27984720156726256</v>
      </c>
      <c r="BO200" s="469">
        <f t="shared" si="286"/>
        <v>273.03764990439709</v>
      </c>
      <c r="BP200" s="177">
        <f t="shared" si="287"/>
        <v>0.36000000000000004</v>
      </c>
      <c r="BQ200" s="177">
        <f t="shared" si="288"/>
        <v>7.2000000000000008E-2</v>
      </c>
      <c r="BR200" s="538"/>
      <c r="BT200" s="469">
        <f t="shared" si="289"/>
        <v>432.00000000000006</v>
      </c>
      <c r="BU200" s="538">
        <f t="shared" si="290"/>
        <v>3.2862719530507227E-2</v>
      </c>
      <c r="BV200" s="538">
        <f t="shared" si="291"/>
        <v>0.13689126717563613</v>
      </c>
      <c r="BW200" s="538">
        <f t="shared" si="292"/>
        <v>9.1260844783757449E-3</v>
      </c>
      <c r="BX200" s="538">
        <f t="shared" si="293"/>
        <v>0</v>
      </c>
      <c r="BY200" s="538">
        <f t="shared" si="274"/>
        <v>0.20325433167210685</v>
      </c>
      <c r="BZ200" s="538">
        <f t="shared" si="344"/>
        <v>0.1788800711845191</v>
      </c>
      <c r="CA200" s="641">
        <f t="shared" si="331"/>
        <v>7.7142857142857138E-2</v>
      </c>
      <c r="CB200" s="469">
        <f t="shared" si="338"/>
        <v>638.15733118400215</v>
      </c>
      <c r="CC200" s="177">
        <f t="shared" si="345"/>
        <v>0.99224439038222656</v>
      </c>
      <c r="CD200" s="5">
        <f t="shared" si="339"/>
        <v>5.4</v>
      </c>
      <c r="CE200" s="177">
        <f t="shared" si="340"/>
        <v>0.8447737086092707</v>
      </c>
      <c r="CF200" s="5">
        <f t="shared" si="341"/>
        <v>84.477370860927067</v>
      </c>
      <c r="CG200">
        <f t="shared" si="342"/>
        <v>90</v>
      </c>
      <c r="CI200" s="571">
        <f t="shared" si="332"/>
        <v>-50</v>
      </c>
      <c r="CJ200">
        <f t="shared" si="333"/>
        <v>-50</v>
      </c>
    </row>
    <row r="201" spans="5:88" x14ac:dyDescent="0.2">
      <c r="E201" s="174">
        <v>91</v>
      </c>
      <c r="F201" s="221">
        <f t="shared" si="334"/>
        <v>0.91</v>
      </c>
      <c r="G201" s="221">
        <f t="shared" si="299"/>
        <v>0.18200000000000002</v>
      </c>
      <c r="H201" s="221">
        <f t="shared" si="300"/>
        <v>4.55</v>
      </c>
      <c r="I201" s="221">
        <f t="shared" si="301"/>
        <v>0.91000000000000014</v>
      </c>
      <c r="J201" s="551">
        <f t="shared" si="302"/>
        <v>23</v>
      </c>
      <c r="K201" s="451">
        <f t="shared" si="303"/>
        <v>10.64</v>
      </c>
      <c r="L201" s="451">
        <f t="shared" si="304"/>
        <v>33.64</v>
      </c>
      <c r="M201" s="451"/>
      <c r="N201" s="221">
        <f t="shared" si="305"/>
        <v>0.31629013079667062</v>
      </c>
      <c r="O201" s="176">
        <f t="shared" si="306"/>
        <v>11.184809750297264</v>
      </c>
      <c r="P201" s="176">
        <f t="shared" si="307"/>
        <v>2.6843543400713439</v>
      </c>
      <c r="Q201" s="221">
        <f t="shared" si="308"/>
        <v>2.2369619500594529</v>
      </c>
      <c r="R201" s="221">
        <f t="shared" si="309"/>
        <v>2.2369619500594529</v>
      </c>
      <c r="S201" s="221">
        <f t="shared" si="310"/>
        <v>5</v>
      </c>
      <c r="T201" s="221">
        <f t="shared" si="311"/>
        <v>1.6678871090770404</v>
      </c>
      <c r="U201" s="221">
        <f t="shared" si="312"/>
        <v>0.50761781580605581</v>
      </c>
      <c r="V201" s="221">
        <f t="shared" si="313"/>
        <v>1.0972941507085792</v>
      </c>
      <c r="W201" s="201">
        <f t="shared" si="314"/>
        <v>350</v>
      </c>
      <c r="X201" s="451">
        <f t="shared" si="315"/>
        <v>350</v>
      </c>
      <c r="Z201" s="221">
        <f t="shared" si="316"/>
        <v>2.9692542891116021</v>
      </c>
      <c r="AA201" s="177">
        <f t="shared" si="317"/>
        <v>1.9534567691523697</v>
      </c>
      <c r="AB201" s="177">
        <f t="shared" si="318"/>
        <v>1.6917570513665985</v>
      </c>
      <c r="AC201" s="177"/>
      <c r="AD201" s="177">
        <f t="shared" si="319"/>
        <v>0.53947368421052622</v>
      </c>
      <c r="AE201" s="555">
        <f t="shared" si="320"/>
        <v>2057.1088637715652</v>
      </c>
      <c r="AF201" s="538">
        <f t="shared" si="321"/>
        <v>0.15482894736842101</v>
      </c>
      <c r="AH201" s="177">
        <f t="shared" si="322"/>
        <v>2.1111946516469904</v>
      </c>
      <c r="AI201" s="177">
        <f t="shared" si="323"/>
        <v>2.1111946516469904</v>
      </c>
      <c r="AJ201" s="177">
        <f t="shared" si="324"/>
        <v>2.1564404827014743</v>
      </c>
      <c r="AL201" s="555">
        <f t="shared" si="325"/>
        <v>910</v>
      </c>
      <c r="AM201" s="469">
        <f t="shared" si="326"/>
        <v>350</v>
      </c>
      <c r="AO201">
        <f t="shared" si="327"/>
        <v>910</v>
      </c>
      <c r="AP201">
        <f t="shared" si="328"/>
        <v>350</v>
      </c>
      <c r="AR201" s="5">
        <f t="shared" si="343"/>
        <v>2.8571428571428572</v>
      </c>
      <c r="AS201" s="5">
        <f t="shared" si="335"/>
        <v>0.64253750267517096</v>
      </c>
      <c r="AT201" s="5">
        <f t="shared" si="336"/>
        <v>2.214605354467686</v>
      </c>
      <c r="AU201" s="177">
        <f t="shared" si="337"/>
        <v>0.22488812593630983</v>
      </c>
      <c r="AW201" s="5">
        <f t="shared" si="275"/>
        <v>11.694182548688113</v>
      </c>
      <c r="AX201" s="5"/>
      <c r="AY201" s="5">
        <f t="shared" si="276"/>
        <v>2.3388365097376229</v>
      </c>
      <c r="AZ201" s="5"/>
      <c r="BA201" s="5">
        <f t="shared" si="277"/>
        <v>0.40565436243268804</v>
      </c>
      <c r="BB201" s="5"/>
      <c r="BC201" s="5"/>
      <c r="BD201" s="177">
        <f t="shared" si="278"/>
        <v>0.57803070973010495</v>
      </c>
      <c r="BE201" s="177">
        <f t="shared" si="279"/>
        <v>2.1462476877780876</v>
      </c>
      <c r="BF201" s="177">
        <f t="shared" si="280"/>
        <v>0.42924953755561757</v>
      </c>
      <c r="BG201" s="177"/>
      <c r="BH201" s="538">
        <f t="shared" si="281"/>
        <v>3.6753145153019778E-2</v>
      </c>
      <c r="BI201" s="538">
        <f t="shared" si="282"/>
        <v>0.12428602914245833</v>
      </c>
      <c r="BJ201" s="538">
        <f t="shared" si="283"/>
        <v>1.7499999999999998E-2</v>
      </c>
      <c r="BK201" s="538">
        <f t="shared" si="284"/>
        <v>8.9117405999999996E-2</v>
      </c>
      <c r="BL201">
        <f t="shared" si="285"/>
        <v>6.6699999999999997E-3</v>
      </c>
      <c r="BM201">
        <f t="shared" si="329"/>
        <v>6.3E-5</v>
      </c>
      <c r="BN201">
        <f t="shared" si="330"/>
        <v>0.28125845590294141</v>
      </c>
      <c r="BO201" s="469">
        <f t="shared" si="286"/>
        <v>274.3265802954781</v>
      </c>
      <c r="BP201" s="177">
        <f t="shared" si="287"/>
        <v>0.36400000000000005</v>
      </c>
      <c r="BQ201" s="177">
        <f t="shared" si="288"/>
        <v>7.2800000000000017E-2</v>
      </c>
      <c r="BR201" s="538"/>
      <c r="BT201" s="469">
        <f t="shared" si="289"/>
        <v>436.80000000000007</v>
      </c>
      <c r="BU201" s="538">
        <f t="shared" si="290"/>
        <v>3.3411950139108887E-2</v>
      </c>
      <c r="BV201" s="538">
        <f t="shared" si="291"/>
        <v>0.13819137411878363</v>
      </c>
      <c r="BW201" s="538">
        <f t="shared" si="292"/>
        <v>9.2127582745855762E-3</v>
      </c>
      <c r="BX201" s="538">
        <f t="shared" si="293"/>
        <v>0</v>
      </c>
      <c r="BY201" s="538">
        <f t="shared" si="274"/>
        <v>0.20548643257654059</v>
      </c>
      <c r="BZ201" s="538">
        <f t="shared" si="344"/>
        <v>0.18081608253247808</v>
      </c>
      <c r="CA201" s="641">
        <f t="shared" si="331"/>
        <v>7.8000000000000014E-2</v>
      </c>
      <c r="CB201" s="469">
        <f t="shared" si="338"/>
        <v>645.11859764149676</v>
      </c>
      <c r="CC201" s="177">
        <f t="shared" si="345"/>
        <v>1.0015448884794822</v>
      </c>
      <c r="CD201" s="5">
        <f t="shared" si="339"/>
        <v>5.46</v>
      </c>
      <c r="CE201" s="177">
        <f t="shared" si="340"/>
        <v>0.84499915952527516</v>
      </c>
      <c r="CF201" s="5">
        <f t="shared" si="341"/>
        <v>84.499915952527516</v>
      </c>
      <c r="CG201">
        <f t="shared" si="342"/>
        <v>91</v>
      </c>
      <c r="CI201" s="571">
        <f t="shared" si="332"/>
        <v>-50</v>
      </c>
      <c r="CJ201">
        <f t="shared" si="333"/>
        <v>-50</v>
      </c>
    </row>
    <row r="202" spans="5:88" x14ac:dyDescent="0.2">
      <c r="E202" s="174">
        <v>92</v>
      </c>
      <c r="F202" s="221">
        <f t="shared" si="334"/>
        <v>0.92</v>
      </c>
      <c r="G202" s="221">
        <f t="shared" si="299"/>
        <v>0.18400000000000002</v>
      </c>
      <c r="H202" s="221">
        <f t="shared" si="300"/>
        <v>4.6000000000000005</v>
      </c>
      <c r="I202" s="221">
        <f t="shared" si="301"/>
        <v>0.92000000000000015</v>
      </c>
      <c r="J202" s="551">
        <f t="shared" si="302"/>
        <v>23</v>
      </c>
      <c r="K202" s="451">
        <f t="shared" si="303"/>
        <v>10.64</v>
      </c>
      <c r="L202" s="451">
        <f t="shared" si="304"/>
        <v>33.64</v>
      </c>
      <c r="M202" s="451"/>
      <c r="N202" s="221">
        <f t="shared" si="305"/>
        <v>0.31629013079667062</v>
      </c>
      <c r="O202" s="176">
        <f t="shared" si="306"/>
        <v>11.184809750297264</v>
      </c>
      <c r="P202" s="176">
        <f t="shared" si="307"/>
        <v>2.6843543400713439</v>
      </c>
      <c r="Q202" s="221">
        <f t="shared" si="308"/>
        <v>2.2369619500594529</v>
      </c>
      <c r="R202" s="221">
        <f t="shared" si="309"/>
        <v>2.2369619500594529</v>
      </c>
      <c r="S202" s="221">
        <f t="shared" si="310"/>
        <v>5</v>
      </c>
      <c r="T202" s="221">
        <f t="shared" si="311"/>
        <v>1.6862155388471181</v>
      </c>
      <c r="U202" s="221">
        <f t="shared" si="312"/>
        <v>0.51319603356216636</v>
      </c>
      <c r="V202" s="221">
        <f t="shared" si="313"/>
        <v>1.1093523281888935</v>
      </c>
      <c r="W202" s="201">
        <f t="shared" si="314"/>
        <v>350</v>
      </c>
      <c r="X202" s="451">
        <f t="shared" si="315"/>
        <v>350</v>
      </c>
      <c r="Z202" s="221">
        <f t="shared" si="316"/>
        <v>2.9692542891116021</v>
      </c>
      <c r="AA202" s="177">
        <f t="shared" si="317"/>
        <v>1.9534567691523697</v>
      </c>
      <c r="AB202" s="177">
        <f t="shared" si="318"/>
        <v>1.6917570513665985</v>
      </c>
      <c r="AC202" s="177"/>
      <c r="AD202" s="177">
        <f t="shared" si="319"/>
        <v>0.53947368421052622</v>
      </c>
      <c r="AE202" s="555">
        <f t="shared" si="320"/>
        <v>2079.7144556811427</v>
      </c>
      <c r="AF202" s="538">
        <f t="shared" si="321"/>
        <v>0.15482894736842101</v>
      </c>
      <c r="AH202" s="177">
        <f t="shared" si="322"/>
        <v>2.1227629281150526</v>
      </c>
      <c r="AI202" s="177">
        <f t="shared" si="323"/>
        <v>2.1227629281150526</v>
      </c>
      <c r="AJ202" s="177">
        <f t="shared" si="324"/>
        <v>2.1650095763815207</v>
      </c>
      <c r="AL202" s="555">
        <f t="shared" si="325"/>
        <v>920</v>
      </c>
      <c r="AM202" s="469">
        <f t="shared" si="326"/>
        <v>350</v>
      </c>
      <c r="AO202">
        <f t="shared" si="327"/>
        <v>920</v>
      </c>
      <c r="AP202">
        <f t="shared" si="328"/>
        <v>350</v>
      </c>
      <c r="AR202" s="5">
        <f t="shared" si="343"/>
        <v>2.8571428571428572</v>
      </c>
      <c r="AS202" s="5">
        <f t="shared" si="335"/>
        <v>0.64605828246979868</v>
      </c>
      <c r="AT202" s="5">
        <f t="shared" si="336"/>
        <v>2.2110845746730585</v>
      </c>
      <c r="AU202" s="177">
        <f t="shared" si="337"/>
        <v>0.22612039886442953</v>
      </c>
      <c r="AW202" s="5">
        <f t="shared" si="275"/>
        <v>11.887472397444295</v>
      </c>
      <c r="AX202" s="5"/>
      <c r="AY202" s="5">
        <f t="shared" si="276"/>
        <v>2.3774944794888597</v>
      </c>
      <c r="AZ202" s="5"/>
      <c r="BA202" s="5">
        <f t="shared" si="277"/>
        <v>0.40946010642093672</v>
      </c>
      <c r="BB202" s="5"/>
      <c r="BC202" s="5"/>
      <c r="BD202" s="177">
        <f t="shared" si="278"/>
        <v>0.58278818493377882</v>
      </c>
      <c r="BE202" s="177">
        <f t="shared" si="279"/>
        <v>2.1562919540990939</v>
      </c>
      <c r="BF202" s="177">
        <f t="shared" si="280"/>
        <v>0.43125839081981882</v>
      </c>
      <c r="BG202" s="177"/>
      <c r="BH202" s="538">
        <f t="shared" si="281"/>
        <v>3.7360627534824921E-2</v>
      </c>
      <c r="BI202" s="538">
        <f t="shared" si="282"/>
        <v>0.12496705357813316</v>
      </c>
      <c r="BJ202" s="538">
        <f t="shared" si="283"/>
        <v>1.7499999999999998E-2</v>
      </c>
      <c r="BK202" s="538">
        <f t="shared" si="284"/>
        <v>8.9117405999999996E-2</v>
      </c>
      <c r="BL202">
        <f t="shared" si="285"/>
        <v>6.6699999999999997E-3</v>
      </c>
      <c r="BM202">
        <f t="shared" si="329"/>
        <v>6.3E-5</v>
      </c>
      <c r="BN202">
        <f t="shared" si="330"/>
        <v>0.28267022782454432</v>
      </c>
      <c r="BO202" s="469">
        <f t="shared" si="286"/>
        <v>275.61508711295807</v>
      </c>
      <c r="BP202" s="177">
        <f t="shared" si="287"/>
        <v>0.36800000000000005</v>
      </c>
      <c r="BQ202" s="177">
        <f t="shared" si="288"/>
        <v>7.3600000000000013E-2</v>
      </c>
      <c r="BR202" s="538"/>
      <c r="BT202" s="469">
        <f t="shared" si="289"/>
        <v>441.6</v>
      </c>
      <c r="BU202" s="538">
        <f t="shared" si="290"/>
        <v>3.396420684984084E-2</v>
      </c>
      <c r="BV202" s="538">
        <f t="shared" si="291"/>
        <v>0.13948784973937464</v>
      </c>
      <c r="BW202" s="538">
        <f t="shared" si="292"/>
        <v>9.299189982624979E-3</v>
      </c>
      <c r="BX202" s="538">
        <f t="shared" si="293"/>
        <v>0</v>
      </c>
      <c r="BY202" s="538">
        <f t="shared" si="274"/>
        <v>0.20771825780442044</v>
      </c>
      <c r="BZ202" s="538">
        <f t="shared" si="344"/>
        <v>0.18275124657184044</v>
      </c>
      <c r="CA202" s="641">
        <f t="shared" si="331"/>
        <v>7.8857142857142862E-2</v>
      </c>
      <c r="CB202" s="469">
        <f t="shared" si="338"/>
        <v>652.07789380524412</v>
      </c>
      <c r="CC202" s="177">
        <f t="shared" si="345"/>
        <v>1.0108456284861078</v>
      </c>
      <c r="CD202" s="5">
        <f t="shared" si="339"/>
        <v>5.5200000000000005</v>
      </c>
      <c r="CE202" s="177">
        <f t="shared" si="340"/>
        <v>0.8452197944968991</v>
      </c>
      <c r="CF202" s="5">
        <f t="shared" si="341"/>
        <v>84.521979449689908</v>
      </c>
      <c r="CG202">
        <f t="shared" si="342"/>
        <v>92</v>
      </c>
      <c r="CI202" s="571">
        <f t="shared" si="332"/>
        <v>-50</v>
      </c>
      <c r="CJ202">
        <f t="shared" si="333"/>
        <v>-50</v>
      </c>
    </row>
    <row r="203" spans="5:88" x14ac:dyDescent="0.2">
      <c r="E203" s="174">
        <v>93</v>
      </c>
      <c r="F203" s="221">
        <f t="shared" si="334"/>
        <v>0.93</v>
      </c>
      <c r="G203" s="221">
        <f t="shared" si="299"/>
        <v>0.18600000000000003</v>
      </c>
      <c r="H203" s="221">
        <f t="shared" si="300"/>
        <v>4.6500000000000004</v>
      </c>
      <c r="I203" s="221">
        <f t="shared" si="301"/>
        <v>0.93000000000000016</v>
      </c>
      <c r="J203" s="551">
        <f t="shared" si="302"/>
        <v>23</v>
      </c>
      <c r="K203" s="451">
        <f t="shared" si="303"/>
        <v>10.64</v>
      </c>
      <c r="L203" s="451">
        <f t="shared" si="304"/>
        <v>33.64</v>
      </c>
      <c r="M203" s="451"/>
      <c r="N203" s="221">
        <f t="shared" si="305"/>
        <v>0.31629013079667062</v>
      </c>
      <c r="O203" s="176">
        <f t="shared" si="306"/>
        <v>11.184809750297264</v>
      </c>
      <c r="P203" s="176">
        <f t="shared" si="307"/>
        <v>2.6843543400713439</v>
      </c>
      <c r="Q203" s="221">
        <f t="shared" si="308"/>
        <v>2.2369619500594529</v>
      </c>
      <c r="R203" s="221">
        <f t="shared" si="309"/>
        <v>2.2369619500594529</v>
      </c>
      <c r="S203" s="221">
        <f t="shared" si="310"/>
        <v>5</v>
      </c>
      <c r="T203" s="221">
        <f t="shared" si="311"/>
        <v>1.7045439686171953</v>
      </c>
      <c r="U203" s="221">
        <f t="shared" si="312"/>
        <v>0.51877425131827681</v>
      </c>
      <c r="V203" s="221">
        <f t="shared" si="313"/>
        <v>1.1214105056692074</v>
      </c>
      <c r="W203" s="201">
        <f t="shared" si="314"/>
        <v>350</v>
      </c>
      <c r="X203" s="451">
        <f t="shared" si="315"/>
        <v>350</v>
      </c>
      <c r="Z203" s="221">
        <f t="shared" si="316"/>
        <v>2.9692542891116021</v>
      </c>
      <c r="AA203" s="177">
        <f t="shared" si="317"/>
        <v>1.9534567691523697</v>
      </c>
      <c r="AB203" s="177">
        <f t="shared" si="318"/>
        <v>1.6917570513665985</v>
      </c>
      <c r="AC203" s="177"/>
      <c r="AD203" s="177">
        <f t="shared" si="319"/>
        <v>0.53947368421052622</v>
      </c>
      <c r="AE203" s="555">
        <f t="shared" si="320"/>
        <v>2102.3200475907206</v>
      </c>
      <c r="AF203" s="538">
        <f t="shared" si="321"/>
        <v>0.15482894736842101</v>
      </c>
      <c r="AH203" s="177">
        <f t="shared" si="322"/>
        <v>2.134268502512354</v>
      </c>
      <c r="AI203" s="177">
        <f t="shared" si="323"/>
        <v>2.134268502512354</v>
      </c>
      <c r="AJ203" s="177">
        <f t="shared" si="324"/>
        <v>2.1735322240832251</v>
      </c>
      <c r="AL203" s="555">
        <f t="shared" si="325"/>
        <v>930</v>
      </c>
      <c r="AM203" s="469">
        <f t="shared" si="326"/>
        <v>350</v>
      </c>
      <c r="AO203">
        <f t="shared" si="327"/>
        <v>930</v>
      </c>
      <c r="AP203">
        <f t="shared" si="328"/>
        <v>350</v>
      </c>
      <c r="AR203" s="5">
        <f t="shared" si="343"/>
        <v>2.8571428571428572</v>
      </c>
      <c r="AS203" s="5">
        <f t="shared" si="335"/>
        <v>0.64955997902549911</v>
      </c>
      <c r="AT203" s="5">
        <f t="shared" si="336"/>
        <v>2.2075828781173579</v>
      </c>
      <c r="AU203" s="177">
        <f t="shared" si="337"/>
        <v>0.22734599265892469</v>
      </c>
      <c r="AW203" s="5">
        <f t="shared" si="275"/>
        <v>12.081815609874283</v>
      </c>
      <c r="AX203" s="5"/>
      <c r="AY203" s="5">
        <f t="shared" si="276"/>
        <v>2.4163631219748574</v>
      </c>
      <c r="AZ203" s="5"/>
      <c r="BA203" s="5">
        <f t="shared" si="277"/>
        <v>0.4132552489229353</v>
      </c>
      <c r="BB203" s="5"/>
      <c r="BC203" s="5"/>
      <c r="BD203" s="177">
        <f t="shared" si="278"/>
        <v>0.58753274947928968</v>
      </c>
      <c r="BE203" s="177">
        <f t="shared" si="279"/>
        <v>2.166261863421024</v>
      </c>
      <c r="BF203" s="177">
        <f t="shared" si="280"/>
        <v>0.4332523726842048</v>
      </c>
      <c r="BG203" s="177"/>
      <c r="BH203" s="538">
        <f t="shared" si="281"/>
        <v>3.7971420488176311E-2</v>
      </c>
      <c r="BI203" s="538">
        <f t="shared" si="282"/>
        <v>0.12564438674290229</v>
      </c>
      <c r="BJ203" s="538">
        <f t="shared" si="283"/>
        <v>1.7499999999999998E-2</v>
      </c>
      <c r="BK203" s="538">
        <f t="shared" si="284"/>
        <v>8.9117405999999996E-2</v>
      </c>
      <c r="BL203">
        <f t="shared" si="285"/>
        <v>6.6699999999999997E-3</v>
      </c>
      <c r="BM203">
        <f t="shared" si="329"/>
        <v>6.3E-5</v>
      </c>
      <c r="BN203">
        <f t="shared" si="330"/>
        <v>0.28408255987970682</v>
      </c>
      <c r="BO203" s="469">
        <f t="shared" si="286"/>
        <v>276.90321323107861</v>
      </c>
      <c r="BP203" s="177">
        <f t="shared" si="287"/>
        <v>0.37200000000000005</v>
      </c>
      <c r="BQ203" s="177">
        <f t="shared" si="288"/>
        <v>7.4400000000000008E-2</v>
      </c>
      <c r="BR203" s="538"/>
      <c r="BT203" s="469">
        <f t="shared" si="289"/>
        <v>446.40000000000009</v>
      </c>
      <c r="BU203" s="538">
        <f t="shared" si="290"/>
        <v>3.4519473171069376E-2</v>
      </c>
      <c r="BV203" s="538">
        <f t="shared" si="291"/>
        <v>0.14078071382736981</v>
      </c>
      <c r="BW203" s="538">
        <f t="shared" si="292"/>
        <v>9.3853809218246553E-3</v>
      </c>
      <c r="BX203" s="538">
        <f t="shared" si="293"/>
        <v>0</v>
      </c>
      <c r="BY203" s="538">
        <f t="shared" si="274"/>
        <v>0.20994981209319019</v>
      </c>
      <c r="BZ203" s="538">
        <f t="shared" si="344"/>
        <v>0.18468556792026383</v>
      </c>
      <c r="CA203" s="641">
        <f t="shared" si="331"/>
        <v>7.971428571428571E-2</v>
      </c>
      <c r="CB203" s="469">
        <f t="shared" si="338"/>
        <v>659.03523364800355</v>
      </c>
      <c r="CC203" s="177">
        <f t="shared" si="345"/>
        <v>1.0201466576871827</v>
      </c>
      <c r="CD203" s="5">
        <f t="shared" si="339"/>
        <v>5.58</v>
      </c>
      <c r="CE203" s="177">
        <f t="shared" si="340"/>
        <v>0.84543575914347013</v>
      </c>
      <c r="CF203" s="5">
        <f t="shared" si="341"/>
        <v>84.543575914347016</v>
      </c>
      <c r="CG203">
        <f t="shared" si="342"/>
        <v>93</v>
      </c>
      <c r="CI203" s="571">
        <f t="shared" si="332"/>
        <v>-50</v>
      </c>
      <c r="CJ203">
        <f t="shared" si="333"/>
        <v>-50</v>
      </c>
    </row>
    <row r="204" spans="5:88" x14ac:dyDescent="0.2">
      <c r="E204" s="174">
        <v>94</v>
      </c>
      <c r="F204" s="221">
        <f t="shared" si="334"/>
        <v>0.94</v>
      </c>
      <c r="G204" s="221">
        <f t="shared" si="299"/>
        <v>0.188</v>
      </c>
      <c r="H204" s="221">
        <f t="shared" si="300"/>
        <v>4.6999999999999993</v>
      </c>
      <c r="I204" s="221">
        <f t="shared" si="301"/>
        <v>0.94</v>
      </c>
      <c r="J204" s="551">
        <f t="shared" si="302"/>
        <v>23</v>
      </c>
      <c r="K204" s="451">
        <f t="shared" si="303"/>
        <v>10.64</v>
      </c>
      <c r="L204" s="451">
        <f t="shared" si="304"/>
        <v>33.64</v>
      </c>
      <c r="M204" s="451"/>
      <c r="N204" s="221">
        <f t="shared" si="305"/>
        <v>0.31629013079667062</v>
      </c>
      <c r="O204" s="176">
        <f t="shared" si="306"/>
        <v>11.184809750297264</v>
      </c>
      <c r="P204" s="176">
        <f t="shared" si="307"/>
        <v>2.6843543400713439</v>
      </c>
      <c r="Q204" s="221">
        <f t="shared" si="308"/>
        <v>2.2369619500594529</v>
      </c>
      <c r="R204" s="221">
        <f t="shared" si="309"/>
        <v>2.2369619500594529</v>
      </c>
      <c r="S204" s="221">
        <f t="shared" si="310"/>
        <v>5</v>
      </c>
      <c r="T204" s="221">
        <f t="shared" si="311"/>
        <v>1.7228723983872722</v>
      </c>
      <c r="U204" s="221">
        <f t="shared" si="312"/>
        <v>0.52435246907438715</v>
      </c>
      <c r="V204" s="221">
        <f t="shared" si="313"/>
        <v>1.1334686831495211</v>
      </c>
      <c r="W204" s="201">
        <f t="shared" si="314"/>
        <v>350</v>
      </c>
      <c r="X204" s="451">
        <f t="shared" si="315"/>
        <v>350</v>
      </c>
      <c r="Z204" s="221">
        <f t="shared" si="316"/>
        <v>2.9692542891116021</v>
      </c>
      <c r="AA204" s="177">
        <f t="shared" si="317"/>
        <v>1.9534567691523697</v>
      </c>
      <c r="AB204" s="177">
        <f t="shared" si="318"/>
        <v>1.6917570513665985</v>
      </c>
      <c r="AC204" s="177"/>
      <c r="AD204" s="177">
        <f t="shared" si="319"/>
        <v>0.53947368421052622</v>
      </c>
      <c r="AE204" s="555">
        <f t="shared" si="320"/>
        <v>2124.9256395002976</v>
      </c>
      <c r="AF204" s="538">
        <f t="shared" si="321"/>
        <v>0.15482894736842101</v>
      </c>
      <c r="AH204" s="177">
        <f t="shared" si="322"/>
        <v>2.145712383487838</v>
      </c>
      <c r="AI204" s="177">
        <f t="shared" si="323"/>
        <v>2.145712383487838</v>
      </c>
      <c r="AJ204" s="177">
        <f t="shared" si="324"/>
        <v>2.1820091729539541</v>
      </c>
      <c r="AL204" s="555">
        <f t="shared" si="325"/>
        <v>940</v>
      </c>
      <c r="AM204" s="469">
        <f t="shared" si="326"/>
        <v>350</v>
      </c>
      <c r="AO204">
        <f t="shared" si="327"/>
        <v>940</v>
      </c>
      <c r="AP204">
        <f t="shared" si="328"/>
        <v>350</v>
      </c>
      <c r="AR204" s="5">
        <f t="shared" si="343"/>
        <v>2.8571428571428572</v>
      </c>
      <c r="AS204" s="5">
        <f t="shared" si="335"/>
        <v>0.65304289932238546</v>
      </c>
      <c r="AT204" s="5">
        <f t="shared" si="336"/>
        <v>2.2040999578204716</v>
      </c>
      <c r="AU204" s="177">
        <f t="shared" si="337"/>
        <v>0.22856501476283492</v>
      </c>
      <c r="AW204" s="5">
        <f t="shared" si="275"/>
        <v>12.277206507260845</v>
      </c>
      <c r="AX204" s="5"/>
      <c r="AY204" s="5">
        <f t="shared" si="276"/>
        <v>2.4554413014521694</v>
      </c>
      <c r="AZ204" s="5"/>
      <c r="BA204" s="5">
        <f t="shared" si="277"/>
        <v>0.417039847091635</v>
      </c>
      <c r="BB204" s="5"/>
      <c r="BC204" s="5"/>
      <c r="BD204" s="177">
        <f t="shared" si="278"/>
        <v>0.59226457667066423</v>
      </c>
      <c r="BE204" s="177">
        <f t="shared" si="279"/>
        <v>2.1761585868425479</v>
      </c>
      <c r="BF204" s="177">
        <f t="shared" si="280"/>
        <v>0.43523171736850963</v>
      </c>
      <c r="BG204" s="177"/>
      <c r="BH204" s="538">
        <f t="shared" si="281"/>
        <v>3.8585506165676922E-2</v>
      </c>
      <c r="BI204" s="538">
        <f t="shared" si="282"/>
        <v>0.12631808801592903</v>
      </c>
      <c r="BJ204" s="538">
        <f t="shared" si="283"/>
        <v>1.7499999999999998E-2</v>
      </c>
      <c r="BK204" s="538">
        <f t="shared" si="284"/>
        <v>8.9117405999999996E-2</v>
      </c>
      <c r="BL204">
        <f t="shared" si="285"/>
        <v>6.6699999999999997E-3</v>
      </c>
      <c r="BM204">
        <f t="shared" si="329"/>
        <v>6.3E-5</v>
      </c>
      <c r="BN204">
        <f t="shared" si="330"/>
        <v>0.28549549332171342</v>
      </c>
      <c r="BO204" s="469">
        <f t="shared" si="286"/>
        <v>278.19100018160594</v>
      </c>
      <c r="BP204" s="177">
        <f t="shared" si="287"/>
        <v>0.376</v>
      </c>
      <c r="BQ204" s="177">
        <f t="shared" si="288"/>
        <v>7.5200000000000003E-2</v>
      </c>
      <c r="BR204" s="538"/>
      <c r="BT204" s="469">
        <f t="shared" si="289"/>
        <v>451.2</v>
      </c>
      <c r="BU204" s="538">
        <f t="shared" si="290"/>
        <v>3.5077732877888117E-2</v>
      </c>
      <c r="BV204" s="538">
        <f t="shared" si="291"/>
        <v>0.14206998585265665</v>
      </c>
      <c r="BW204" s="538">
        <f t="shared" si="292"/>
        <v>9.4713323901771118E-3</v>
      </c>
      <c r="BX204" s="538">
        <f t="shared" si="293"/>
        <v>0</v>
      </c>
      <c r="BY204" s="538">
        <f t="shared" si="274"/>
        <v>0.21218110010052948</v>
      </c>
      <c r="BZ204" s="538">
        <f t="shared" si="344"/>
        <v>0.18661905112072188</v>
      </c>
      <c r="CA204" s="641">
        <f t="shared" si="331"/>
        <v>8.057142857142853E-2</v>
      </c>
      <c r="CB204" s="469">
        <f t="shared" si="338"/>
        <v>665.99063091340167</v>
      </c>
      <c r="CC204" s="177">
        <f t="shared" si="345"/>
        <v>1.0294480219936715</v>
      </c>
      <c r="CD204" s="5">
        <f t="shared" si="339"/>
        <v>5.6399999999999988</v>
      </c>
      <c r="CE204" s="177">
        <f t="shared" si="340"/>
        <v>0.84564719320116344</v>
      </c>
      <c r="CF204" s="5">
        <f t="shared" si="341"/>
        <v>84.564719320116339</v>
      </c>
      <c r="CG204">
        <f t="shared" si="342"/>
        <v>94</v>
      </c>
      <c r="CI204" s="571">
        <f t="shared" si="332"/>
        <v>-50</v>
      </c>
      <c r="CJ204">
        <f t="shared" si="333"/>
        <v>-50</v>
      </c>
    </row>
    <row r="205" spans="5:88" x14ac:dyDescent="0.2">
      <c r="E205" s="174">
        <v>95</v>
      </c>
      <c r="F205" s="221">
        <f t="shared" si="334"/>
        <v>0.95</v>
      </c>
      <c r="G205" s="221">
        <f t="shared" si="299"/>
        <v>0.19</v>
      </c>
      <c r="H205" s="221">
        <f t="shared" si="300"/>
        <v>4.75</v>
      </c>
      <c r="I205" s="221">
        <f t="shared" si="301"/>
        <v>0.95</v>
      </c>
      <c r="J205" s="551">
        <f t="shared" si="302"/>
        <v>23</v>
      </c>
      <c r="K205" s="451">
        <f t="shared" si="303"/>
        <v>10.64</v>
      </c>
      <c r="L205" s="451">
        <f t="shared" si="304"/>
        <v>33.64</v>
      </c>
      <c r="M205" s="451"/>
      <c r="N205" s="221">
        <f t="shared" si="305"/>
        <v>0.31629013079667062</v>
      </c>
      <c r="O205" s="176">
        <f t="shared" si="306"/>
        <v>11.184809750297264</v>
      </c>
      <c r="P205" s="176">
        <f t="shared" si="307"/>
        <v>2.6843543400713439</v>
      </c>
      <c r="Q205" s="221">
        <f t="shared" si="308"/>
        <v>2.2369619500594529</v>
      </c>
      <c r="R205" s="221">
        <f t="shared" si="309"/>
        <v>2.2369619500594529</v>
      </c>
      <c r="S205" s="221">
        <f t="shared" si="310"/>
        <v>5</v>
      </c>
      <c r="T205" s="221">
        <f t="shared" si="311"/>
        <v>1.7412008281573501</v>
      </c>
      <c r="U205" s="221">
        <f t="shared" si="312"/>
        <v>0.52993068683049782</v>
      </c>
      <c r="V205" s="221">
        <f t="shared" si="313"/>
        <v>1.1455268606298354</v>
      </c>
      <c r="W205" s="201">
        <f t="shared" si="314"/>
        <v>350</v>
      </c>
      <c r="X205" s="451">
        <f t="shared" si="315"/>
        <v>350</v>
      </c>
      <c r="Z205" s="221">
        <f t="shared" si="316"/>
        <v>2.9692542891116021</v>
      </c>
      <c r="AA205" s="177">
        <f t="shared" si="317"/>
        <v>1.9534567691523697</v>
      </c>
      <c r="AB205" s="177">
        <f t="shared" si="318"/>
        <v>1.6917570513665985</v>
      </c>
      <c r="AC205" s="177"/>
      <c r="AD205" s="177">
        <f t="shared" si="319"/>
        <v>0.53947368421052622</v>
      </c>
      <c r="AE205" s="555">
        <f t="shared" si="320"/>
        <v>2147.5312314098751</v>
      </c>
      <c r="AF205" s="538">
        <f t="shared" si="321"/>
        <v>0.15482894736842101</v>
      </c>
      <c r="AH205" s="177">
        <f t="shared" si="322"/>
        <v>2.1570955529344999</v>
      </c>
      <c r="AI205" s="177">
        <f t="shared" si="323"/>
        <v>2.1570955529344999</v>
      </c>
      <c r="AJ205" s="177">
        <f t="shared" si="324"/>
        <v>2.1904411503218517</v>
      </c>
      <c r="AL205" s="555">
        <f t="shared" si="325"/>
        <v>950</v>
      </c>
      <c r="AM205" s="469">
        <f t="shared" si="326"/>
        <v>350</v>
      </c>
      <c r="AO205">
        <f t="shared" si="327"/>
        <v>950</v>
      </c>
      <c r="AP205">
        <f t="shared" si="328"/>
        <v>350</v>
      </c>
      <c r="AR205" s="5">
        <f t="shared" si="343"/>
        <v>2.8571428571428572</v>
      </c>
      <c r="AS205" s="5">
        <f t="shared" si="335"/>
        <v>0.65650734219745643</v>
      </c>
      <c r="AT205" s="5">
        <f t="shared" si="336"/>
        <v>2.2006355149454007</v>
      </c>
      <c r="AU205" s="177">
        <f t="shared" si="337"/>
        <v>0.22977756976910974</v>
      </c>
      <c r="AW205" s="5">
        <f t="shared" si="275"/>
        <v>12.473639501751672</v>
      </c>
      <c r="AX205" s="5"/>
      <c r="AY205" s="5">
        <f t="shared" si="276"/>
        <v>2.4947279003503344</v>
      </c>
      <c r="AZ205" s="5"/>
      <c r="BA205" s="5">
        <f t="shared" si="277"/>
        <v>0.42081395716548514</v>
      </c>
      <c r="BB205" s="5"/>
      <c r="BC205" s="5"/>
      <c r="BD205" s="177">
        <f t="shared" si="278"/>
        <v>0.59698383566898006</v>
      </c>
      <c r="BE205" s="177">
        <f t="shared" si="279"/>
        <v>2.1859832644494035</v>
      </c>
      <c r="BF205" s="177">
        <f t="shared" si="280"/>
        <v>0.43719665288988074</v>
      </c>
      <c r="BG205" s="177"/>
      <c r="BH205" s="538">
        <f t="shared" si="281"/>
        <v>3.9202867005505258E-2</v>
      </c>
      <c r="BI205" s="538">
        <f t="shared" si="282"/>
        <v>0.126988215201254</v>
      </c>
      <c r="BJ205" s="538">
        <f t="shared" si="283"/>
        <v>1.7499999999999998E-2</v>
      </c>
      <c r="BK205" s="538">
        <f t="shared" si="284"/>
        <v>8.9117405999999996E-2</v>
      </c>
      <c r="BL205">
        <f t="shared" si="285"/>
        <v>6.6699999999999997E-3</v>
      </c>
      <c r="BM205">
        <f t="shared" si="329"/>
        <v>6.3E-5</v>
      </c>
      <c r="BN205">
        <f t="shared" si="330"/>
        <v>0.28690906816121414</v>
      </c>
      <c r="BO205" s="469">
        <f t="shared" si="286"/>
        <v>279.47848820675927</v>
      </c>
      <c r="BP205" s="177">
        <f t="shared" si="287"/>
        <v>0.38</v>
      </c>
      <c r="BQ205" s="177">
        <f t="shared" si="288"/>
        <v>7.6000000000000012E-2</v>
      </c>
      <c r="BR205" s="538"/>
      <c r="BT205" s="469">
        <f t="shared" si="289"/>
        <v>456</v>
      </c>
      <c r="BU205" s="538">
        <f t="shared" si="290"/>
        <v>3.563897000500478E-2</v>
      </c>
      <c r="BV205" s="538">
        <f t="shared" si="291"/>
        <v>0.14335568497358611</v>
      </c>
      <c r="BW205" s="538">
        <f t="shared" si="292"/>
        <v>9.5570456649057434E-3</v>
      </c>
      <c r="BX205" s="538">
        <f t="shared" si="293"/>
        <v>0</v>
      </c>
      <c r="BY205" s="538">
        <f t="shared" si="274"/>
        <v>0.2144121264065193</v>
      </c>
      <c r="BZ205" s="538">
        <f t="shared" si="344"/>
        <v>0.18855170064349666</v>
      </c>
      <c r="CA205" s="641">
        <f t="shared" si="331"/>
        <v>8.1428571428571433E-2</v>
      </c>
      <c r="CB205" s="469">
        <f t="shared" si="338"/>
        <v>672.94409912208403</v>
      </c>
      <c r="CC205" s="177">
        <f t="shared" si="345"/>
        <v>1.038749765996305</v>
      </c>
      <c r="CD205" s="5">
        <f t="shared" si="339"/>
        <v>5.7</v>
      </c>
      <c r="CE205" s="177">
        <f t="shared" si="340"/>
        <v>0.84585423081921951</v>
      </c>
      <c r="CF205" s="5">
        <f t="shared" si="341"/>
        <v>84.585423081921945</v>
      </c>
      <c r="CG205">
        <f t="shared" si="342"/>
        <v>95</v>
      </c>
      <c r="CI205" s="571">
        <f t="shared" si="332"/>
        <v>-50</v>
      </c>
      <c r="CJ205">
        <f t="shared" si="333"/>
        <v>-50</v>
      </c>
    </row>
    <row r="206" spans="5:88" x14ac:dyDescent="0.2">
      <c r="E206" s="174">
        <v>96</v>
      </c>
      <c r="F206" s="221">
        <f t="shared" si="334"/>
        <v>0.96</v>
      </c>
      <c r="G206" s="221">
        <f t="shared" si="299"/>
        <v>0.192</v>
      </c>
      <c r="H206" s="221">
        <f t="shared" si="300"/>
        <v>4.8</v>
      </c>
      <c r="I206" s="221">
        <f t="shared" si="301"/>
        <v>0.96</v>
      </c>
      <c r="J206" s="551">
        <f t="shared" si="302"/>
        <v>23</v>
      </c>
      <c r="K206" s="451">
        <f t="shared" si="303"/>
        <v>10.64</v>
      </c>
      <c r="L206" s="451">
        <f t="shared" si="304"/>
        <v>33.64</v>
      </c>
      <c r="M206" s="451"/>
      <c r="N206" s="221">
        <f t="shared" si="305"/>
        <v>0.31629013079667062</v>
      </c>
      <c r="O206" s="176">
        <f t="shared" ref="O206:O210" si="346">N206*J206*Isw_max*0.5*Efficiency*Pout/(Pout+Pout2)</f>
        <v>11.184809750297264</v>
      </c>
      <c r="P206" s="176">
        <f t="shared" si="307"/>
        <v>2.6843543400713439</v>
      </c>
      <c r="Q206" s="221">
        <f t="shared" si="308"/>
        <v>2.2369619500594529</v>
      </c>
      <c r="R206" s="221">
        <f t="shared" si="309"/>
        <v>2.2369619500594529</v>
      </c>
      <c r="S206" s="221">
        <f t="shared" si="310"/>
        <v>5</v>
      </c>
      <c r="T206" s="221">
        <f t="shared" si="311"/>
        <v>1.7595292579274273</v>
      </c>
      <c r="U206" s="221">
        <f t="shared" si="312"/>
        <v>0.53550890458660838</v>
      </c>
      <c r="V206" s="221">
        <f t="shared" si="313"/>
        <v>1.1575850381101496</v>
      </c>
      <c r="W206" s="201">
        <f t="shared" si="314"/>
        <v>350</v>
      </c>
      <c r="X206" s="451">
        <f t="shared" si="315"/>
        <v>350</v>
      </c>
      <c r="Z206" s="221">
        <f t="shared" si="316"/>
        <v>2.9692542891116021</v>
      </c>
      <c r="AA206" s="177">
        <f t="shared" si="317"/>
        <v>1.9534567691523697</v>
      </c>
      <c r="AB206" s="177">
        <f t="shared" ref="AB206:AB210" si="347">0.5*AA206*Z206*Nps*W206/1000*(Pout/(Pout+Pout2))</f>
        <v>1.6917570513665985</v>
      </c>
      <c r="AC206" s="177"/>
      <c r="AD206" s="177">
        <f t="shared" si="319"/>
        <v>0.53947368421052622</v>
      </c>
      <c r="AE206" s="555">
        <f t="shared" ref="AE206:AE210" si="348">MAX(10, F206/(0.5*AD206/1000000*Isw_min*Nps)/1000*Pout_total/Pout)</f>
        <v>2170.136823319453</v>
      </c>
      <c r="AF206" s="538">
        <f t="shared" si="321"/>
        <v>0.15482894736842101</v>
      </c>
      <c r="AH206" s="177">
        <f t="shared" si="322"/>
        <v>2.1684189669726028</v>
      </c>
      <c r="AI206" s="177">
        <f t="shared" ref="AI206:AI210" si="349">MAX(IF(F206&gt;AB206,T206,AH206),Isw_min)</f>
        <v>2.1684189669726028</v>
      </c>
      <c r="AJ206" s="177">
        <f t="shared" ref="AJ206:AJ210" si="350">IF(F206&gt;AF206, (AI206-Isw_min)/1.08*0.8+1.2, AE206*0.2/350+1)</f>
        <v>2.1988288644241503</v>
      </c>
      <c r="AL206" s="555">
        <f t="shared" si="325"/>
        <v>960</v>
      </c>
      <c r="AM206" s="469">
        <f t="shared" si="326"/>
        <v>350</v>
      </c>
      <c r="AO206">
        <f t="shared" si="327"/>
        <v>960</v>
      </c>
      <c r="AP206">
        <f t="shared" si="328"/>
        <v>350</v>
      </c>
      <c r="AR206" s="5">
        <f t="shared" si="343"/>
        <v>2.8571428571428572</v>
      </c>
      <c r="AS206" s="5">
        <f t="shared" si="335"/>
        <v>0.65995359864383563</v>
      </c>
      <c r="AT206" s="5">
        <f t="shared" si="336"/>
        <v>2.1971892584990216</v>
      </c>
      <c r="AU206" s="177">
        <f t="shared" si="337"/>
        <v>0.23098375952534247</v>
      </c>
      <c r="AW206" s="5">
        <f t="shared" si="275"/>
        <v>12.671109093961643</v>
      </c>
      <c r="AX206" s="5"/>
      <c r="AY206" s="5">
        <f t="shared" si="276"/>
        <v>2.5342218187923287</v>
      </c>
      <c r="AZ206" s="5"/>
      <c r="BA206" s="5">
        <f t="shared" si="277"/>
        <v>0.42457763449256442</v>
      </c>
      <c r="BB206" s="5"/>
      <c r="BC206" s="5"/>
      <c r="BD206" s="177">
        <f t="shared" si="278"/>
        <v>0.60169069163391919</v>
      </c>
      <c r="BE206" s="177">
        <f t="shared" si="279"/>
        <v>2.1957370064528274</v>
      </c>
      <c r="BF206" s="177">
        <f t="shared" si="280"/>
        <v>0.43914740129056551</v>
      </c>
      <c r="BG206" s="177"/>
      <c r="BH206" s="538">
        <f t="shared" si="281"/>
        <v>3.9823485723879441E-2</v>
      </c>
      <c r="BI206" s="538">
        <f t="shared" si="282"/>
        <v>0.12765482458567712</v>
      </c>
      <c r="BJ206" s="538">
        <f t="shared" si="283"/>
        <v>1.7499999999999998E-2</v>
      </c>
      <c r="BK206" s="538">
        <f t="shared" si="284"/>
        <v>8.9117405999999996E-2</v>
      </c>
      <c r="BL206">
        <f t="shared" si="285"/>
        <v>6.6699999999999997E-3</v>
      </c>
      <c r="BM206">
        <f t="shared" si="329"/>
        <v>6.3E-5</v>
      </c>
      <c r="BN206">
        <f t="shared" ref="BN206:BN210" si="351">(BI206+BJ206+BK206+BL206+BM206+BH206*(1+RdsonTC*(Ta-25)))/(1-BH206*RdsonTC*ThetaJA)</f>
        <v>0.28832332321540444</v>
      </c>
      <c r="BO206" s="469">
        <f t="shared" si="286"/>
        <v>280.76571630955652</v>
      </c>
      <c r="BP206" s="177">
        <f t="shared" si="287"/>
        <v>0.38400000000000001</v>
      </c>
      <c r="BQ206" s="177">
        <f t="shared" si="288"/>
        <v>7.6800000000000007E-2</v>
      </c>
      <c r="BR206" s="538"/>
      <c r="BT206" s="469">
        <f t="shared" si="289"/>
        <v>460.8</v>
      </c>
      <c r="BU206" s="538">
        <f t="shared" si="290"/>
        <v>3.6203168839890408E-2</v>
      </c>
      <c r="BV206" s="538">
        <f t="shared" si="291"/>
        <v>0.14463783004519271</v>
      </c>
      <c r="BW206" s="538">
        <f t="shared" si="292"/>
        <v>9.6425220030128492E-3</v>
      </c>
      <c r="BX206" s="538">
        <f t="shared" si="293"/>
        <v>0</v>
      </c>
      <c r="BY206" s="538">
        <f t="shared" si="274"/>
        <v>0.21664289551572571</v>
      </c>
      <c r="BZ206" s="538">
        <f t="shared" si="344"/>
        <v>0.19048352088809598</v>
      </c>
      <c r="CA206" s="641">
        <f t="shared" si="331"/>
        <v>8.2285714285714281E-2</v>
      </c>
      <c r="CB206" s="469">
        <f t="shared" si="338"/>
        <v>679.89565157763195</v>
      </c>
      <c r="CC206" s="177">
        <f t="shared" si="345"/>
        <v>1.0480519330168443</v>
      </c>
      <c r="CD206" s="5">
        <f t="shared" si="339"/>
        <v>5.76</v>
      </c>
      <c r="CE206" s="177">
        <f t="shared" si="340"/>
        <v>0.84605700083835544</v>
      </c>
      <c r="CF206" s="5">
        <f t="shared" si="341"/>
        <v>84.605700083835544</v>
      </c>
      <c r="CG206">
        <f t="shared" si="342"/>
        <v>96</v>
      </c>
      <c r="CI206" s="571">
        <f t="shared" si="332"/>
        <v>-50</v>
      </c>
      <c r="CJ206">
        <f t="shared" si="333"/>
        <v>-50</v>
      </c>
    </row>
    <row r="207" spans="5:88" x14ac:dyDescent="0.2">
      <c r="E207" s="174">
        <v>97</v>
      </c>
      <c r="F207" s="221">
        <f t="shared" ref="F207:F210" si="352">IF(PLOT_TYPE=1, E207/100*Iout_max, min_I*EXP(O207*rr/100))</f>
        <v>0.97</v>
      </c>
      <c r="G207" s="221">
        <f t="shared" si="299"/>
        <v>0.19400000000000001</v>
      </c>
      <c r="H207" s="221">
        <f t="shared" si="300"/>
        <v>4.8499999999999996</v>
      </c>
      <c r="I207" s="221">
        <f t="shared" si="301"/>
        <v>0.97</v>
      </c>
      <c r="J207" s="551">
        <f t="shared" si="302"/>
        <v>23</v>
      </c>
      <c r="K207" s="451">
        <f t="shared" si="303"/>
        <v>10.64</v>
      </c>
      <c r="L207" s="451">
        <f t="shared" si="304"/>
        <v>33.64</v>
      </c>
      <c r="M207" s="451"/>
      <c r="N207" s="221">
        <f t="shared" si="305"/>
        <v>0.31629013079667062</v>
      </c>
      <c r="O207" s="176">
        <f t="shared" si="346"/>
        <v>11.184809750297264</v>
      </c>
      <c r="P207" s="176">
        <f t="shared" si="307"/>
        <v>2.6843543400713439</v>
      </c>
      <c r="Q207" s="221">
        <f t="shared" si="308"/>
        <v>2.2369619500594529</v>
      </c>
      <c r="R207" s="221">
        <f t="shared" si="309"/>
        <v>2.2369619500594529</v>
      </c>
      <c r="S207" s="221">
        <f t="shared" si="310"/>
        <v>5</v>
      </c>
      <c r="T207" s="221">
        <f t="shared" si="311"/>
        <v>1.7778576876975045</v>
      </c>
      <c r="U207" s="221">
        <f t="shared" si="312"/>
        <v>0.54108712234271872</v>
      </c>
      <c r="V207" s="221">
        <f t="shared" si="313"/>
        <v>1.1696432155904635</v>
      </c>
      <c r="W207" s="201">
        <f t="shared" si="314"/>
        <v>350</v>
      </c>
      <c r="X207" s="451">
        <f t="shared" si="315"/>
        <v>350</v>
      </c>
      <c r="Z207" s="221">
        <f t="shared" si="316"/>
        <v>2.9692542891116021</v>
      </c>
      <c r="AA207" s="177">
        <f t="shared" si="317"/>
        <v>1.9534567691523697</v>
      </c>
      <c r="AB207" s="177">
        <f t="shared" si="347"/>
        <v>1.6917570513665985</v>
      </c>
      <c r="AC207" s="177"/>
      <c r="AD207" s="177">
        <f t="shared" si="319"/>
        <v>0.53947368421052622</v>
      </c>
      <c r="AE207" s="555">
        <f t="shared" si="348"/>
        <v>2192.7424152290309</v>
      </c>
      <c r="AF207" s="538">
        <f t="shared" si="321"/>
        <v>0.15482894736842101</v>
      </c>
      <c r="AH207" s="177">
        <f t="shared" si="322"/>
        <v>2.1796835568869315</v>
      </c>
      <c r="AI207" s="177">
        <f t="shared" si="349"/>
        <v>2.1796835568869315</v>
      </c>
      <c r="AJ207" s="177">
        <f t="shared" si="350"/>
        <v>2.2071730051014309</v>
      </c>
      <c r="AL207" s="555">
        <f t="shared" si="325"/>
        <v>970</v>
      </c>
      <c r="AM207" s="469">
        <f t="shared" si="326"/>
        <v>350</v>
      </c>
      <c r="AO207">
        <f t="shared" si="327"/>
        <v>970</v>
      </c>
      <c r="AP207">
        <f t="shared" si="328"/>
        <v>350</v>
      </c>
      <c r="AR207" s="5">
        <f t="shared" si="343"/>
        <v>2.8571428571428572</v>
      </c>
      <c r="AS207" s="5">
        <f t="shared" si="335"/>
        <v>0.66338195209602269</v>
      </c>
      <c r="AT207" s="5">
        <f t="shared" si="336"/>
        <v>2.1937609050468345</v>
      </c>
      <c r="AU207" s="177">
        <f t="shared" si="337"/>
        <v>0.23218368323360794</v>
      </c>
      <c r="AW207" s="5">
        <f t="shared" si="275"/>
        <v>12.86960987066284</v>
      </c>
      <c r="AX207" s="5"/>
      <c r="AY207" s="5">
        <f t="shared" si="276"/>
        <v>2.5739219741325678</v>
      </c>
      <c r="AZ207" s="5"/>
      <c r="BA207" s="5">
        <f t="shared" si="277"/>
        <v>0.42833093355383028</v>
      </c>
      <c r="BB207" s="5"/>
      <c r="BC207" s="5"/>
      <c r="BD207" s="177">
        <f t="shared" si="278"/>
        <v>0.60638530585906802</v>
      </c>
      <c r="BE207" s="177">
        <f t="shared" si="279"/>
        <v>2.2054208942747957</v>
      </c>
      <c r="BF207" s="177">
        <f t="shared" si="280"/>
        <v>0.44108417885495915</v>
      </c>
      <c r="BG207" s="177"/>
      <c r="BH207" s="538">
        <f t="shared" si="281"/>
        <v>4.0447345307797505E-2</v>
      </c>
      <c r="BI207" s="538">
        <f t="shared" si="282"/>
        <v>0.12831797099393366</v>
      </c>
      <c r="BJ207" s="538">
        <f t="shared" si="283"/>
        <v>1.7499999999999998E-2</v>
      </c>
      <c r="BK207" s="538">
        <f t="shared" si="284"/>
        <v>8.9117405999999996E-2</v>
      </c>
      <c r="BL207">
        <f t="shared" si="285"/>
        <v>6.6699999999999997E-3</v>
      </c>
      <c r="BM207">
        <f t="shared" si="329"/>
        <v>6.3E-5</v>
      </c>
      <c r="BN207">
        <f t="shared" si="351"/>
        <v>0.28973829615481844</v>
      </c>
      <c r="BO207" s="469">
        <f t="shared" si="286"/>
        <v>282.05272230173119</v>
      </c>
      <c r="BP207" s="177">
        <f t="shared" si="287"/>
        <v>0.38800000000000001</v>
      </c>
      <c r="BQ207" s="177">
        <f t="shared" si="288"/>
        <v>7.7600000000000002E-2</v>
      </c>
      <c r="BR207" s="538"/>
      <c r="BT207" s="469">
        <f t="shared" si="289"/>
        <v>465.6</v>
      </c>
      <c r="BU207" s="538">
        <f t="shared" si="290"/>
        <v>3.6770313916179548E-2</v>
      </c>
      <c r="BV207" s="538">
        <f t="shared" si="291"/>
        <v>0.14591643962711517</v>
      </c>
      <c r="BW207" s="538">
        <f t="shared" si="292"/>
        <v>9.7277626418076808E-3</v>
      </c>
      <c r="BX207" s="538">
        <f t="shared" si="293"/>
        <v>0</v>
      </c>
      <c r="BY207" s="538">
        <f t="shared" si="274"/>
        <v>0.2188734118592085</v>
      </c>
      <c r="BZ207" s="538">
        <f t="shared" si="344"/>
        <v>0.19241451618510241</v>
      </c>
      <c r="CA207" s="641">
        <f t="shared" si="331"/>
        <v>8.3142857142857157E-2</v>
      </c>
      <c r="CB207" s="469">
        <f t="shared" si="338"/>
        <v>686.84530137227046</v>
      </c>
      <c r="CC207" s="177">
        <f t="shared" si="345"/>
        <v>1.0573545651568841</v>
      </c>
      <c r="CD207" s="5">
        <f t="shared" si="339"/>
        <v>5.8199999999999994</v>
      </c>
      <c r="CE207" s="177">
        <f t="shared" si="340"/>
        <v>0.84625562705261448</v>
      </c>
      <c r="CF207" s="5">
        <f t="shared" si="341"/>
        <v>84.625562705261444</v>
      </c>
      <c r="CG207">
        <f t="shared" si="342"/>
        <v>97</v>
      </c>
      <c r="CI207" s="571">
        <f t="shared" si="332"/>
        <v>-50</v>
      </c>
      <c r="CJ207">
        <f t="shared" si="333"/>
        <v>-50</v>
      </c>
    </row>
    <row r="208" spans="5:88" x14ac:dyDescent="0.2">
      <c r="E208" s="174">
        <v>98</v>
      </c>
      <c r="F208" s="221">
        <f t="shared" si="352"/>
        <v>0.98</v>
      </c>
      <c r="G208" s="221">
        <f t="shared" si="299"/>
        <v>0.19600000000000001</v>
      </c>
      <c r="H208" s="221">
        <f t="shared" si="300"/>
        <v>4.9000000000000004</v>
      </c>
      <c r="I208" s="221">
        <f t="shared" si="301"/>
        <v>0.98</v>
      </c>
      <c r="J208" s="551">
        <f t="shared" si="302"/>
        <v>23</v>
      </c>
      <c r="K208" s="451">
        <f t="shared" si="303"/>
        <v>10.64</v>
      </c>
      <c r="L208" s="451">
        <f t="shared" si="304"/>
        <v>33.64</v>
      </c>
      <c r="M208" s="451"/>
      <c r="N208" s="221">
        <f t="shared" si="305"/>
        <v>0.31629013079667062</v>
      </c>
      <c r="O208" s="176">
        <f t="shared" si="346"/>
        <v>11.184809750297264</v>
      </c>
      <c r="P208" s="176">
        <f t="shared" si="307"/>
        <v>2.6843543400713439</v>
      </c>
      <c r="Q208" s="221">
        <f t="shared" si="308"/>
        <v>2.2369619500594529</v>
      </c>
      <c r="R208" s="221">
        <f t="shared" si="309"/>
        <v>2.2369619500594529</v>
      </c>
      <c r="S208" s="221">
        <f t="shared" si="310"/>
        <v>5</v>
      </c>
      <c r="T208" s="221">
        <f t="shared" si="311"/>
        <v>1.7961861174675824</v>
      </c>
      <c r="U208" s="221">
        <f t="shared" si="312"/>
        <v>0.54666534009882939</v>
      </c>
      <c r="V208" s="221">
        <f t="shared" si="313"/>
        <v>1.1817013930707778</v>
      </c>
      <c r="W208" s="201">
        <f t="shared" si="314"/>
        <v>350</v>
      </c>
      <c r="X208" s="451">
        <f t="shared" si="315"/>
        <v>350</v>
      </c>
      <c r="Z208" s="221">
        <f t="shared" si="316"/>
        <v>2.9692542891116021</v>
      </c>
      <c r="AA208" s="177">
        <f t="shared" si="317"/>
        <v>1.9534567691523697</v>
      </c>
      <c r="AB208" s="177">
        <f t="shared" si="347"/>
        <v>1.6917570513665985</v>
      </c>
      <c r="AC208" s="177"/>
      <c r="AD208" s="177">
        <f t="shared" si="319"/>
        <v>0.53947368421052622</v>
      </c>
      <c r="AE208" s="555">
        <f t="shared" si="348"/>
        <v>2215.3480071386084</v>
      </c>
      <c r="AF208" s="538">
        <f t="shared" si="321"/>
        <v>0.15482894736842101</v>
      </c>
      <c r="AH208" s="177">
        <f t="shared" si="322"/>
        <v>2.1908902300206647</v>
      </c>
      <c r="AI208" s="177">
        <f t="shared" si="349"/>
        <v>2.1908902300206647</v>
      </c>
      <c r="AJ208" s="177">
        <f t="shared" si="350"/>
        <v>2.2154742444597515</v>
      </c>
      <c r="AL208" s="555">
        <f t="shared" si="325"/>
        <v>980</v>
      </c>
      <c r="AM208" s="469">
        <f t="shared" si="326"/>
        <v>350</v>
      </c>
      <c r="AO208">
        <f t="shared" si="327"/>
        <v>980</v>
      </c>
      <c r="AP208">
        <f t="shared" si="328"/>
        <v>350</v>
      </c>
      <c r="AR208" s="5">
        <f t="shared" si="343"/>
        <v>2.8571428571428572</v>
      </c>
      <c r="AS208" s="5">
        <f t="shared" si="335"/>
        <v>0.66679267870194148</v>
      </c>
      <c r="AT208" s="5">
        <f t="shared" si="336"/>
        <v>2.1903501784409158</v>
      </c>
      <c r="AU208" s="177">
        <f t="shared" si="337"/>
        <v>0.23337743754567952</v>
      </c>
      <c r="AW208" s="5">
        <f t="shared" si="275"/>
        <v>13.069136502558052</v>
      </c>
      <c r="AX208" s="5"/>
      <c r="AY208" s="5">
        <f t="shared" si="276"/>
        <v>2.6138273005116108</v>
      </c>
      <c r="AZ208" s="5"/>
      <c r="BA208" s="5">
        <f t="shared" si="277"/>
        <v>0.43207390798552686</v>
      </c>
      <c r="BB208" s="5"/>
      <c r="BC208" s="5"/>
      <c r="BD208" s="177">
        <f t="shared" si="278"/>
        <v>0.61106783590129121</v>
      </c>
      <c r="BE208" s="177">
        <f t="shared" si="279"/>
        <v>2.2150359815830649</v>
      </c>
      <c r="BF208" s="177">
        <f t="shared" si="280"/>
        <v>0.44300719631661301</v>
      </c>
      <c r="BG208" s="177"/>
      <c r="BH208" s="538">
        <f t="shared" si="281"/>
        <v>4.1074429008039613E-2</v>
      </c>
      <c r="BI208" s="538">
        <f t="shared" si="282"/>
        <v>0.12897770784131654</v>
      </c>
      <c r="BJ208" s="538">
        <f t="shared" si="283"/>
        <v>1.7499999999999998E-2</v>
      </c>
      <c r="BK208" s="538">
        <f t="shared" si="284"/>
        <v>8.9117405999999996E-2</v>
      </c>
      <c r="BL208">
        <f t="shared" si="285"/>
        <v>6.6699999999999997E-3</v>
      </c>
      <c r="BM208">
        <f t="shared" si="329"/>
        <v>6.3E-5</v>
      </c>
      <c r="BN208">
        <f t="shared" si="351"/>
        <v>0.29115402354787129</v>
      </c>
      <c r="BO208" s="469">
        <f t="shared" si="286"/>
        <v>283.33954284935612</v>
      </c>
      <c r="BP208" s="177">
        <f t="shared" si="287"/>
        <v>0.39200000000000002</v>
      </c>
      <c r="BQ208" s="177">
        <f t="shared" si="288"/>
        <v>7.8400000000000011E-2</v>
      </c>
      <c r="BR208" s="538"/>
      <c r="BT208" s="469">
        <f t="shared" si="289"/>
        <v>470.40000000000003</v>
      </c>
      <c r="BU208" s="538">
        <f t="shared" si="290"/>
        <v>3.7340390007308738E-2</v>
      </c>
      <c r="BV208" s="538">
        <f t="shared" si="291"/>
        <v>0.14719153199122956</v>
      </c>
      <c r="BW208" s="538">
        <f t="shared" si="292"/>
        <v>9.8127687994153043E-3</v>
      </c>
      <c r="BX208" s="538">
        <f t="shared" si="293"/>
        <v>0</v>
      </c>
      <c r="BY208" s="538">
        <f t="shared" si="274"/>
        <v>0.22110367979645459</v>
      </c>
      <c r="BZ208" s="538">
        <f t="shared" si="344"/>
        <v>0.19434469079795361</v>
      </c>
      <c r="CA208" s="641">
        <f t="shared" si="331"/>
        <v>8.4000000000000033E-2</v>
      </c>
      <c r="CB208" s="469">
        <f t="shared" si="338"/>
        <v>693.79306139236189</v>
      </c>
      <c r="CC208" s="177">
        <f t="shared" si="345"/>
        <v>1.0666577033443259</v>
      </c>
      <c r="CD208" s="5">
        <f t="shared" si="339"/>
        <v>5.8800000000000008</v>
      </c>
      <c r="CE208" s="177">
        <f t="shared" si="340"/>
        <v>0.8464502284557931</v>
      </c>
      <c r="CF208" s="5">
        <f t="shared" si="341"/>
        <v>84.645022845579305</v>
      </c>
      <c r="CG208">
        <f t="shared" si="342"/>
        <v>98</v>
      </c>
      <c r="CI208" s="571">
        <f t="shared" si="332"/>
        <v>-50</v>
      </c>
      <c r="CJ208">
        <f t="shared" si="333"/>
        <v>-50</v>
      </c>
    </row>
    <row r="209" spans="5:88" x14ac:dyDescent="0.2">
      <c r="E209" s="174">
        <v>99</v>
      </c>
      <c r="F209" s="221">
        <f t="shared" si="352"/>
        <v>0.99</v>
      </c>
      <c r="G209" s="221">
        <f t="shared" si="299"/>
        <v>0.19800000000000001</v>
      </c>
      <c r="H209" s="221">
        <f t="shared" si="300"/>
        <v>4.95</v>
      </c>
      <c r="I209" s="221">
        <f t="shared" si="301"/>
        <v>0.99</v>
      </c>
      <c r="J209" s="551">
        <f t="shared" si="302"/>
        <v>23</v>
      </c>
      <c r="K209" s="451">
        <f t="shared" si="303"/>
        <v>10.64</v>
      </c>
      <c r="L209" s="451">
        <f t="shared" si="304"/>
        <v>33.64</v>
      </c>
      <c r="M209" s="451"/>
      <c r="N209" s="221">
        <f t="shared" si="305"/>
        <v>0.31629013079667062</v>
      </c>
      <c r="O209" s="176">
        <f t="shared" si="346"/>
        <v>11.184809750297264</v>
      </c>
      <c r="P209" s="176">
        <f t="shared" si="307"/>
        <v>2.6843543400713439</v>
      </c>
      <c r="Q209" s="221">
        <f t="shared" si="308"/>
        <v>2.2369619500594529</v>
      </c>
      <c r="R209" s="221">
        <f t="shared" si="309"/>
        <v>2.2369619500594529</v>
      </c>
      <c r="S209" s="221">
        <f t="shared" si="310"/>
        <v>5</v>
      </c>
      <c r="T209" s="221">
        <f t="shared" si="311"/>
        <v>1.8145145472376596</v>
      </c>
      <c r="U209" s="221">
        <f t="shared" si="312"/>
        <v>0.55224355785493995</v>
      </c>
      <c r="V209" s="221">
        <f t="shared" si="313"/>
        <v>1.1937595705510917</v>
      </c>
      <c r="W209" s="201">
        <f t="shared" si="314"/>
        <v>350</v>
      </c>
      <c r="X209" s="451">
        <f t="shared" si="315"/>
        <v>350</v>
      </c>
      <c r="Z209" s="221">
        <f t="shared" si="316"/>
        <v>2.9692542891116021</v>
      </c>
      <c r="AA209" s="177">
        <f t="shared" si="317"/>
        <v>1.9534567691523697</v>
      </c>
      <c r="AB209" s="177">
        <f t="shared" si="347"/>
        <v>1.6917570513665985</v>
      </c>
      <c r="AC209" s="177"/>
      <c r="AD209" s="177">
        <f t="shared" si="319"/>
        <v>0.53947368421052622</v>
      </c>
      <c r="AE209" s="555">
        <f t="shared" si="348"/>
        <v>2237.9535990481859</v>
      </c>
      <c r="AF209" s="538">
        <f t="shared" si="321"/>
        <v>0.15482894736842101</v>
      </c>
      <c r="AH209" s="177">
        <f t="shared" si="322"/>
        <v>2.2020398706283077</v>
      </c>
      <c r="AI209" s="177">
        <f t="shared" si="349"/>
        <v>2.2020398706283077</v>
      </c>
      <c r="AJ209" s="177">
        <f t="shared" si="350"/>
        <v>2.2237332375024503</v>
      </c>
      <c r="AL209" s="555">
        <f t="shared" si="325"/>
        <v>990</v>
      </c>
      <c r="AM209" s="469">
        <f t="shared" si="326"/>
        <v>350</v>
      </c>
      <c r="AO209">
        <f t="shared" si="327"/>
        <v>990</v>
      </c>
      <c r="AP209">
        <f t="shared" si="328"/>
        <v>350</v>
      </c>
      <c r="AR209" s="5">
        <f t="shared" si="343"/>
        <v>2.8571428571428572</v>
      </c>
      <c r="AS209" s="5">
        <f t="shared" si="335"/>
        <v>0.67018604758252842</v>
      </c>
      <c r="AT209" s="5">
        <f t="shared" si="336"/>
        <v>2.1869568095603289</v>
      </c>
      <c r="AU209" s="177">
        <f t="shared" si="337"/>
        <v>0.23456511665388494</v>
      </c>
      <c r="AW209" s="5">
        <f t="shared" si="275"/>
        <v>13.269683742134061</v>
      </c>
      <c r="AX209" s="5"/>
      <c r="AY209" s="5">
        <f t="shared" si="276"/>
        <v>2.6539367484268128</v>
      </c>
      <c r="AZ209" s="5"/>
      <c r="BA209" s="5">
        <f t="shared" si="277"/>
        <v>0.43580661060079012</v>
      </c>
      <c r="BB209" s="5"/>
      <c r="BC209" s="5"/>
      <c r="BD209" s="177">
        <f t="shared" si="278"/>
        <v>0.61573843570450459</v>
      </c>
      <c r="BE209" s="177">
        <f t="shared" si="279"/>
        <v>2.2245832952788387</v>
      </c>
      <c r="BF209" s="177">
        <f t="shared" si="280"/>
        <v>0.44491665905576777</v>
      </c>
      <c r="BG209" s="177"/>
      <c r="BH209" s="538">
        <f t="shared" si="281"/>
        <v>4.1704720332421334E-2</v>
      </c>
      <c r="BI209" s="538">
        <f t="shared" si="282"/>
        <v>0.12963408718388847</v>
      </c>
      <c r="BJ209" s="538">
        <f t="shared" si="283"/>
        <v>1.7499999999999998E-2</v>
      </c>
      <c r="BK209" s="538">
        <f t="shared" si="284"/>
        <v>8.9117405999999996E-2</v>
      </c>
      <c r="BL209">
        <f t="shared" si="285"/>
        <v>6.6699999999999997E-3</v>
      </c>
      <c r="BM209">
        <f t="shared" si="329"/>
        <v>6.3E-5</v>
      </c>
      <c r="BN209">
        <f t="shared" si="351"/>
        <v>0.29257054090328088</v>
      </c>
      <c r="BO209" s="469">
        <f t="shared" si="286"/>
        <v>284.6262135163098</v>
      </c>
      <c r="BP209" s="177">
        <f t="shared" si="287"/>
        <v>0.39600000000000002</v>
      </c>
      <c r="BQ209" s="177">
        <f t="shared" si="288"/>
        <v>7.9200000000000007E-2</v>
      </c>
      <c r="BR209" s="538"/>
      <c r="BT209" s="469">
        <f t="shared" si="289"/>
        <v>475.2</v>
      </c>
      <c r="BU209" s="538">
        <f t="shared" si="290"/>
        <v>3.7913382120383032E-2</v>
      </c>
      <c r="BV209" s="538">
        <f t="shared" si="291"/>
        <v>0.14846312512900972</v>
      </c>
      <c r="BW209" s="538">
        <f t="shared" si="292"/>
        <v>9.897541675267317E-3</v>
      </c>
      <c r="BX209" s="538">
        <f t="shared" si="293"/>
        <v>0</v>
      </c>
      <c r="BY209" s="538">
        <f t="shared" si="274"/>
        <v>0.223333703617243</v>
      </c>
      <c r="BZ209" s="538">
        <f t="shared" si="344"/>
        <v>0.19627404892466008</v>
      </c>
      <c r="CA209" s="641">
        <f t="shared" si="331"/>
        <v>8.4857142857142867E-2</v>
      </c>
      <c r="CB209" s="469">
        <f t="shared" si="338"/>
        <v>700.73894432370594</v>
      </c>
      <c r="CC209" s="177">
        <f t="shared" si="345"/>
        <v>1.075961387377667</v>
      </c>
      <c r="CD209" s="5">
        <f t="shared" si="339"/>
        <v>5.94</v>
      </c>
      <c r="CE209" s="177">
        <f t="shared" si="340"/>
        <v>0.84664091947349984</v>
      </c>
      <c r="CF209" s="5">
        <f t="shared" si="341"/>
        <v>84.664091947349988</v>
      </c>
      <c r="CG209">
        <f t="shared" si="342"/>
        <v>99</v>
      </c>
      <c r="CI209" s="571">
        <f t="shared" si="332"/>
        <v>-50</v>
      </c>
      <c r="CJ209">
        <f t="shared" si="333"/>
        <v>-50</v>
      </c>
    </row>
    <row r="210" spans="5:88" x14ac:dyDescent="0.2">
      <c r="E210" s="174">
        <v>100</v>
      </c>
      <c r="F210" s="221">
        <f t="shared" si="352"/>
        <v>1</v>
      </c>
      <c r="G210" s="221">
        <f t="shared" si="299"/>
        <v>0.2</v>
      </c>
      <c r="H210" s="221">
        <f t="shared" si="300"/>
        <v>5</v>
      </c>
      <c r="I210" s="221">
        <f t="shared" si="301"/>
        <v>1</v>
      </c>
      <c r="J210" s="551">
        <f t="shared" si="302"/>
        <v>23</v>
      </c>
      <c r="K210" s="451">
        <f t="shared" si="303"/>
        <v>10.64</v>
      </c>
      <c r="L210" s="451">
        <f t="shared" si="304"/>
        <v>33.64</v>
      </c>
      <c r="M210" s="451"/>
      <c r="N210" s="221">
        <f t="shared" si="305"/>
        <v>0.31629013079667062</v>
      </c>
      <c r="O210" s="176">
        <f t="shared" si="346"/>
        <v>11.184809750297264</v>
      </c>
      <c r="P210" s="176">
        <f t="shared" si="307"/>
        <v>2.6843543400713439</v>
      </c>
      <c r="Q210" s="221">
        <f t="shared" si="308"/>
        <v>2.2369619500594529</v>
      </c>
      <c r="R210" s="221">
        <f t="shared" si="309"/>
        <v>2.2369619500594529</v>
      </c>
      <c r="S210" s="221">
        <f t="shared" si="310"/>
        <v>5</v>
      </c>
      <c r="T210" s="221">
        <f t="shared" si="311"/>
        <v>1.8328429770077368</v>
      </c>
      <c r="U210" s="221">
        <f t="shared" si="312"/>
        <v>0.55782177561105029</v>
      </c>
      <c r="V210" s="221">
        <f t="shared" si="313"/>
        <v>1.2058177480314056</v>
      </c>
      <c r="W210" s="201">
        <f t="shared" si="314"/>
        <v>350</v>
      </c>
      <c r="X210" s="451">
        <f t="shared" si="315"/>
        <v>350</v>
      </c>
      <c r="Z210" s="221">
        <f t="shared" si="316"/>
        <v>2.9692542891116021</v>
      </c>
      <c r="AA210" s="177">
        <f t="shared" si="317"/>
        <v>1.9534567691523697</v>
      </c>
      <c r="AB210" s="177">
        <f t="shared" si="347"/>
        <v>1.6917570513665985</v>
      </c>
      <c r="AC210" s="177"/>
      <c r="AD210" s="177">
        <f t="shared" si="319"/>
        <v>0.53947368421052622</v>
      </c>
      <c r="AE210" s="555">
        <f t="shared" si="348"/>
        <v>2260.5591909577638</v>
      </c>
      <c r="AF210" s="538">
        <f t="shared" si="321"/>
        <v>0.15482894736842101</v>
      </c>
      <c r="AH210" s="177">
        <f t="shared" si="322"/>
        <v>2.2131333406899523</v>
      </c>
      <c r="AI210" s="177">
        <f t="shared" si="349"/>
        <v>2.2131333406899523</v>
      </c>
      <c r="AJ210" s="177">
        <f t="shared" si="350"/>
        <v>2.2319506227332981</v>
      </c>
      <c r="AL210" s="555">
        <f t="shared" si="325"/>
        <v>1000</v>
      </c>
      <c r="AM210" s="469">
        <f t="shared" si="326"/>
        <v>350</v>
      </c>
      <c r="AO210">
        <f t="shared" si="327"/>
        <v>1000</v>
      </c>
      <c r="AP210">
        <f t="shared" si="328"/>
        <v>350</v>
      </c>
      <c r="AR210" s="5">
        <f t="shared" si="343"/>
        <v>2.8571428571428572</v>
      </c>
      <c r="AS210" s="5">
        <f t="shared" si="335"/>
        <v>0.67356232107955072</v>
      </c>
      <c r="AT210" s="5">
        <f t="shared" si="336"/>
        <v>2.1835805360633067</v>
      </c>
      <c r="AU210" s="177">
        <f t="shared" si="337"/>
        <v>0.23574681237784276</v>
      </c>
      <c r="AW210" s="5">
        <f t="shared" si="275"/>
        <v>13.471246421591015</v>
      </c>
      <c r="AX210" s="5"/>
      <c r="AY210" s="5">
        <f t="shared" si="276"/>
        <v>2.6942492843182033</v>
      </c>
      <c r="AZ210" s="5"/>
      <c r="BA210" s="5">
        <f t="shared" si="277"/>
        <v>0.4395290934104884</v>
      </c>
      <c r="BB210" s="5"/>
      <c r="BC210" s="5"/>
      <c r="BD210" s="177">
        <f t="shared" si="278"/>
        <v>0.62039725571814097</v>
      </c>
      <c r="BE210" s="177">
        <f t="shared" si="279"/>
        <v>2.2340638364396743</v>
      </c>
      <c r="BF210" s="177">
        <f t="shared" si="280"/>
        <v>0.4468127672879349</v>
      </c>
      <c r="BG210" s="177"/>
      <c r="BH210" s="538">
        <f t="shared" si="281"/>
        <v>4.2338203039286045E-2</v>
      </c>
      <c r="BI210" s="538">
        <f t="shared" si="282"/>
        <v>0.13028715976641747</v>
      </c>
      <c r="BJ210" s="538">
        <f t="shared" si="283"/>
        <v>1.7499999999999998E-2</v>
      </c>
      <c r="BK210" s="538">
        <f t="shared" si="284"/>
        <v>8.9117405999999996E-2</v>
      </c>
      <c r="BL210">
        <f t="shared" si="285"/>
        <v>6.6699999999999997E-3</v>
      </c>
      <c r="BM210">
        <f t="shared" si="329"/>
        <v>6.3E-5</v>
      </c>
      <c r="BN210">
        <f t="shared" si="351"/>
        <v>0.29398788271049053</v>
      </c>
      <c r="BO210" s="469">
        <f t="shared" si="286"/>
        <v>285.91276880570348</v>
      </c>
      <c r="BP210" s="177">
        <f t="shared" si="287"/>
        <v>0.4</v>
      </c>
      <c r="BQ210" s="177">
        <f t="shared" si="288"/>
        <v>8.0000000000000016E-2</v>
      </c>
      <c r="BR210" s="538"/>
      <c r="BT210" s="469">
        <f t="shared" si="289"/>
        <v>480.00000000000006</v>
      </c>
      <c r="BU210" s="538">
        <f t="shared" si="290"/>
        <v>3.8489275490260044E-2</v>
      </c>
      <c r="BV210" s="538">
        <f t="shared" si="291"/>
        <v>0.14973123675862668</v>
      </c>
      <c r="BW210" s="538">
        <f t="shared" si="292"/>
        <v>9.9820824505751152E-3</v>
      </c>
      <c r="BX210" s="538">
        <f t="shared" si="293"/>
        <v>0</v>
      </c>
      <c r="BY210" s="538">
        <f t="shared" si="274"/>
        <v>0.22556348754344288</v>
      </c>
      <c r="BZ210" s="538">
        <f t="shared" si="344"/>
        <v>0.19820259469946183</v>
      </c>
      <c r="CA210" s="641">
        <f t="shared" si="331"/>
        <v>8.5714285714285715E-2</v>
      </c>
      <c r="CB210" s="469">
        <f t="shared" si="338"/>
        <v>707.68296265665219</v>
      </c>
      <c r="CC210" s="177">
        <f t="shared" si="345"/>
        <v>1.0852656559682192</v>
      </c>
      <c r="CD210" s="5">
        <f t="shared" si="339"/>
        <v>6</v>
      </c>
      <c r="CE210" s="177">
        <f t="shared" si="340"/>
        <v>0.84682781018181674</v>
      </c>
      <c r="CF210" s="5">
        <f t="shared" si="341"/>
        <v>84.682781018181672</v>
      </c>
      <c r="CG210">
        <f t="shared" si="342"/>
        <v>100</v>
      </c>
      <c r="CI210" s="571">
        <f t="shared" si="332"/>
        <v>-50</v>
      </c>
      <c r="CJ210">
        <f t="shared" si="333"/>
        <v>-50</v>
      </c>
    </row>
    <row r="211" spans="5:88" x14ac:dyDescent="0.2">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x14ac:dyDescent="0.2">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25">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
      <c r="E216" s="174">
        <v>0.1</v>
      </c>
      <c r="F216" s="221">
        <v>1.0000000000000001E-9</v>
      </c>
      <c r="G216" s="221">
        <f t="shared" ref="G216:G247" si="353">IF(PLOT_TYPE=1, E216/100*Iout2, min_I*EXP(Q216*rr/100))</f>
        <v>2.0000000000000001E-4</v>
      </c>
      <c r="H216" s="221">
        <f t="shared" ref="H216:H247" si="354">F216*Vout</f>
        <v>5.0000000000000001E-9</v>
      </c>
      <c r="I216" s="221">
        <f t="shared" ref="I216:I247" si="355">Vout2*G216</f>
        <v>1E-3</v>
      </c>
      <c r="J216" s="551">
        <f t="shared" ref="J216:J279" si="356">VIN_max</f>
        <v>25</v>
      </c>
      <c r="K216" s="451">
        <f t="shared" ref="K216:K279" si="357">(S216+Vfwd1)*Nps</f>
        <v>10.64</v>
      </c>
      <c r="L216" s="451">
        <f t="shared" ref="L216:L279" si="358">(Vout+Vfwd1)*Nps+J216</f>
        <v>35.64</v>
      </c>
      <c r="M216" s="451"/>
      <c r="N216" s="221">
        <f t="shared" ref="N216:N279" si="359">(Vout+Vfwd1)*Nps/((Vout+Vfwd1)*Nps+J216)</f>
        <v>0.2985409652076319</v>
      </c>
      <c r="O216" s="176">
        <f t="shared" ref="O216:O247" si="360">N216*J216*Isw_max*0.5*Efficiency*Pout/(Pout+Pout2)</f>
        <v>11.475168350168351</v>
      </c>
      <c r="P216" s="176">
        <f t="shared" ref="P216:P247" si="361">N216*J216*Isw_max*0.5*Efficiency*(Pout2/Pout_total)</f>
        <v>2.7540404040404045</v>
      </c>
      <c r="Q216" s="221">
        <f t="shared" ref="Q216:Q279" si="362">O216/Vout</f>
        <v>2.2950336700336704</v>
      </c>
      <c r="R216" s="221">
        <f t="shared" ref="R216:R247" si="363">O216/Vout2</f>
        <v>2.2950336700336704</v>
      </c>
      <c r="S216" s="221">
        <f t="shared" ref="S216:S247" si="364">MIN(Vout,O216/F216)</f>
        <v>5</v>
      </c>
      <c r="T216" s="221">
        <f t="shared" ref="T216:T247" si="365">MIN(2*(Vout*F216+Vout2*G216)/(Efficiency*J216*N216), Isw_max)</f>
        <v>2.977458496240601E-4</v>
      </c>
      <c r="U216" s="221">
        <f t="shared" ref="U216:U279" si="366">L*T216/J216*1000000</f>
        <v>8.3368837894736821E-5</v>
      </c>
      <c r="V216" s="221">
        <f t="shared" ref="V216:V279" si="367">L*T216/K216*1000000</f>
        <v>1.9588542738425006E-4</v>
      </c>
      <c r="W216" s="201">
        <f t="shared" ref="W216:W279" si="368">IF(1/((350000*L)*(1/J216+1/K216))&gt;Isw_min, 350, 0.001/((Isw_min*L)*(1/J216+1/K216)))</f>
        <v>350</v>
      </c>
      <c r="X216" s="451">
        <f t="shared" ref="X216:X279" si="369">MIN(1/(U216+V216)*1000, 350)</f>
        <v>350</v>
      </c>
      <c r="Z216" s="221">
        <f t="shared" ref="Z216:Z279" si="370">1/((W216*1000*L)*(1/J216+1/K216))</f>
        <v>3.0463363796697127</v>
      </c>
      <c r="AA216" s="177">
        <f t="shared" ref="AA216:AA279" si="371">L*Z216/K216*1000000</f>
        <v>2.004168670835337</v>
      </c>
      <c r="AB216" s="177">
        <f t="shared" ref="AB216:AB247" si="372">0.5*AA216*Z216*Nps*W216/1000*(Pout/(Pout+Pout2))</f>
        <v>1.780733480446661</v>
      </c>
      <c r="AC216" s="177"/>
      <c r="AD216" s="177">
        <f t="shared" ref="AD216:AD279" si="373">L*Isw_min/K216*1000000</f>
        <v>0.53947368421052622</v>
      </c>
      <c r="AE216" s="555">
        <f t="shared" ref="AE216:AE247" si="374">MAX(10, F216/(0.5*AD216/1000000*Isw_min*Nps)/1000*Pout_total/Pout)</f>
        <v>10</v>
      </c>
      <c r="AF216" s="538">
        <f t="shared" ref="AF216:AF247" si="375">0.5*AD216/1000000*Isw_min*Nps*W216*1000*(Pout/Pout_total)</f>
        <v>0.15482894736842101</v>
      </c>
      <c r="AH216" s="177">
        <f t="shared" ref="AH216:AH247" si="376">SQRT((H216+I216)/(0.5*L*Fsw_DCM))</f>
        <v>2.8571499999910713E-2</v>
      </c>
      <c r="AI216" s="177">
        <f t="shared" ref="AI216:AI247" si="377">MAX(IF(F216&gt;AB216,T216,AH216),Isw_min)</f>
        <v>0.82</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0.22959999999999997</v>
      </c>
      <c r="AT216" s="5">
        <f t="shared" si="336"/>
        <v>99.770399999999995</v>
      </c>
      <c r="AU216" s="177">
        <f t="shared" si="337"/>
        <v>2.2959999999999999E-3</v>
      </c>
      <c r="CI216" s="571">
        <f t="shared" ref="CI216:CI247" si="383">IF(ABS(F216-Ioutmax_Vinmax)&lt;Iout/200, AM216, -50)</f>
        <v>-50</v>
      </c>
    </row>
    <row r="217" spans="5:88" x14ac:dyDescent="0.2">
      <c r="E217" s="174">
        <v>1</v>
      </c>
      <c r="F217" s="221">
        <f t="shared" ref="F217:F248" si="384">IF(PLOT_TYPE=1, E217/100*Iout_max, min_I*EXP(O217*rr/100))</f>
        <v>0.01</v>
      </c>
      <c r="G217" s="221">
        <f t="shared" si="353"/>
        <v>2E-3</v>
      </c>
      <c r="H217" s="221">
        <f t="shared" si="354"/>
        <v>0.05</v>
      </c>
      <c r="I217" s="221">
        <f t="shared" si="355"/>
        <v>0.01</v>
      </c>
      <c r="J217" s="551">
        <f t="shared" si="356"/>
        <v>25</v>
      </c>
      <c r="K217" s="451">
        <f t="shared" si="357"/>
        <v>10.64</v>
      </c>
      <c r="L217" s="451">
        <f t="shared" si="358"/>
        <v>35.64</v>
      </c>
      <c r="M217" s="451"/>
      <c r="N217" s="221">
        <f t="shared" si="359"/>
        <v>0.2985409652076319</v>
      </c>
      <c r="O217" s="176">
        <f t="shared" si="360"/>
        <v>11.475168350168351</v>
      </c>
      <c r="P217" s="176">
        <f t="shared" si="361"/>
        <v>2.7540404040404045</v>
      </c>
      <c r="Q217" s="221">
        <f t="shared" si="362"/>
        <v>2.2950336700336704</v>
      </c>
      <c r="R217" s="221">
        <f t="shared" si="363"/>
        <v>2.2950336700336704</v>
      </c>
      <c r="S217" s="221">
        <f t="shared" si="364"/>
        <v>5</v>
      </c>
      <c r="T217" s="221">
        <f t="shared" si="365"/>
        <v>1.7864661654135337E-2</v>
      </c>
      <c r="U217" s="221">
        <f t="shared" si="366"/>
        <v>5.0021052631578937E-3</v>
      </c>
      <c r="V217" s="221">
        <f t="shared" si="367"/>
        <v>1.1753066877720616E-2</v>
      </c>
      <c r="W217" s="201">
        <f t="shared" si="368"/>
        <v>350</v>
      </c>
      <c r="X217" s="451">
        <f t="shared" si="369"/>
        <v>350</v>
      </c>
      <c r="Z217" s="221">
        <f t="shared" si="370"/>
        <v>3.0463363796697127</v>
      </c>
      <c r="AA217" s="177">
        <f t="shared" si="371"/>
        <v>2.004168670835337</v>
      </c>
      <c r="AB217" s="177">
        <f t="shared" si="372"/>
        <v>1.780733480446661</v>
      </c>
      <c r="AC217" s="177"/>
      <c r="AD217" s="177">
        <f t="shared" si="373"/>
        <v>0.53947368421052622</v>
      </c>
      <c r="AE217" s="555">
        <f t="shared" si="374"/>
        <v>22.605591909577637</v>
      </c>
      <c r="AF217" s="538">
        <f t="shared" si="375"/>
        <v>0.15482894736842101</v>
      </c>
      <c r="AH217" s="177">
        <f t="shared" si="376"/>
        <v>0.22131333406899525</v>
      </c>
      <c r="AI217" s="177">
        <f t="shared" si="377"/>
        <v>0.82</v>
      </c>
      <c r="AJ217" s="177">
        <f t="shared" si="378"/>
        <v>1.0129174810911872</v>
      </c>
      <c r="AL217" s="555">
        <f t="shared" si="379"/>
        <v>10</v>
      </c>
      <c r="AM217" s="469">
        <f t="shared" si="380"/>
        <v>22.605591909577637</v>
      </c>
      <c r="AO217">
        <f t="shared" si="381"/>
        <v>10</v>
      </c>
      <c r="AP217">
        <f t="shared" si="382"/>
        <v>22.605591909577637</v>
      </c>
      <c r="AR217" s="5">
        <f t="shared" si="343"/>
        <v>44.23684210526315</v>
      </c>
      <c r="AS217" s="5">
        <f t="shared" si="335"/>
        <v>0.22959999999999997</v>
      </c>
      <c r="AT217" s="5">
        <f t="shared" si="336"/>
        <v>44.007242105263153</v>
      </c>
      <c r="AU217" s="177">
        <f t="shared" si="337"/>
        <v>5.1902439024390243E-3</v>
      </c>
      <c r="CI217" s="571">
        <f t="shared" si="383"/>
        <v>-50</v>
      </c>
    </row>
    <row r="218" spans="5:88" x14ac:dyDescent="0.2">
      <c r="E218" s="174">
        <v>2</v>
      </c>
      <c r="F218" s="221">
        <f t="shared" si="384"/>
        <v>0.02</v>
      </c>
      <c r="G218" s="221">
        <f t="shared" si="353"/>
        <v>4.0000000000000001E-3</v>
      </c>
      <c r="H218" s="221">
        <f t="shared" si="354"/>
        <v>0.1</v>
      </c>
      <c r="I218" s="221">
        <f t="shared" si="355"/>
        <v>0.02</v>
      </c>
      <c r="J218" s="551">
        <f t="shared" si="356"/>
        <v>25</v>
      </c>
      <c r="K218" s="451">
        <f t="shared" si="357"/>
        <v>10.64</v>
      </c>
      <c r="L218" s="451">
        <f t="shared" si="358"/>
        <v>35.64</v>
      </c>
      <c r="M218" s="451"/>
      <c r="N218" s="221">
        <f t="shared" si="359"/>
        <v>0.2985409652076319</v>
      </c>
      <c r="O218" s="176">
        <f t="shared" si="360"/>
        <v>11.475168350168351</v>
      </c>
      <c r="P218" s="176">
        <f t="shared" si="361"/>
        <v>2.7540404040404045</v>
      </c>
      <c r="Q218" s="221">
        <f t="shared" si="362"/>
        <v>2.2950336700336704</v>
      </c>
      <c r="R218" s="221">
        <f t="shared" si="363"/>
        <v>2.2950336700336704</v>
      </c>
      <c r="S218" s="221">
        <f t="shared" si="364"/>
        <v>5</v>
      </c>
      <c r="T218" s="221">
        <f t="shared" si="365"/>
        <v>3.5729323308270673E-2</v>
      </c>
      <c r="U218" s="221">
        <f t="shared" si="366"/>
        <v>1.0004210526315787E-2</v>
      </c>
      <c r="V218" s="221">
        <f t="shared" si="367"/>
        <v>2.3506133755441232E-2</v>
      </c>
      <c r="W218" s="201">
        <f t="shared" si="368"/>
        <v>350</v>
      </c>
      <c r="X218" s="451">
        <f t="shared" si="369"/>
        <v>350</v>
      </c>
      <c r="Z218" s="221">
        <f t="shared" si="370"/>
        <v>3.0463363796697127</v>
      </c>
      <c r="AA218" s="177">
        <f t="shared" si="371"/>
        <v>2.004168670835337</v>
      </c>
      <c r="AB218" s="177">
        <f t="shared" si="372"/>
        <v>1.780733480446661</v>
      </c>
      <c r="AC218" s="177"/>
      <c r="AD218" s="177">
        <f t="shared" si="373"/>
        <v>0.53947368421052622</v>
      </c>
      <c r="AE218" s="555">
        <f t="shared" si="374"/>
        <v>45.211183819155274</v>
      </c>
      <c r="AF218" s="538">
        <f t="shared" si="375"/>
        <v>0.15482894736842101</v>
      </c>
      <c r="AH218" s="177">
        <f t="shared" si="376"/>
        <v>0.31298431857438064</v>
      </c>
      <c r="AI218" s="177">
        <f t="shared" si="377"/>
        <v>0.82</v>
      </c>
      <c r="AJ218" s="177">
        <f t="shared" si="378"/>
        <v>1.0258349621823744</v>
      </c>
      <c r="AL218" s="555">
        <f t="shared" si="379"/>
        <v>20</v>
      </c>
      <c r="AM218" s="469">
        <f t="shared" si="380"/>
        <v>45.211183819155274</v>
      </c>
      <c r="AO218">
        <f t="shared" si="381"/>
        <v>20</v>
      </c>
      <c r="AP218">
        <f t="shared" si="382"/>
        <v>45.211183819155274</v>
      </c>
      <c r="AR218" s="5">
        <f t="shared" si="343"/>
        <v>22.118421052631575</v>
      </c>
      <c r="AS218" s="5">
        <f t="shared" si="335"/>
        <v>0.22959999999999997</v>
      </c>
      <c r="AT218" s="5">
        <f t="shared" si="336"/>
        <v>21.888821052631574</v>
      </c>
      <c r="AU218" s="177">
        <f t="shared" si="337"/>
        <v>1.0380487804878049E-2</v>
      </c>
      <c r="CI218" s="571">
        <f t="shared" si="383"/>
        <v>-50</v>
      </c>
    </row>
    <row r="219" spans="5:88" x14ac:dyDescent="0.2">
      <c r="E219" s="174">
        <v>3</v>
      </c>
      <c r="F219" s="221">
        <f t="shared" si="384"/>
        <v>0.03</v>
      </c>
      <c r="G219" s="221">
        <f t="shared" si="353"/>
        <v>6.0000000000000001E-3</v>
      </c>
      <c r="H219" s="221">
        <f t="shared" si="354"/>
        <v>0.15</v>
      </c>
      <c r="I219" s="221">
        <f t="shared" si="355"/>
        <v>0.03</v>
      </c>
      <c r="J219" s="551">
        <f t="shared" si="356"/>
        <v>25</v>
      </c>
      <c r="K219" s="451">
        <f t="shared" si="357"/>
        <v>10.64</v>
      </c>
      <c r="L219" s="451">
        <f t="shared" si="358"/>
        <v>35.64</v>
      </c>
      <c r="M219" s="451"/>
      <c r="N219" s="221">
        <f t="shared" si="359"/>
        <v>0.2985409652076319</v>
      </c>
      <c r="O219" s="176">
        <f t="shared" si="360"/>
        <v>11.475168350168351</v>
      </c>
      <c r="P219" s="176">
        <f t="shared" si="361"/>
        <v>2.7540404040404045</v>
      </c>
      <c r="Q219" s="221">
        <f t="shared" si="362"/>
        <v>2.2950336700336704</v>
      </c>
      <c r="R219" s="221">
        <f t="shared" si="363"/>
        <v>2.2950336700336704</v>
      </c>
      <c r="S219" s="221">
        <f t="shared" si="364"/>
        <v>5</v>
      </c>
      <c r="T219" s="221">
        <f t="shared" si="365"/>
        <v>5.3593984962406006E-2</v>
      </c>
      <c r="U219" s="221">
        <f t="shared" si="366"/>
        <v>1.500631578947368E-2</v>
      </c>
      <c r="V219" s="221">
        <f t="shared" si="367"/>
        <v>3.525920063316184E-2</v>
      </c>
      <c r="W219" s="201">
        <f t="shared" si="368"/>
        <v>350</v>
      </c>
      <c r="X219" s="451">
        <f t="shared" si="369"/>
        <v>350</v>
      </c>
      <c r="Z219" s="221">
        <f t="shared" si="370"/>
        <v>3.0463363796697127</v>
      </c>
      <c r="AA219" s="177">
        <f t="shared" si="371"/>
        <v>2.004168670835337</v>
      </c>
      <c r="AB219" s="177">
        <f t="shared" si="372"/>
        <v>1.780733480446661</v>
      </c>
      <c r="AC219" s="177"/>
      <c r="AD219" s="177">
        <f t="shared" si="373"/>
        <v>0.53947368421052622</v>
      </c>
      <c r="AE219" s="555">
        <f t="shared" si="374"/>
        <v>67.816775728732907</v>
      </c>
      <c r="AF219" s="538">
        <f t="shared" si="375"/>
        <v>0.15482894736842101</v>
      </c>
      <c r="AH219" s="177">
        <f t="shared" si="376"/>
        <v>0.38332593899996392</v>
      </c>
      <c r="AI219" s="177">
        <f t="shared" si="377"/>
        <v>0.82</v>
      </c>
      <c r="AJ219" s="177">
        <f t="shared" si="378"/>
        <v>1.0387524432735618</v>
      </c>
      <c r="AL219" s="555">
        <f t="shared" si="379"/>
        <v>30</v>
      </c>
      <c r="AM219" s="469">
        <f t="shared" si="380"/>
        <v>67.816775728732907</v>
      </c>
      <c r="AO219">
        <f t="shared" si="381"/>
        <v>30</v>
      </c>
      <c r="AP219">
        <f t="shared" si="382"/>
        <v>67.816775728732907</v>
      </c>
      <c r="AR219" s="5">
        <f t="shared" si="343"/>
        <v>14.745614035087716</v>
      </c>
      <c r="AS219" s="5">
        <f t="shared" si="335"/>
        <v>0.22959999999999997</v>
      </c>
      <c r="AT219" s="5">
        <f t="shared" si="336"/>
        <v>14.516014035087716</v>
      </c>
      <c r="AU219" s="177">
        <f t="shared" si="337"/>
        <v>1.5570731707317076E-2</v>
      </c>
      <c r="CI219" s="571">
        <f t="shared" si="383"/>
        <v>-50</v>
      </c>
    </row>
    <row r="220" spans="5:88" x14ac:dyDescent="0.2">
      <c r="E220" s="174">
        <v>4</v>
      </c>
      <c r="F220" s="221">
        <f t="shared" si="384"/>
        <v>0.04</v>
      </c>
      <c r="G220" s="221">
        <f t="shared" si="353"/>
        <v>8.0000000000000002E-3</v>
      </c>
      <c r="H220" s="221">
        <f t="shared" si="354"/>
        <v>0.2</v>
      </c>
      <c r="I220" s="221">
        <f t="shared" si="355"/>
        <v>0.04</v>
      </c>
      <c r="J220" s="551">
        <f t="shared" si="356"/>
        <v>25</v>
      </c>
      <c r="K220" s="451">
        <f t="shared" si="357"/>
        <v>10.64</v>
      </c>
      <c r="L220" s="451">
        <f t="shared" si="358"/>
        <v>35.64</v>
      </c>
      <c r="M220" s="451"/>
      <c r="N220" s="221">
        <f t="shared" si="359"/>
        <v>0.2985409652076319</v>
      </c>
      <c r="O220" s="176">
        <f t="shared" si="360"/>
        <v>11.475168350168351</v>
      </c>
      <c r="P220" s="176">
        <f t="shared" si="361"/>
        <v>2.7540404040404045</v>
      </c>
      <c r="Q220" s="221">
        <f t="shared" si="362"/>
        <v>2.2950336700336704</v>
      </c>
      <c r="R220" s="221">
        <f t="shared" si="363"/>
        <v>2.2950336700336704</v>
      </c>
      <c r="S220" s="221">
        <f t="shared" si="364"/>
        <v>5</v>
      </c>
      <c r="T220" s="221">
        <f t="shared" si="365"/>
        <v>7.1458646616541346E-2</v>
      </c>
      <c r="U220" s="221">
        <f t="shared" si="366"/>
        <v>2.0008421052631575E-2</v>
      </c>
      <c r="V220" s="221">
        <f t="shared" si="367"/>
        <v>4.7012267510882465E-2</v>
      </c>
      <c r="W220" s="201">
        <f t="shared" si="368"/>
        <v>350</v>
      </c>
      <c r="X220" s="451">
        <f t="shared" si="369"/>
        <v>350</v>
      </c>
      <c r="Z220" s="221">
        <f t="shared" si="370"/>
        <v>3.0463363796697127</v>
      </c>
      <c r="AA220" s="177">
        <f t="shared" si="371"/>
        <v>2.004168670835337</v>
      </c>
      <c r="AB220" s="177">
        <f t="shared" si="372"/>
        <v>1.780733480446661</v>
      </c>
      <c r="AC220" s="177"/>
      <c r="AD220" s="177">
        <f t="shared" si="373"/>
        <v>0.53947368421052622</v>
      </c>
      <c r="AE220" s="555">
        <f t="shared" si="374"/>
        <v>90.422367638310547</v>
      </c>
      <c r="AF220" s="538">
        <f t="shared" si="375"/>
        <v>0.15482894736842101</v>
      </c>
      <c r="AH220" s="177">
        <f t="shared" si="376"/>
        <v>0.44262666813799051</v>
      </c>
      <c r="AI220" s="177">
        <f t="shared" si="377"/>
        <v>0.82</v>
      </c>
      <c r="AJ220" s="177">
        <f t="shared" si="378"/>
        <v>1.0516699243647489</v>
      </c>
      <c r="AL220" s="555">
        <f t="shared" si="379"/>
        <v>40</v>
      </c>
      <c r="AM220" s="469">
        <f t="shared" si="380"/>
        <v>90.422367638310547</v>
      </c>
      <c r="AO220">
        <f t="shared" si="381"/>
        <v>40</v>
      </c>
      <c r="AP220">
        <f t="shared" si="382"/>
        <v>90.422367638310547</v>
      </c>
      <c r="AR220" s="5">
        <f t="shared" si="343"/>
        <v>11.059210526315788</v>
      </c>
      <c r="AS220" s="5">
        <f t="shared" si="335"/>
        <v>0.22959999999999997</v>
      </c>
      <c r="AT220" s="5">
        <f t="shared" si="336"/>
        <v>10.829610526315788</v>
      </c>
      <c r="AU220" s="177">
        <f t="shared" si="337"/>
        <v>2.0760975609756097E-2</v>
      </c>
      <c r="CI220" s="571">
        <f t="shared" si="383"/>
        <v>-50</v>
      </c>
    </row>
    <row r="221" spans="5:88" x14ac:dyDescent="0.2">
      <c r="E221" s="174">
        <v>5</v>
      </c>
      <c r="F221" s="221">
        <f t="shared" si="384"/>
        <v>0.05</v>
      </c>
      <c r="G221" s="221">
        <f t="shared" si="353"/>
        <v>1.0000000000000002E-2</v>
      </c>
      <c r="H221" s="221">
        <f t="shared" si="354"/>
        <v>0.25</v>
      </c>
      <c r="I221" s="221">
        <f t="shared" si="355"/>
        <v>5.000000000000001E-2</v>
      </c>
      <c r="J221" s="551">
        <f t="shared" si="356"/>
        <v>25</v>
      </c>
      <c r="K221" s="451">
        <f t="shared" si="357"/>
        <v>10.64</v>
      </c>
      <c r="L221" s="451">
        <f t="shared" si="358"/>
        <v>35.64</v>
      </c>
      <c r="M221" s="451"/>
      <c r="N221" s="221">
        <f t="shared" si="359"/>
        <v>0.2985409652076319</v>
      </c>
      <c r="O221" s="176">
        <f t="shared" si="360"/>
        <v>11.475168350168351</v>
      </c>
      <c r="P221" s="176">
        <f t="shared" si="361"/>
        <v>2.7540404040404045</v>
      </c>
      <c r="Q221" s="221">
        <f t="shared" si="362"/>
        <v>2.2950336700336704</v>
      </c>
      <c r="R221" s="221">
        <f t="shared" si="363"/>
        <v>2.2950336700336704</v>
      </c>
      <c r="S221" s="221">
        <f t="shared" si="364"/>
        <v>5</v>
      </c>
      <c r="T221" s="221">
        <f t="shared" si="365"/>
        <v>8.932330827067668E-2</v>
      </c>
      <c r="U221" s="221">
        <f t="shared" si="366"/>
        <v>2.5010526315789469E-2</v>
      </c>
      <c r="V221" s="221">
        <f t="shared" si="367"/>
        <v>5.8765334388603069E-2</v>
      </c>
      <c r="W221" s="201">
        <f t="shared" si="368"/>
        <v>350</v>
      </c>
      <c r="X221" s="451">
        <f t="shared" si="369"/>
        <v>350</v>
      </c>
      <c r="Z221" s="221">
        <f t="shared" si="370"/>
        <v>3.0463363796697127</v>
      </c>
      <c r="AA221" s="177">
        <f t="shared" si="371"/>
        <v>2.004168670835337</v>
      </c>
      <c r="AB221" s="177">
        <f t="shared" si="372"/>
        <v>1.780733480446661</v>
      </c>
      <c r="AC221" s="177"/>
      <c r="AD221" s="177">
        <f t="shared" si="373"/>
        <v>0.53947368421052622</v>
      </c>
      <c r="AE221" s="555">
        <f t="shared" si="374"/>
        <v>113.02795954788819</v>
      </c>
      <c r="AF221" s="538">
        <f t="shared" si="375"/>
        <v>0.15482894736842101</v>
      </c>
      <c r="AH221" s="177">
        <f t="shared" si="376"/>
        <v>0.49487165930539345</v>
      </c>
      <c r="AI221" s="177">
        <f t="shared" si="377"/>
        <v>0.82</v>
      </c>
      <c r="AJ221" s="177">
        <f t="shared" si="378"/>
        <v>1.0645874054559361</v>
      </c>
      <c r="AL221" s="555">
        <f t="shared" si="379"/>
        <v>50</v>
      </c>
      <c r="AM221" s="469">
        <f t="shared" si="380"/>
        <v>113.02795954788819</v>
      </c>
      <c r="AO221">
        <f t="shared" si="381"/>
        <v>50</v>
      </c>
      <c r="AP221">
        <f t="shared" si="382"/>
        <v>113.02795954788819</v>
      </c>
      <c r="AR221" s="5">
        <f t="shared" si="343"/>
        <v>8.8473684210526304</v>
      </c>
      <c r="AS221" s="5">
        <f t="shared" si="335"/>
        <v>0.22959999999999997</v>
      </c>
      <c r="AT221" s="5">
        <f t="shared" si="336"/>
        <v>8.6177684210526309</v>
      </c>
      <c r="AU221" s="177">
        <f t="shared" si="337"/>
        <v>2.5951219512195121E-2</v>
      </c>
      <c r="CI221" s="571">
        <f t="shared" si="383"/>
        <v>-50</v>
      </c>
    </row>
    <row r="222" spans="5:88" x14ac:dyDescent="0.2">
      <c r="E222" s="174">
        <v>6</v>
      </c>
      <c r="F222" s="221">
        <f t="shared" si="384"/>
        <v>0.06</v>
      </c>
      <c r="G222" s="221">
        <f t="shared" si="353"/>
        <v>1.2E-2</v>
      </c>
      <c r="H222" s="221">
        <f t="shared" si="354"/>
        <v>0.3</v>
      </c>
      <c r="I222" s="221">
        <f t="shared" si="355"/>
        <v>0.06</v>
      </c>
      <c r="J222" s="551">
        <f t="shared" si="356"/>
        <v>25</v>
      </c>
      <c r="K222" s="451">
        <f t="shared" si="357"/>
        <v>10.64</v>
      </c>
      <c r="L222" s="451">
        <f t="shared" si="358"/>
        <v>35.64</v>
      </c>
      <c r="M222" s="451"/>
      <c r="N222" s="221">
        <f t="shared" si="359"/>
        <v>0.2985409652076319</v>
      </c>
      <c r="O222" s="176">
        <f t="shared" si="360"/>
        <v>11.475168350168351</v>
      </c>
      <c r="P222" s="176">
        <f t="shared" si="361"/>
        <v>2.7540404040404045</v>
      </c>
      <c r="Q222" s="221">
        <f t="shared" si="362"/>
        <v>2.2950336700336704</v>
      </c>
      <c r="R222" s="221">
        <f t="shared" si="363"/>
        <v>2.2950336700336704</v>
      </c>
      <c r="S222" s="221">
        <f t="shared" si="364"/>
        <v>5</v>
      </c>
      <c r="T222" s="221">
        <f t="shared" si="365"/>
        <v>0.10718796992481201</v>
      </c>
      <c r="U222" s="221">
        <f t="shared" si="366"/>
        <v>3.001263157894736E-2</v>
      </c>
      <c r="V222" s="221">
        <f t="shared" si="367"/>
        <v>7.051840126632368E-2</v>
      </c>
      <c r="W222" s="201">
        <f t="shared" si="368"/>
        <v>350</v>
      </c>
      <c r="X222" s="451">
        <f t="shared" si="369"/>
        <v>350</v>
      </c>
      <c r="Z222" s="221">
        <f t="shared" si="370"/>
        <v>3.0463363796697127</v>
      </c>
      <c r="AA222" s="177">
        <f t="shared" si="371"/>
        <v>2.004168670835337</v>
      </c>
      <c r="AB222" s="177">
        <f t="shared" si="372"/>
        <v>1.780733480446661</v>
      </c>
      <c r="AC222" s="177"/>
      <c r="AD222" s="177">
        <f t="shared" si="373"/>
        <v>0.53947368421052622</v>
      </c>
      <c r="AE222" s="555">
        <f t="shared" si="374"/>
        <v>135.63355145746581</v>
      </c>
      <c r="AF222" s="538">
        <f t="shared" si="375"/>
        <v>0.15482894736842101</v>
      </c>
      <c r="AH222" s="177">
        <f t="shared" si="376"/>
        <v>0.54210474174315071</v>
      </c>
      <c r="AI222" s="177">
        <f t="shared" si="377"/>
        <v>0.82</v>
      </c>
      <c r="AJ222" s="177">
        <f t="shared" si="378"/>
        <v>1.0775048865471233</v>
      </c>
      <c r="AL222" s="555">
        <f t="shared" si="379"/>
        <v>60</v>
      </c>
      <c r="AM222" s="469">
        <f t="shared" si="380"/>
        <v>135.63355145746581</v>
      </c>
      <c r="AO222">
        <f t="shared" si="381"/>
        <v>60</v>
      </c>
      <c r="AP222">
        <f t="shared" si="382"/>
        <v>135.63355145746581</v>
      </c>
      <c r="AR222" s="5">
        <f t="shared" si="343"/>
        <v>7.3728070175438578</v>
      </c>
      <c r="AS222" s="5">
        <f t="shared" si="335"/>
        <v>0.22959999999999997</v>
      </c>
      <c r="AT222" s="5">
        <f t="shared" si="336"/>
        <v>7.1432070175438582</v>
      </c>
      <c r="AU222" s="177">
        <f t="shared" si="337"/>
        <v>3.1141463414634151E-2</v>
      </c>
      <c r="CI222" s="571">
        <f t="shared" si="383"/>
        <v>-50</v>
      </c>
    </row>
    <row r="223" spans="5:88" x14ac:dyDescent="0.2">
      <c r="E223" s="174">
        <v>7</v>
      </c>
      <c r="F223" s="221">
        <f t="shared" si="384"/>
        <v>7.0000000000000007E-2</v>
      </c>
      <c r="G223" s="221">
        <f t="shared" si="353"/>
        <v>1.4000000000000002E-2</v>
      </c>
      <c r="H223" s="221">
        <f t="shared" si="354"/>
        <v>0.35000000000000003</v>
      </c>
      <c r="I223" s="221">
        <f t="shared" si="355"/>
        <v>7.0000000000000007E-2</v>
      </c>
      <c r="J223" s="551">
        <f t="shared" si="356"/>
        <v>25</v>
      </c>
      <c r="K223" s="451">
        <f t="shared" si="357"/>
        <v>10.64</v>
      </c>
      <c r="L223" s="451">
        <f t="shared" si="358"/>
        <v>35.64</v>
      </c>
      <c r="M223" s="451"/>
      <c r="N223" s="221">
        <f t="shared" si="359"/>
        <v>0.2985409652076319</v>
      </c>
      <c r="O223" s="176">
        <f t="shared" si="360"/>
        <v>11.475168350168351</v>
      </c>
      <c r="P223" s="176">
        <f t="shared" si="361"/>
        <v>2.7540404040404045</v>
      </c>
      <c r="Q223" s="221">
        <f t="shared" si="362"/>
        <v>2.2950336700336704</v>
      </c>
      <c r="R223" s="221">
        <f t="shared" si="363"/>
        <v>2.2950336700336704</v>
      </c>
      <c r="S223" s="221">
        <f t="shared" si="364"/>
        <v>5</v>
      </c>
      <c r="T223" s="221">
        <f t="shared" si="365"/>
        <v>0.12505263157894736</v>
      </c>
      <c r="U223" s="221">
        <f t="shared" si="366"/>
        <v>3.5014736842105265E-2</v>
      </c>
      <c r="V223" s="221">
        <f t="shared" si="367"/>
        <v>8.2271468144044305E-2</v>
      </c>
      <c r="W223" s="201">
        <f t="shared" si="368"/>
        <v>350</v>
      </c>
      <c r="X223" s="451">
        <f t="shared" si="369"/>
        <v>350</v>
      </c>
      <c r="Z223" s="221">
        <f t="shared" si="370"/>
        <v>3.0463363796697127</v>
      </c>
      <c r="AA223" s="177">
        <f t="shared" si="371"/>
        <v>2.004168670835337</v>
      </c>
      <c r="AB223" s="177">
        <f t="shared" si="372"/>
        <v>1.780733480446661</v>
      </c>
      <c r="AC223" s="177"/>
      <c r="AD223" s="177">
        <f t="shared" si="373"/>
        <v>0.53947368421052622</v>
      </c>
      <c r="AE223" s="555">
        <f t="shared" si="374"/>
        <v>158.23914336704345</v>
      </c>
      <c r="AF223" s="538">
        <f t="shared" si="375"/>
        <v>0.15482894736842101</v>
      </c>
      <c r="AH223" s="177">
        <f t="shared" si="376"/>
        <v>0.58554004376911994</v>
      </c>
      <c r="AI223" s="177">
        <f t="shared" si="377"/>
        <v>0.82</v>
      </c>
      <c r="AJ223" s="177">
        <f t="shared" si="378"/>
        <v>1.0904223676383105</v>
      </c>
      <c r="AL223" s="555">
        <f t="shared" si="379"/>
        <v>70</v>
      </c>
      <c r="AM223" s="469">
        <f t="shared" si="380"/>
        <v>158.23914336704345</v>
      </c>
      <c r="AO223">
        <f t="shared" si="381"/>
        <v>70</v>
      </c>
      <c r="AP223">
        <f t="shared" si="382"/>
        <v>158.23914336704345</v>
      </c>
      <c r="AR223" s="5">
        <f t="shared" si="343"/>
        <v>6.3195488721804498</v>
      </c>
      <c r="AS223" s="5">
        <f t="shared" si="335"/>
        <v>0.22959999999999997</v>
      </c>
      <c r="AT223" s="5">
        <f t="shared" si="336"/>
        <v>6.0899488721804502</v>
      </c>
      <c r="AU223" s="177">
        <f t="shared" si="337"/>
        <v>3.6331707317073171E-2</v>
      </c>
      <c r="CI223" s="571">
        <f t="shared" si="383"/>
        <v>-50</v>
      </c>
    </row>
    <row r="224" spans="5:88" x14ac:dyDescent="0.2">
      <c r="E224" s="174">
        <v>8</v>
      </c>
      <c r="F224" s="221">
        <f t="shared" si="384"/>
        <v>0.08</v>
      </c>
      <c r="G224" s="221">
        <f t="shared" si="353"/>
        <v>1.6E-2</v>
      </c>
      <c r="H224" s="221">
        <f t="shared" si="354"/>
        <v>0.4</v>
      </c>
      <c r="I224" s="221">
        <f t="shared" si="355"/>
        <v>0.08</v>
      </c>
      <c r="J224" s="551">
        <f t="shared" si="356"/>
        <v>25</v>
      </c>
      <c r="K224" s="451">
        <f t="shared" si="357"/>
        <v>10.64</v>
      </c>
      <c r="L224" s="451">
        <f t="shared" si="358"/>
        <v>35.64</v>
      </c>
      <c r="M224" s="451"/>
      <c r="N224" s="221">
        <f t="shared" si="359"/>
        <v>0.2985409652076319</v>
      </c>
      <c r="O224" s="176">
        <f t="shared" si="360"/>
        <v>11.475168350168351</v>
      </c>
      <c r="P224" s="176">
        <f t="shared" si="361"/>
        <v>2.7540404040404045</v>
      </c>
      <c r="Q224" s="221">
        <f t="shared" si="362"/>
        <v>2.2950336700336704</v>
      </c>
      <c r="R224" s="221">
        <f t="shared" si="363"/>
        <v>2.2950336700336704</v>
      </c>
      <c r="S224" s="221">
        <f t="shared" si="364"/>
        <v>5</v>
      </c>
      <c r="T224" s="221">
        <f t="shared" si="365"/>
        <v>0.14291729323308269</v>
      </c>
      <c r="U224" s="221">
        <f t="shared" si="366"/>
        <v>4.0016842105263149E-2</v>
      </c>
      <c r="V224" s="221">
        <f t="shared" si="367"/>
        <v>9.4024535021764929E-2</v>
      </c>
      <c r="W224" s="201">
        <f t="shared" si="368"/>
        <v>350</v>
      </c>
      <c r="X224" s="451">
        <f t="shared" si="369"/>
        <v>350</v>
      </c>
      <c r="Z224" s="221">
        <f t="shared" si="370"/>
        <v>3.0463363796697127</v>
      </c>
      <c r="AA224" s="177">
        <f t="shared" si="371"/>
        <v>2.004168670835337</v>
      </c>
      <c r="AB224" s="177">
        <f t="shared" si="372"/>
        <v>1.780733480446661</v>
      </c>
      <c r="AC224" s="177"/>
      <c r="AD224" s="177">
        <f t="shared" si="373"/>
        <v>0.53947368421052622</v>
      </c>
      <c r="AE224" s="555">
        <f t="shared" si="374"/>
        <v>180.84473527662109</v>
      </c>
      <c r="AF224" s="538">
        <f t="shared" si="375"/>
        <v>0.15482894736842101</v>
      </c>
      <c r="AH224" s="177">
        <f t="shared" si="376"/>
        <v>0.62596863714876128</v>
      </c>
      <c r="AI224" s="177">
        <f t="shared" si="377"/>
        <v>0.82</v>
      </c>
      <c r="AJ224" s="177">
        <f t="shared" si="378"/>
        <v>1.1033398487294979</v>
      </c>
      <c r="AL224" s="555">
        <f t="shared" si="379"/>
        <v>80</v>
      </c>
      <c r="AM224" s="469">
        <f t="shared" si="380"/>
        <v>180.84473527662109</v>
      </c>
      <c r="AO224">
        <f t="shared" si="381"/>
        <v>80</v>
      </c>
      <c r="AP224">
        <f t="shared" si="382"/>
        <v>180.84473527662109</v>
      </c>
      <c r="AR224" s="5">
        <f t="shared" si="343"/>
        <v>5.5296052631578938</v>
      </c>
      <c r="AS224" s="5">
        <f t="shared" si="335"/>
        <v>0.22959999999999997</v>
      </c>
      <c r="AT224" s="5">
        <f t="shared" si="336"/>
        <v>5.3000052631578942</v>
      </c>
      <c r="AU224" s="177">
        <f t="shared" si="337"/>
        <v>4.1521951219512195E-2</v>
      </c>
      <c r="CI224" s="571">
        <f t="shared" si="383"/>
        <v>-50</v>
      </c>
    </row>
    <row r="225" spans="5:87" x14ac:dyDescent="0.2">
      <c r="E225" s="174">
        <v>9</v>
      </c>
      <c r="F225" s="221">
        <f t="shared" si="384"/>
        <v>0.09</v>
      </c>
      <c r="G225" s="221">
        <f t="shared" si="353"/>
        <v>1.7999999999999999E-2</v>
      </c>
      <c r="H225" s="221">
        <f t="shared" si="354"/>
        <v>0.44999999999999996</v>
      </c>
      <c r="I225" s="221">
        <f t="shared" si="355"/>
        <v>0.09</v>
      </c>
      <c r="J225" s="551">
        <f t="shared" si="356"/>
        <v>25</v>
      </c>
      <c r="K225" s="451">
        <f t="shared" si="357"/>
        <v>10.64</v>
      </c>
      <c r="L225" s="451">
        <f t="shared" si="358"/>
        <v>35.64</v>
      </c>
      <c r="M225" s="451"/>
      <c r="N225" s="221">
        <f t="shared" si="359"/>
        <v>0.2985409652076319</v>
      </c>
      <c r="O225" s="176">
        <f t="shared" si="360"/>
        <v>11.475168350168351</v>
      </c>
      <c r="P225" s="176">
        <f t="shared" si="361"/>
        <v>2.7540404040404045</v>
      </c>
      <c r="Q225" s="221">
        <f t="shared" si="362"/>
        <v>2.2950336700336704</v>
      </c>
      <c r="R225" s="221">
        <f t="shared" si="363"/>
        <v>2.2950336700336704</v>
      </c>
      <c r="S225" s="221">
        <f t="shared" si="364"/>
        <v>5</v>
      </c>
      <c r="T225" s="221">
        <f t="shared" si="365"/>
        <v>0.160781954887218</v>
      </c>
      <c r="U225" s="221">
        <f t="shared" si="366"/>
        <v>4.501894736842104E-2</v>
      </c>
      <c r="V225" s="221">
        <f t="shared" si="367"/>
        <v>0.10577760189948551</v>
      </c>
      <c r="W225" s="201">
        <f t="shared" si="368"/>
        <v>350</v>
      </c>
      <c r="X225" s="451">
        <f t="shared" si="369"/>
        <v>350</v>
      </c>
      <c r="Z225" s="221">
        <f t="shared" si="370"/>
        <v>3.0463363796697127</v>
      </c>
      <c r="AA225" s="177">
        <f t="shared" si="371"/>
        <v>2.004168670835337</v>
      </c>
      <c r="AB225" s="177">
        <f t="shared" si="372"/>
        <v>1.780733480446661</v>
      </c>
      <c r="AC225" s="177"/>
      <c r="AD225" s="177">
        <f t="shared" si="373"/>
        <v>0.53947368421052622</v>
      </c>
      <c r="AE225" s="555">
        <f t="shared" si="374"/>
        <v>203.45032718619873</v>
      </c>
      <c r="AF225" s="538">
        <f t="shared" si="375"/>
        <v>0.15482894736842101</v>
      </c>
      <c r="AH225" s="177">
        <f t="shared" si="376"/>
        <v>0.66394000220698568</v>
      </c>
      <c r="AI225" s="177">
        <f t="shared" si="377"/>
        <v>0.82</v>
      </c>
      <c r="AJ225" s="177">
        <f t="shared" si="378"/>
        <v>1.116257329820685</v>
      </c>
      <c r="AL225" s="555">
        <f t="shared" si="379"/>
        <v>90</v>
      </c>
      <c r="AM225" s="469">
        <f t="shared" si="380"/>
        <v>203.45032718619873</v>
      </c>
      <c r="AO225">
        <f t="shared" si="381"/>
        <v>90</v>
      </c>
      <c r="AP225">
        <f t="shared" si="382"/>
        <v>203.45032718619873</v>
      </c>
      <c r="AR225" s="5">
        <f t="shared" si="343"/>
        <v>4.9152046783625725</v>
      </c>
      <c r="AS225" s="5">
        <f t="shared" si="335"/>
        <v>0.22959999999999997</v>
      </c>
      <c r="AT225" s="5">
        <f t="shared" si="336"/>
        <v>4.6856046783625729</v>
      </c>
      <c r="AU225" s="177">
        <f t="shared" si="337"/>
        <v>4.6712195121951218E-2</v>
      </c>
      <c r="CI225" s="571">
        <f t="shared" si="383"/>
        <v>-50</v>
      </c>
    </row>
    <row r="226" spans="5:87" x14ac:dyDescent="0.2">
      <c r="E226" s="174">
        <v>10</v>
      </c>
      <c r="F226" s="221">
        <f t="shared" si="384"/>
        <v>0.1</v>
      </c>
      <c r="G226" s="221">
        <f t="shared" si="353"/>
        <v>2.0000000000000004E-2</v>
      </c>
      <c r="H226" s="221">
        <f t="shared" si="354"/>
        <v>0.5</v>
      </c>
      <c r="I226" s="221">
        <f t="shared" si="355"/>
        <v>0.10000000000000002</v>
      </c>
      <c r="J226" s="551">
        <f t="shared" si="356"/>
        <v>25</v>
      </c>
      <c r="K226" s="451">
        <f t="shared" si="357"/>
        <v>10.64</v>
      </c>
      <c r="L226" s="451">
        <f t="shared" si="358"/>
        <v>35.64</v>
      </c>
      <c r="M226" s="451"/>
      <c r="N226" s="221">
        <f t="shared" si="359"/>
        <v>0.2985409652076319</v>
      </c>
      <c r="O226" s="176">
        <f t="shared" si="360"/>
        <v>11.475168350168351</v>
      </c>
      <c r="P226" s="176">
        <f t="shared" si="361"/>
        <v>2.7540404040404045</v>
      </c>
      <c r="Q226" s="221">
        <f t="shared" si="362"/>
        <v>2.2950336700336704</v>
      </c>
      <c r="R226" s="221">
        <f t="shared" si="363"/>
        <v>2.2950336700336704</v>
      </c>
      <c r="S226" s="221">
        <f t="shared" si="364"/>
        <v>5</v>
      </c>
      <c r="T226" s="221">
        <f t="shared" si="365"/>
        <v>0.17864661654135336</v>
      </c>
      <c r="U226" s="221">
        <f t="shared" si="366"/>
        <v>5.0021052631578938E-2</v>
      </c>
      <c r="V226" s="221">
        <f t="shared" si="367"/>
        <v>0.11753066877720614</v>
      </c>
      <c r="W226" s="201">
        <f t="shared" si="368"/>
        <v>350</v>
      </c>
      <c r="X226" s="451">
        <f t="shared" si="369"/>
        <v>350</v>
      </c>
      <c r="Z226" s="221">
        <f t="shared" si="370"/>
        <v>3.0463363796697127</v>
      </c>
      <c r="AA226" s="177">
        <f t="shared" si="371"/>
        <v>2.004168670835337</v>
      </c>
      <c r="AB226" s="177">
        <f t="shared" si="372"/>
        <v>1.780733480446661</v>
      </c>
      <c r="AC226" s="177"/>
      <c r="AD226" s="177">
        <f t="shared" si="373"/>
        <v>0.53947368421052622</v>
      </c>
      <c r="AE226" s="555">
        <f t="shared" si="374"/>
        <v>226.05591909577637</v>
      </c>
      <c r="AF226" s="538">
        <f t="shared" si="375"/>
        <v>0.15482894736842101</v>
      </c>
      <c r="AH226" s="177">
        <f t="shared" si="376"/>
        <v>0.69985421222376509</v>
      </c>
      <c r="AI226" s="177">
        <f t="shared" si="377"/>
        <v>0.82</v>
      </c>
      <c r="AJ226" s="177">
        <f t="shared" si="378"/>
        <v>1.1291748109118722</v>
      </c>
      <c r="AL226" s="555">
        <f t="shared" si="379"/>
        <v>100</v>
      </c>
      <c r="AM226" s="469">
        <f t="shared" si="380"/>
        <v>226.05591909577637</v>
      </c>
      <c r="AO226">
        <f t="shared" si="381"/>
        <v>100</v>
      </c>
      <c r="AP226">
        <f t="shared" si="382"/>
        <v>226.05591909577637</v>
      </c>
      <c r="AR226" s="5">
        <f t="shared" si="343"/>
        <v>4.4236842105263152</v>
      </c>
      <c r="AS226" s="5">
        <f t="shared" si="335"/>
        <v>0.22959999999999997</v>
      </c>
      <c r="AT226" s="5">
        <f t="shared" si="336"/>
        <v>4.1940842105263156</v>
      </c>
      <c r="AU226" s="177">
        <f t="shared" si="337"/>
        <v>5.1902439024390241E-2</v>
      </c>
      <c r="CI226" s="571">
        <f t="shared" si="383"/>
        <v>-50</v>
      </c>
    </row>
    <row r="227" spans="5:87" x14ac:dyDescent="0.2">
      <c r="E227" s="174">
        <v>11</v>
      </c>
      <c r="F227" s="221">
        <f t="shared" si="384"/>
        <v>0.11</v>
      </c>
      <c r="G227" s="221">
        <f t="shared" si="353"/>
        <v>2.2000000000000002E-2</v>
      </c>
      <c r="H227" s="221">
        <f t="shared" si="354"/>
        <v>0.55000000000000004</v>
      </c>
      <c r="I227" s="221">
        <f t="shared" si="355"/>
        <v>0.11000000000000001</v>
      </c>
      <c r="J227" s="551">
        <f t="shared" si="356"/>
        <v>25</v>
      </c>
      <c r="K227" s="451">
        <f t="shared" si="357"/>
        <v>10.64</v>
      </c>
      <c r="L227" s="451">
        <f t="shared" si="358"/>
        <v>35.64</v>
      </c>
      <c r="M227" s="451"/>
      <c r="N227" s="221">
        <f t="shared" si="359"/>
        <v>0.2985409652076319</v>
      </c>
      <c r="O227" s="176">
        <f t="shared" si="360"/>
        <v>11.475168350168351</v>
      </c>
      <c r="P227" s="176">
        <f t="shared" si="361"/>
        <v>2.7540404040404045</v>
      </c>
      <c r="Q227" s="221">
        <f t="shared" si="362"/>
        <v>2.2950336700336704</v>
      </c>
      <c r="R227" s="221">
        <f t="shared" si="363"/>
        <v>2.2950336700336704</v>
      </c>
      <c r="S227" s="221">
        <f t="shared" si="364"/>
        <v>5</v>
      </c>
      <c r="T227" s="221">
        <f t="shared" si="365"/>
        <v>0.19651127819548872</v>
      </c>
      <c r="U227" s="221">
        <f t="shared" si="366"/>
        <v>5.5023157894736843E-2</v>
      </c>
      <c r="V227" s="221">
        <f t="shared" si="367"/>
        <v>0.12928373565492676</v>
      </c>
      <c r="W227" s="201">
        <f t="shared" si="368"/>
        <v>350</v>
      </c>
      <c r="X227" s="451">
        <f t="shared" si="369"/>
        <v>350</v>
      </c>
      <c r="Z227" s="221">
        <f t="shared" si="370"/>
        <v>3.0463363796697127</v>
      </c>
      <c r="AA227" s="177">
        <f t="shared" si="371"/>
        <v>2.004168670835337</v>
      </c>
      <c r="AB227" s="177">
        <f t="shared" si="372"/>
        <v>1.780733480446661</v>
      </c>
      <c r="AC227" s="177"/>
      <c r="AD227" s="177">
        <f t="shared" si="373"/>
        <v>0.53947368421052622</v>
      </c>
      <c r="AE227" s="555">
        <f t="shared" si="374"/>
        <v>248.66151100535399</v>
      </c>
      <c r="AF227" s="538">
        <f t="shared" si="375"/>
        <v>0.15482894736842101</v>
      </c>
      <c r="AH227" s="177">
        <f t="shared" si="376"/>
        <v>0.73401329020943595</v>
      </c>
      <c r="AI227" s="177">
        <f t="shared" si="377"/>
        <v>0.82</v>
      </c>
      <c r="AJ227" s="177">
        <f t="shared" si="378"/>
        <v>1.1420922920030594</v>
      </c>
      <c r="AL227" s="555">
        <f t="shared" si="379"/>
        <v>110</v>
      </c>
      <c r="AM227" s="469">
        <f t="shared" si="380"/>
        <v>248.66151100535399</v>
      </c>
      <c r="AO227">
        <f t="shared" si="381"/>
        <v>110</v>
      </c>
      <c r="AP227">
        <f t="shared" si="382"/>
        <v>248.66151100535399</v>
      </c>
      <c r="AR227" s="5">
        <f t="shared" si="343"/>
        <v>4.0215311004784686</v>
      </c>
      <c r="AS227" s="5">
        <f t="shared" si="335"/>
        <v>0.22959999999999997</v>
      </c>
      <c r="AT227" s="5">
        <f t="shared" si="336"/>
        <v>3.7919311004784686</v>
      </c>
      <c r="AU227" s="177">
        <f t="shared" si="337"/>
        <v>5.7092682926829265E-2</v>
      </c>
      <c r="CI227" s="571">
        <f t="shared" si="383"/>
        <v>-50</v>
      </c>
    </row>
    <row r="228" spans="5:87" x14ac:dyDescent="0.2">
      <c r="E228" s="174">
        <v>12</v>
      </c>
      <c r="F228" s="221">
        <f t="shared" si="384"/>
        <v>0.12</v>
      </c>
      <c r="G228" s="221">
        <f t="shared" si="353"/>
        <v>2.4E-2</v>
      </c>
      <c r="H228" s="221">
        <f t="shared" si="354"/>
        <v>0.6</v>
      </c>
      <c r="I228" s="221">
        <f t="shared" si="355"/>
        <v>0.12</v>
      </c>
      <c r="J228" s="551">
        <f t="shared" si="356"/>
        <v>25</v>
      </c>
      <c r="K228" s="451">
        <f t="shared" si="357"/>
        <v>10.64</v>
      </c>
      <c r="L228" s="451">
        <f t="shared" si="358"/>
        <v>35.64</v>
      </c>
      <c r="M228" s="451"/>
      <c r="N228" s="221">
        <f t="shared" si="359"/>
        <v>0.2985409652076319</v>
      </c>
      <c r="O228" s="176">
        <f t="shared" si="360"/>
        <v>11.475168350168351</v>
      </c>
      <c r="P228" s="176">
        <f t="shared" si="361"/>
        <v>2.7540404040404045</v>
      </c>
      <c r="Q228" s="221">
        <f t="shared" si="362"/>
        <v>2.2950336700336704</v>
      </c>
      <c r="R228" s="221">
        <f t="shared" si="363"/>
        <v>2.2950336700336704</v>
      </c>
      <c r="S228" s="221">
        <f t="shared" si="364"/>
        <v>5</v>
      </c>
      <c r="T228" s="221">
        <f t="shared" si="365"/>
        <v>0.21437593984962403</v>
      </c>
      <c r="U228" s="221">
        <f t="shared" si="366"/>
        <v>6.002526315789472E-2</v>
      </c>
      <c r="V228" s="221">
        <f t="shared" si="367"/>
        <v>0.14103680253264736</v>
      </c>
      <c r="W228" s="201">
        <f t="shared" si="368"/>
        <v>350</v>
      </c>
      <c r="X228" s="451">
        <f t="shared" si="369"/>
        <v>350</v>
      </c>
      <c r="Z228" s="221">
        <f t="shared" si="370"/>
        <v>3.0463363796697127</v>
      </c>
      <c r="AA228" s="177">
        <f t="shared" si="371"/>
        <v>2.004168670835337</v>
      </c>
      <c r="AB228" s="177">
        <f t="shared" si="372"/>
        <v>1.780733480446661</v>
      </c>
      <c r="AC228" s="177"/>
      <c r="AD228" s="177">
        <f t="shared" si="373"/>
        <v>0.53947368421052622</v>
      </c>
      <c r="AE228" s="555">
        <f t="shared" si="374"/>
        <v>271.26710291493163</v>
      </c>
      <c r="AF228" s="538">
        <f t="shared" si="375"/>
        <v>0.15482894736842101</v>
      </c>
      <c r="AH228" s="177">
        <f t="shared" si="376"/>
        <v>0.76665187799992784</v>
      </c>
      <c r="AI228" s="177">
        <f t="shared" si="377"/>
        <v>0.82</v>
      </c>
      <c r="AJ228" s="177">
        <f t="shared" si="378"/>
        <v>1.1550097730942466</v>
      </c>
      <c r="AL228" s="555">
        <f t="shared" si="379"/>
        <v>120</v>
      </c>
      <c r="AM228" s="469">
        <f t="shared" si="380"/>
        <v>271.26710291493163</v>
      </c>
      <c r="AO228">
        <f t="shared" si="381"/>
        <v>120</v>
      </c>
      <c r="AP228">
        <f t="shared" si="382"/>
        <v>271.26710291493163</v>
      </c>
      <c r="AR228" s="5">
        <f t="shared" si="343"/>
        <v>3.6864035087719289</v>
      </c>
      <c r="AS228" s="5">
        <f t="shared" si="335"/>
        <v>0.22959999999999997</v>
      </c>
      <c r="AT228" s="5">
        <f t="shared" si="336"/>
        <v>3.4568035087719289</v>
      </c>
      <c r="AU228" s="177">
        <f t="shared" si="337"/>
        <v>6.2282926829268302E-2</v>
      </c>
      <c r="CI228" s="571">
        <f t="shared" si="383"/>
        <v>-50</v>
      </c>
    </row>
    <row r="229" spans="5:87" x14ac:dyDescent="0.2">
      <c r="E229" s="174">
        <v>13</v>
      </c>
      <c r="F229" s="221">
        <f t="shared" si="384"/>
        <v>0.13</v>
      </c>
      <c r="G229" s="221">
        <f t="shared" si="353"/>
        <v>2.6000000000000002E-2</v>
      </c>
      <c r="H229" s="221">
        <f t="shared" si="354"/>
        <v>0.65</v>
      </c>
      <c r="I229" s="221">
        <f t="shared" si="355"/>
        <v>0.13</v>
      </c>
      <c r="J229" s="551">
        <f t="shared" si="356"/>
        <v>25</v>
      </c>
      <c r="K229" s="451">
        <f t="shared" si="357"/>
        <v>10.64</v>
      </c>
      <c r="L229" s="451">
        <f t="shared" si="358"/>
        <v>35.64</v>
      </c>
      <c r="M229" s="451"/>
      <c r="N229" s="221">
        <f t="shared" si="359"/>
        <v>0.2985409652076319</v>
      </c>
      <c r="O229" s="176">
        <f t="shared" si="360"/>
        <v>11.475168350168351</v>
      </c>
      <c r="P229" s="176">
        <f t="shared" si="361"/>
        <v>2.7540404040404045</v>
      </c>
      <c r="Q229" s="221">
        <f t="shared" si="362"/>
        <v>2.2950336700336704</v>
      </c>
      <c r="R229" s="221">
        <f t="shared" si="363"/>
        <v>2.2950336700336704</v>
      </c>
      <c r="S229" s="221">
        <f t="shared" si="364"/>
        <v>5</v>
      </c>
      <c r="T229" s="221">
        <f t="shared" si="365"/>
        <v>0.23224060150375939</v>
      </c>
      <c r="U229" s="221">
        <f t="shared" si="366"/>
        <v>6.5027368421052625E-2</v>
      </c>
      <c r="V229" s="221">
        <f t="shared" si="367"/>
        <v>0.15278986941036798</v>
      </c>
      <c r="W229" s="201">
        <f t="shared" si="368"/>
        <v>350</v>
      </c>
      <c r="X229" s="451">
        <f t="shared" si="369"/>
        <v>350</v>
      </c>
      <c r="Z229" s="221">
        <f t="shared" si="370"/>
        <v>3.0463363796697127</v>
      </c>
      <c r="AA229" s="177">
        <f t="shared" si="371"/>
        <v>2.004168670835337</v>
      </c>
      <c r="AB229" s="177">
        <f t="shared" si="372"/>
        <v>1.780733480446661</v>
      </c>
      <c r="AC229" s="177"/>
      <c r="AD229" s="177">
        <f t="shared" si="373"/>
        <v>0.53947368421052622</v>
      </c>
      <c r="AE229" s="555">
        <f t="shared" si="374"/>
        <v>293.87269482450927</v>
      </c>
      <c r="AF229" s="538">
        <f t="shared" si="375"/>
        <v>0.15482894736842101</v>
      </c>
      <c r="AH229" s="177">
        <f t="shared" si="376"/>
        <v>0.7979565739296538</v>
      </c>
      <c r="AI229" s="177">
        <f t="shared" si="377"/>
        <v>0.82</v>
      </c>
      <c r="AJ229" s="177">
        <f t="shared" si="378"/>
        <v>1.167927254185434</v>
      </c>
      <c r="AL229" s="555">
        <f t="shared" si="379"/>
        <v>130</v>
      </c>
      <c r="AM229" s="469">
        <f t="shared" si="380"/>
        <v>293.87269482450927</v>
      </c>
      <c r="AO229">
        <f t="shared" si="381"/>
        <v>130</v>
      </c>
      <c r="AP229">
        <f t="shared" si="382"/>
        <v>293.87269482450927</v>
      </c>
      <c r="AR229" s="5">
        <f t="shared" si="343"/>
        <v>3.4028340080971651</v>
      </c>
      <c r="AS229" s="5">
        <f t="shared" si="335"/>
        <v>0.22959999999999997</v>
      </c>
      <c r="AT229" s="5">
        <f t="shared" si="336"/>
        <v>3.173234008097165</v>
      </c>
      <c r="AU229" s="177">
        <f t="shared" si="337"/>
        <v>6.7473170731707333E-2</v>
      </c>
      <c r="CI229" s="571">
        <f t="shared" si="383"/>
        <v>-50</v>
      </c>
    </row>
    <row r="230" spans="5:87" x14ac:dyDescent="0.2">
      <c r="E230" s="174">
        <v>14</v>
      </c>
      <c r="F230" s="221">
        <f t="shared" si="384"/>
        <v>0.14000000000000001</v>
      </c>
      <c r="G230" s="221">
        <f t="shared" si="353"/>
        <v>2.8000000000000004E-2</v>
      </c>
      <c r="H230" s="221">
        <f t="shared" si="354"/>
        <v>0.70000000000000007</v>
      </c>
      <c r="I230" s="221">
        <f t="shared" si="355"/>
        <v>0.14000000000000001</v>
      </c>
      <c r="J230" s="551">
        <f t="shared" si="356"/>
        <v>25</v>
      </c>
      <c r="K230" s="451">
        <f t="shared" si="357"/>
        <v>10.64</v>
      </c>
      <c r="L230" s="451">
        <f t="shared" si="358"/>
        <v>35.64</v>
      </c>
      <c r="M230" s="451"/>
      <c r="N230" s="221">
        <f t="shared" si="359"/>
        <v>0.2985409652076319</v>
      </c>
      <c r="O230" s="176">
        <f t="shared" si="360"/>
        <v>11.475168350168351</v>
      </c>
      <c r="P230" s="176">
        <f t="shared" si="361"/>
        <v>2.7540404040404045</v>
      </c>
      <c r="Q230" s="221">
        <f t="shared" si="362"/>
        <v>2.2950336700336704</v>
      </c>
      <c r="R230" s="221">
        <f t="shared" si="363"/>
        <v>2.2950336700336704</v>
      </c>
      <c r="S230" s="221">
        <f t="shared" si="364"/>
        <v>5</v>
      </c>
      <c r="T230" s="221">
        <f t="shared" si="365"/>
        <v>0.25010526315789472</v>
      </c>
      <c r="U230" s="221">
        <f t="shared" si="366"/>
        <v>7.002947368421053E-2</v>
      </c>
      <c r="V230" s="221">
        <f t="shared" si="367"/>
        <v>0.16454293628808861</v>
      </c>
      <c r="W230" s="201">
        <f t="shared" si="368"/>
        <v>350</v>
      </c>
      <c r="X230" s="451">
        <f t="shared" si="369"/>
        <v>350</v>
      </c>
      <c r="Z230" s="221">
        <f t="shared" si="370"/>
        <v>3.0463363796697127</v>
      </c>
      <c r="AA230" s="177">
        <f t="shared" si="371"/>
        <v>2.004168670835337</v>
      </c>
      <c r="AB230" s="177">
        <f t="shared" si="372"/>
        <v>1.780733480446661</v>
      </c>
      <c r="AC230" s="177"/>
      <c r="AD230" s="177">
        <f t="shared" si="373"/>
        <v>0.53947368421052622</v>
      </c>
      <c r="AE230" s="555">
        <f t="shared" si="374"/>
        <v>316.47828673408691</v>
      </c>
      <c r="AF230" s="538">
        <f t="shared" si="375"/>
        <v>0.15482894736842101</v>
      </c>
      <c r="AH230" s="177">
        <f t="shared" si="376"/>
        <v>0.82807867121082501</v>
      </c>
      <c r="AI230" s="177">
        <f t="shared" si="377"/>
        <v>0.82807867121082501</v>
      </c>
      <c r="AJ230" s="177">
        <f t="shared" si="378"/>
        <v>1.1808447352766211</v>
      </c>
      <c r="AL230" s="555">
        <f t="shared" si="379"/>
        <v>140</v>
      </c>
      <c r="AM230" s="469">
        <f t="shared" si="380"/>
        <v>316.47828673408691</v>
      </c>
      <c r="AO230">
        <f t="shared" si="381"/>
        <v>140</v>
      </c>
      <c r="AP230">
        <f t="shared" si="382"/>
        <v>316.47828673408691</v>
      </c>
      <c r="AR230" s="5">
        <f t="shared" si="343"/>
        <v>3.1597744360902249</v>
      </c>
      <c r="AS230" s="5">
        <f t="shared" si="335"/>
        <v>0.23186202793903099</v>
      </c>
      <c r="AT230" s="5">
        <f t="shared" si="336"/>
        <v>2.9279124081511938</v>
      </c>
      <c r="AU230" s="177">
        <f t="shared" si="337"/>
        <v>7.3379297360835524E-2</v>
      </c>
      <c r="CI230" s="571">
        <f t="shared" si="383"/>
        <v>-50</v>
      </c>
    </row>
    <row r="231" spans="5:87" x14ac:dyDescent="0.2">
      <c r="E231" s="174">
        <v>15</v>
      </c>
      <c r="F231" s="221">
        <f t="shared" si="384"/>
        <v>0.15</v>
      </c>
      <c r="G231" s="221">
        <f t="shared" si="353"/>
        <v>0.03</v>
      </c>
      <c r="H231" s="221">
        <f t="shared" si="354"/>
        <v>0.75</v>
      </c>
      <c r="I231" s="221">
        <f t="shared" si="355"/>
        <v>0.15</v>
      </c>
      <c r="J231" s="551">
        <f t="shared" si="356"/>
        <v>25</v>
      </c>
      <c r="K231" s="451">
        <f t="shared" si="357"/>
        <v>10.64</v>
      </c>
      <c r="L231" s="451">
        <f t="shared" si="358"/>
        <v>35.64</v>
      </c>
      <c r="M231" s="451"/>
      <c r="N231" s="221">
        <f t="shared" si="359"/>
        <v>0.2985409652076319</v>
      </c>
      <c r="O231" s="176">
        <f t="shared" si="360"/>
        <v>11.475168350168351</v>
      </c>
      <c r="P231" s="176">
        <f t="shared" si="361"/>
        <v>2.7540404040404045</v>
      </c>
      <c r="Q231" s="221">
        <f t="shared" si="362"/>
        <v>2.2950336700336704</v>
      </c>
      <c r="R231" s="221">
        <f t="shared" si="363"/>
        <v>2.2950336700336704</v>
      </c>
      <c r="S231" s="221">
        <f t="shared" si="364"/>
        <v>5</v>
      </c>
      <c r="T231" s="221">
        <f t="shared" si="365"/>
        <v>0.26796992481203002</v>
      </c>
      <c r="U231" s="221">
        <f t="shared" si="366"/>
        <v>7.5031578947368407E-2</v>
      </c>
      <c r="V231" s="221">
        <f t="shared" si="367"/>
        <v>0.17629600316580921</v>
      </c>
      <c r="W231" s="201">
        <f t="shared" si="368"/>
        <v>350</v>
      </c>
      <c r="X231" s="451">
        <f t="shared" si="369"/>
        <v>350</v>
      </c>
      <c r="Z231" s="221">
        <f t="shared" si="370"/>
        <v>3.0463363796697127</v>
      </c>
      <c r="AA231" s="177">
        <f t="shared" si="371"/>
        <v>2.004168670835337</v>
      </c>
      <c r="AB231" s="177">
        <f t="shared" si="372"/>
        <v>1.780733480446661</v>
      </c>
      <c r="AC231" s="177"/>
      <c r="AD231" s="177">
        <f t="shared" si="373"/>
        <v>0.53947368421052622</v>
      </c>
      <c r="AE231" s="555">
        <f t="shared" si="374"/>
        <v>339.08387864366455</v>
      </c>
      <c r="AF231" s="538">
        <f t="shared" si="375"/>
        <v>0.15482894736842101</v>
      </c>
      <c r="AH231" s="177">
        <f t="shared" si="376"/>
        <v>0.8571428571428571</v>
      </c>
      <c r="AI231" s="177">
        <f t="shared" si="377"/>
        <v>0.8571428571428571</v>
      </c>
      <c r="AJ231" s="177">
        <f t="shared" si="378"/>
        <v>1.1937622163678083</v>
      </c>
      <c r="AL231" s="555">
        <f t="shared" si="379"/>
        <v>150</v>
      </c>
      <c r="AM231" s="469">
        <f t="shared" si="380"/>
        <v>339.08387864366455</v>
      </c>
      <c r="AO231">
        <f t="shared" si="381"/>
        <v>150</v>
      </c>
      <c r="AP231">
        <f t="shared" si="382"/>
        <v>339.08387864366455</v>
      </c>
      <c r="AR231" s="5">
        <f t="shared" si="343"/>
        <v>2.9491228070175435</v>
      </c>
      <c r="AS231" s="5">
        <f t="shared" si="335"/>
        <v>0.24</v>
      </c>
      <c r="AT231" s="5">
        <f t="shared" si="336"/>
        <v>2.7091228070175433</v>
      </c>
      <c r="AU231" s="177">
        <f t="shared" si="337"/>
        <v>8.1380130874479484E-2</v>
      </c>
      <c r="CI231" s="571">
        <f t="shared" si="383"/>
        <v>-50</v>
      </c>
    </row>
    <row r="232" spans="5:87" x14ac:dyDescent="0.2">
      <c r="E232" s="174">
        <v>16</v>
      </c>
      <c r="F232" s="221">
        <f t="shared" si="384"/>
        <v>0.16</v>
      </c>
      <c r="G232" s="221">
        <f t="shared" si="353"/>
        <v>3.2000000000000001E-2</v>
      </c>
      <c r="H232" s="221">
        <f t="shared" si="354"/>
        <v>0.8</v>
      </c>
      <c r="I232" s="221">
        <f t="shared" si="355"/>
        <v>0.16</v>
      </c>
      <c r="J232" s="551">
        <f t="shared" si="356"/>
        <v>25</v>
      </c>
      <c r="K232" s="451">
        <f t="shared" si="357"/>
        <v>10.64</v>
      </c>
      <c r="L232" s="451">
        <f t="shared" si="358"/>
        <v>35.64</v>
      </c>
      <c r="M232" s="451"/>
      <c r="N232" s="221">
        <f t="shared" si="359"/>
        <v>0.2985409652076319</v>
      </c>
      <c r="O232" s="176">
        <f t="shared" si="360"/>
        <v>11.475168350168351</v>
      </c>
      <c r="P232" s="176">
        <f t="shared" si="361"/>
        <v>2.7540404040404045</v>
      </c>
      <c r="Q232" s="221">
        <f t="shared" si="362"/>
        <v>2.2950336700336704</v>
      </c>
      <c r="R232" s="221">
        <f t="shared" si="363"/>
        <v>2.2950336700336704</v>
      </c>
      <c r="S232" s="221">
        <f t="shared" si="364"/>
        <v>5</v>
      </c>
      <c r="T232" s="221">
        <f t="shared" si="365"/>
        <v>0.28583458646616539</v>
      </c>
      <c r="U232" s="221">
        <f t="shared" si="366"/>
        <v>8.0033684210526299E-2</v>
      </c>
      <c r="V232" s="221">
        <f t="shared" si="367"/>
        <v>0.18804907004352986</v>
      </c>
      <c r="W232" s="201">
        <f t="shared" si="368"/>
        <v>350</v>
      </c>
      <c r="X232" s="451">
        <f t="shared" si="369"/>
        <v>350</v>
      </c>
      <c r="Z232" s="221">
        <f t="shared" si="370"/>
        <v>3.0463363796697127</v>
      </c>
      <c r="AA232" s="177">
        <f t="shared" si="371"/>
        <v>2.004168670835337</v>
      </c>
      <c r="AB232" s="177">
        <f t="shared" si="372"/>
        <v>1.780733480446661</v>
      </c>
      <c r="AC232" s="177"/>
      <c r="AD232" s="177">
        <f t="shared" si="373"/>
        <v>0.53947368421052622</v>
      </c>
      <c r="AE232" s="555">
        <f t="shared" si="374"/>
        <v>361.68947055324219</v>
      </c>
      <c r="AF232" s="538">
        <f t="shared" si="375"/>
        <v>0.15482894736842101</v>
      </c>
      <c r="AH232" s="177">
        <f t="shared" si="376"/>
        <v>0.88525333627598102</v>
      </c>
      <c r="AI232" s="177">
        <f t="shared" si="377"/>
        <v>0.88525333627598102</v>
      </c>
      <c r="AJ232" s="177">
        <f t="shared" si="378"/>
        <v>1.2483358046488748</v>
      </c>
      <c r="AL232" s="555">
        <f t="shared" si="379"/>
        <v>160</v>
      </c>
      <c r="AM232" s="469">
        <f t="shared" si="380"/>
        <v>350</v>
      </c>
      <c r="AO232">
        <f t="shared" si="381"/>
        <v>160</v>
      </c>
      <c r="AP232">
        <f t="shared" si="382"/>
        <v>350</v>
      </c>
      <c r="AR232" s="5">
        <f t="shared" si="343"/>
        <v>2.8571428571428572</v>
      </c>
      <c r="AS232" s="5">
        <f t="shared" si="335"/>
        <v>0.24787093415727471</v>
      </c>
      <c r="AT232" s="5">
        <f t="shared" si="336"/>
        <v>2.6092719229855823</v>
      </c>
      <c r="AU232" s="177">
        <f t="shared" si="337"/>
        <v>8.6754826955046146E-2</v>
      </c>
      <c r="CI232" s="571">
        <f t="shared" si="383"/>
        <v>-50</v>
      </c>
    </row>
    <row r="233" spans="5:87" x14ac:dyDescent="0.2">
      <c r="E233" s="174">
        <v>17</v>
      </c>
      <c r="F233" s="221">
        <f t="shared" si="384"/>
        <v>0.17</v>
      </c>
      <c r="G233" s="221">
        <f t="shared" si="353"/>
        <v>3.4000000000000002E-2</v>
      </c>
      <c r="H233" s="221">
        <f t="shared" si="354"/>
        <v>0.85000000000000009</v>
      </c>
      <c r="I233" s="221">
        <f t="shared" si="355"/>
        <v>0.17</v>
      </c>
      <c r="J233" s="551">
        <f t="shared" si="356"/>
        <v>25</v>
      </c>
      <c r="K233" s="451">
        <f t="shared" si="357"/>
        <v>10.64</v>
      </c>
      <c r="L233" s="451">
        <f t="shared" si="358"/>
        <v>35.64</v>
      </c>
      <c r="M233" s="451"/>
      <c r="N233" s="221">
        <f t="shared" si="359"/>
        <v>0.2985409652076319</v>
      </c>
      <c r="O233" s="176">
        <f t="shared" si="360"/>
        <v>11.475168350168351</v>
      </c>
      <c r="P233" s="176">
        <f t="shared" si="361"/>
        <v>2.7540404040404045</v>
      </c>
      <c r="Q233" s="221">
        <f t="shared" si="362"/>
        <v>2.2950336700336704</v>
      </c>
      <c r="R233" s="221">
        <f t="shared" si="363"/>
        <v>2.2950336700336704</v>
      </c>
      <c r="S233" s="221">
        <f t="shared" si="364"/>
        <v>5</v>
      </c>
      <c r="T233" s="221">
        <f t="shared" si="365"/>
        <v>0.30369924812030075</v>
      </c>
      <c r="U233" s="221">
        <f t="shared" si="366"/>
        <v>8.5035789473684203E-2</v>
      </c>
      <c r="V233" s="221">
        <f t="shared" si="367"/>
        <v>0.19980213692125048</v>
      </c>
      <c r="W233" s="201">
        <f t="shared" si="368"/>
        <v>350</v>
      </c>
      <c r="X233" s="451">
        <f t="shared" si="369"/>
        <v>350</v>
      </c>
      <c r="Z233" s="221">
        <f t="shared" si="370"/>
        <v>3.0463363796697127</v>
      </c>
      <c r="AA233" s="177">
        <f t="shared" si="371"/>
        <v>2.004168670835337</v>
      </c>
      <c r="AB233" s="177">
        <f t="shared" si="372"/>
        <v>1.780733480446661</v>
      </c>
      <c r="AC233" s="177"/>
      <c r="AD233" s="177">
        <f t="shared" si="373"/>
        <v>0.53947368421052622</v>
      </c>
      <c r="AE233" s="555">
        <f t="shared" si="374"/>
        <v>384.29506246281983</v>
      </c>
      <c r="AF233" s="538">
        <f t="shared" si="375"/>
        <v>0.15482894736842101</v>
      </c>
      <c r="AH233" s="177">
        <f t="shared" si="376"/>
        <v>0.91249825272407492</v>
      </c>
      <c r="AI233" s="177">
        <f t="shared" si="377"/>
        <v>0.91249825272407492</v>
      </c>
      <c r="AJ233" s="177">
        <f t="shared" si="378"/>
        <v>1.2685172242400555</v>
      </c>
      <c r="AL233" s="555">
        <f t="shared" si="379"/>
        <v>170</v>
      </c>
      <c r="AM233" s="469">
        <f t="shared" si="380"/>
        <v>350</v>
      </c>
      <c r="AO233">
        <f t="shared" si="381"/>
        <v>170</v>
      </c>
      <c r="AP233">
        <f t="shared" si="382"/>
        <v>350</v>
      </c>
      <c r="AR233" s="5">
        <f t="shared" si="343"/>
        <v>2.8571428571428572</v>
      </c>
      <c r="AS233" s="5">
        <f t="shared" si="335"/>
        <v>0.25549951076274097</v>
      </c>
      <c r="AT233" s="5">
        <f t="shared" si="336"/>
        <v>2.6016433463801163</v>
      </c>
      <c r="AU233" s="177">
        <f t="shared" si="337"/>
        <v>8.9424828766959341E-2</v>
      </c>
      <c r="CI233" s="571">
        <f t="shared" si="383"/>
        <v>-50</v>
      </c>
    </row>
    <row r="234" spans="5:87" x14ac:dyDescent="0.2">
      <c r="E234" s="174">
        <v>18</v>
      </c>
      <c r="F234" s="221">
        <f t="shared" si="384"/>
        <v>0.18</v>
      </c>
      <c r="G234" s="221">
        <f t="shared" si="353"/>
        <v>3.5999999999999997E-2</v>
      </c>
      <c r="H234" s="221">
        <f t="shared" si="354"/>
        <v>0.89999999999999991</v>
      </c>
      <c r="I234" s="221">
        <f t="shared" si="355"/>
        <v>0.18</v>
      </c>
      <c r="J234" s="551">
        <f t="shared" si="356"/>
        <v>25</v>
      </c>
      <c r="K234" s="451">
        <f t="shared" si="357"/>
        <v>10.64</v>
      </c>
      <c r="L234" s="451">
        <f t="shared" si="358"/>
        <v>35.64</v>
      </c>
      <c r="M234" s="451"/>
      <c r="N234" s="221">
        <f t="shared" si="359"/>
        <v>0.2985409652076319</v>
      </c>
      <c r="O234" s="176">
        <f t="shared" si="360"/>
        <v>11.475168350168351</v>
      </c>
      <c r="P234" s="176">
        <f t="shared" si="361"/>
        <v>2.7540404040404045</v>
      </c>
      <c r="Q234" s="221">
        <f t="shared" si="362"/>
        <v>2.2950336700336704</v>
      </c>
      <c r="R234" s="221">
        <f t="shared" si="363"/>
        <v>2.2950336700336704</v>
      </c>
      <c r="S234" s="221">
        <f t="shared" si="364"/>
        <v>5</v>
      </c>
      <c r="T234" s="221">
        <f t="shared" si="365"/>
        <v>0.321563909774436</v>
      </c>
      <c r="U234" s="221">
        <f t="shared" si="366"/>
        <v>9.0037894736842081E-2</v>
      </c>
      <c r="V234" s="221">
        <f t="shared" si="367"/>
        <v>0.21155520379897103</v>
      </c>
      <c r="W234" s="201">
        <f t="shared" si="368"/>
        <v>350</v>
      </c>
      <c r="X234" s="451">
        <f t="shared" si="369"/>
        <v>350</v>
      </c>
      <c r="Z234" s="221">
        <f t="shared" si="370"/>
        <v>3.0463363796697127</v>
      </c>
      <c r="AA234" s="177">
        <f t="shared" si="371"/>
        <v>2.004168670835337</v>
      </c>
      <c r="AB234" s="177">
        <f t="shared" si="372"/>
        <v>1.780733480446661</v>
      </c>
      <c r="AC234" s="177"/>
      <c r="AD234" s="177">
        <f t="shared" si="373"/>
        <v>0.53947368421052622</v>
      </c>
      <c r="AE234" s="555">
        <f t="shared" si="374"/>
        <v>406.90065437239747</v>
      </c>
      <c r="AF234" s="538">
        <f t="shared" si="375"/>
        <v>0.15482894736842101</v>
      </c>
      <c r="AH234" s="177">
        <f t="shared" si="376"/>
        <v>0.93895295572314186</v>
      </c>
      <c r="AI234" s="177">
        <f t="shared" si="377"/>
        <v>0.93895295572314186</v>
      </c>
      <c r="AJ234" s="177">
        <f t="shared" si="378"/>
        <v>1.2881133005356606</v>
      </c>
      <c r="AL234" s="555">
        <f t="shared" si="379"/>
        <v>180</v>
      </c>
      <c r="AM234" s="469">
        <f t="shared" si="380"/>
        <v>350</v>
      </c>
      <c r="AO234">
        <f t="shared" si="381"/>
        <v>180</v>
      </c>
      <c r="AP234">
        <f t="shared" si="382"/>
        <v>350</v>
      </c>
      <c r="AR234" s="5">
        <f t="shared" si="343"/>
        <v>2.8571428571428572</v>
      </c>
      <c r="AS234" s="5">
        <f t="shared" si="335"/>
        <v>0.26290682760247969</v>
      </c>
      <c r="AT234" s="5">
        <f t="shared" si="336"/>
        <v>2.5942360295403777</v>
      </c>
      <c r="AU234" s="177">
        <f t="shared" si="337"/>
        <v>9.2017389660867893E-2</v>
      </c>
      <c r="CI234" s="571">
        <f t="shared" si="383"/>
        <v>-50</v>
      </c>
    </row>
    <row r="235" spans="5:87" x14ac:dyDescent="0.2">
      <c r="E235" s="174">
        <v>19</v>
      </c>
      <c r="F235" s="221">
        <f t="shared" si="384"/>
        <v>0.19</v>
      </c>
      <c r="G235" s="221">
        <f t="shared" si="353"/>
        <v>3.8000000000000006E-2</v>
      </c>
      <c r="H235" s="221">
        <f t="shared" si="354"/>
        <v>0.95</v>
      </c>
      <c r="I235" s="221">
        <f t="shared" si="355"/>
        <v>0.19000000000000003</v>
      </c>
      <c r="J235" s="551">
        <f t="shared" si="356"/>
        <v>25</v>
      </c>
      <c r="K235" s="451">
        <f t="shared" si="357"/>
        <v>10.64</v>
      </c>
      <c r="L235" s="451">
        <f t="shared" si="358"/>
        <v>35.64</v>
      </c>
      <c r="M235" s="451"/>
      <c r="N235" s="221">
        <f t="shared" si="359"/>
        <v>0.2985409652076319</v>
      </c>
      <c r="O235" s="176">
        <f t="shared" si="360"/>
        <v>11.475168350168351</v>
      </c>
      <c r="P235" s="176">
        <f t="shared" si="361"/>
        <v>2.7540404040404045</v>
      </c>
      <c r="Q235" s="221">
        <f t="shared" si="362"/>
        <v>2.2950336700336704</v>
      </c>
      <c r="R235" s="221">
        <f t="shared" si="363"/>
        <v>2.2950336700336704</v>
      </c>
      <c r="S235" s="221">
        <f t="shared" si="364"/>
        <v>5</v>
      </c>
      <c r="T235" s="221">
        <f t="shared" si="365"/>
        <v>0.33942857142857136</v>
      </c>
      <c r="U235" s="221">
        <f t="shared" si="366"/>
        <v>9.5039999999999972E-2</v>
      </c>
      <c r="V235" s="221">
        <f t="shared" si="367"/>
        <v>0.22330827067669165</v>
      </c>
      <c r="W235" s="201">
        <f t="shared" si="368"/>
        <v>350</v>
      </c>
      <c r="X235" s="451">
        <f t="shared" si="369"/>
        <v>350</v>
      </c>
      <c r="Z235" s="221">
        <f t="shared" si="370"/>
        <v>3.0463363796697127</v>
      </c>
      <c r="AA235" s="177">
        <f t="shared" si="371"/>
        <v>2.004168670835337</v>
      </c>
      <c r="AB235" s="177">
        <f t="shared" si="372"/>
        <v>1.780733480446661</v>
      </c>
      <c r="AC235" s="177"/>
      <c r="AD235" s="177">
        <f t="shared" si="373"/>
        <v>0.53947368421052622</v>
      </c>
      <c r="AE235" s="555">
        <f t="shared" si="374"/>
        <v>429.506246281975</v>
      </c>
      <c r="AF235" s="538">
        <f t="shared" si="375"/>
        <v>0.15482894736842101</v>
      </c>
      <c r="AH235" s="177">
        <f t="shared" si="376"/>
        <v>0.96468245806480746</v>
      </c>
      <c r="AI235" s="177">
        <f t="shared" si="377"/>
        <v>0.96468245806480746</v>
      </c>
      <c r="AJ235" s="177">
        <f t="shared" si="378"/>
        <v>1.3071721911591165</v>
      </c>
      <c r="AL235" s="555">
        <f t="shared" si="379"/>
        <v>190</v>
      </c>
      <c r="AM235" s="469">
        <f t="shared" si="380"/>
        <v>350</v>
      </c>
      <c r="AO235">
        <f t="shared" si="381"/>
        <v>190</v>
      </c>
      <c r="AP235">
        <f t="shared" si="382"/>
        <v>350</v>
      </c>
      <c r="AR235" s="5">
        <f t="shared" si="343"/>
        <v>2.8571428571428572</v>
      </c>
      <c r="AS235" s="5">
        <f t="shared" si="335"/>
        <v>0.27011108825814606</v>
      </c>
      <c r="AT235" s="5">
        <f t="shared" si="336"/>
        <v>2.5870317688847111</v>
      </c>
      <c r="AU235" s="177">
        <f t="shared" si="337"/>
        <v>9.4538880890351118E-2</v>
      </c>
      <c r="CI235" s="571">
        <f t="shared" si="383"/>
        <v>-50</v>
      </c>
    </row>
    <row r="236" spans="5:87" x14ac:dyDescent="0.2">
      <c r="E236" s="174">
        <v>20</v>
      </c>
      <c r="F236" s="221">
        <f t="shared" si="384"/>
        <v>0.2</v>
      </c>
      <c r="G236" s="221">
        <f t="shared" si="353"/>
        <v>4.0000000000000008E-2</v>
      </c>
      <c r="H236" s="221">
        <f t="shared" si="354"/>
        <v>1</v>
      </c>
      <c r="I236" s="221">
        <f t="shared" si="355"/>
        <v>0.20000000000000004</v>
      </c>
      <c r="J236" s="551">
        <f t="shared" si="356"/>
        <v>25</v>
      </c>
      <c r="K236" s="451">
        <f t="shared" si="357"/>
        <v>10.64</v>
      </c>
      <c r="L236" s="451">
        <f t="shared" si="358"/>
        <v>35.64</v>
      </c>
      <c r="M236" s="451"/>
      <c r="N236" s="221">
        <f t="shared" si="359"/>
        <v>0.2985409652076319</v>
      </c>
      <c r="O236" s="176">
        <f t="shared" si="360"/>
        <v>11.475168350168351</v>
      </c>
      <c r="P236" s="176">
        <f t="shared" si="361"/>
        <v>2.7540404040404045</v>
      </c>
      <c r="Q236" s="221">
        <f t="shared" si="362"/>
        <v>2.2950336700336704</v>
      </c>
      <c r="R236" s="221">
        <f t="shared" si="363"/>
        <v>2.2950336700336704</v>
      </c>
      <c r="S236" s="221">
        <f t="shared" si="364"/>
        <v>5</v>
      </c>
      <c r="T236" s="221">
        <f t="shared" si="365"/>
        <v>0.35729323308270672</v>
      </c>
      <c r="U236" s="221">
        <f t="shared" si="366"/>
        <v>0.10004210526315788</v>
      </c>
      <c r="V236" s="221">
        <f t="shared" si="367"/>
        <v>0.23506133755441228</v>
      </c>
      <c r="W236" s="201">
        <f t="shared" si="368"/>
        <v>350</v>
      </c>
      <c r="X236" s="451">
        <f t="shared" si="369"/>
        <v>350</v>
      </c>
      <c r="Z236" s="221">
        <f t="shared" si="370"/>
        <v>3.0463363796697127</v>
      </c>
      <c r="AA236" s="177">
        <f t="shared" si="371"/>
        <v>2.004168670835337</v>
      </c>
      <c r="AB236" s="177">
        <f t="shared" si="372"/>
        <v>1.780733480446661</v>
      </c>
      <c r="AC236" s="177"/>
      <c r="AD236" s="177">
        <f t="shared" si="373"/>
        <v>0.53947368421052622</v>
      </c>
      <c r="AE236" s="555">
        <f t="shared" si="374"/>
        <v>452.11183819155275</v>
      </c>
      <c r="AF236" s="538">
        <f t="shared" si="375"/>
        <v>0.15482894736842101</v>
      </c>
      <c r="AH236" s="177">
        <f t="shared" si="376"/>
        <v>0.9897433186107869</v>
      </c>
      <c r="AI236" s="177">
        <f t="shared" si="377"/>
        <v>0.9897433186107869</v>
      </c>
      <c r="AJ236" s="177">
        <f t="shared" si="378"/>
        <v>1.3257357915635459</v>
      </c>
      <c r="AL236" s="555">
        <f t="shared" si="379"/>
        <v>200</v>
      </c>
      <c r="AM236" s="469">
        <f t="shared" si="380"/>
        <v>350</v>
      </c>
      <c r="AO236">
        <f t="shared" si="381"/>
        <v>200</v>
      </c>
      <c r="AP236">
        <f t="shared" si="382"/>
        <v>350</v>
      </c>
      <c r="AR236" s="5">
        <f t="shared" si="343"/>
        <v>2.8571428571428572</v>
      </c>
      <c r="AS236" s="5">
        <f t="shared" si="335"/>
        <v>0.27712812921102037</v>
      </c>
      <c r="AT236" s="5">
        <f t="shared" si="336"/>
        <v>2.5800147279318368</v>
      </c>
      <c r="AU236" s="177">
        <f t="shared" si="337"/>
        <v>9.6994845223857123E-2</v>
      </c>
      <c r="CI236" s="571">
        <f t="shared" si="383"/>
        <v>-50</v>
      </c>
    </row>
    <row r="237" spans="5:87" x14ac:dyDescent="0.2">
      <c r="E237" s="174">
        <v>21</v>
      </c>
      <c r="F237" s="221">
        <f t="shared" si="384"/>
        <v>0.21</v>
      </c>
      <c r="G237" s="221">
        <f t="shared" si="353"/>
        <v>4.2000000000000003E-2</v>
      </c>
      <c r="H237" s="221">
        <f t="shared" si="354"/>
        <v>1.05</v>
      </c>
      <c r="I237" s="221">
        <f t="shared" si="355"/>
        <v>0.21000000000000002</v>
      </c>
      <c r="J237" s="551">
        <f t="shared" si="356"/>
        <v>25</v>
      </c>
      <c r="K237" s="451">
        <f t="shared" si="357"/>
        <v>10.64</v>
      </c>
      <c r="L237" s="451">
        <f t="shared" si="358"/>
        <v>35.64</v>
      </c>
      <c r="M237" s="451"/>
      <c r="N237" s="221">
        <f t="shared" si="359"/>
        <v>0.2985409652076319</v>
      </c>
      <c r="O237" s="176">
        <f t="shared" si="360"/>
        <v>11.475168350168351</v>
      </c>
      <c r="P237" s="176">
        <f t="shared" si="361"/>
        <v>2.7540404040404045</v>
      </c>
      <c r="Q237" s="221">
        <f t="shared" si="362"/>
        <v>2.2950336700336704</v>
      </c>
      <c r="R237" s="221">
        <f t="shared" si="363"/>
        <v>2.2950336700336704</v>
      </c>
      <c r="S237" s="221">
        <f t="shared" si="364"/>
        <v>5</v>
      </c>
      <c r="T237" s="221">
        <f t="shared" si="365"/>
        <v>0.37515789473684208</v>
      </c>
      <c r="U237" s="221">
        <f t="shared" si="366"/>
        <v>0.10504421052631577</v>
      </c>
      <c r="V237" s="221">
        <f t="shared" si="367"/>
        <v>0.24681440443213293</v>
      </c>
      <c r="W237" s="201">
        <f t="shared" si="368"/>
        <v>350</v>
      </c>
      <c r="X237" s="451">
        <f t="shared" si="369"/>
        <v>350</v>
      </c>
      <c r="Z237" s="221">
        <f t="shared" si="370"/>
        <v>3.0463363796697127</v>
      </c>
      <c r="AA237" s="177">
        <f t="shared" si="371"/>
        <v>2.004168670835337</v>
      </c>
      <c r="AB237" s="177">
        <f t="shared" si="372"/>
        <v>1.780733480446661</v>
      </c>
      <c r="AC237" s="177"/>
      <c r="AD237" s="177">
        <f t="shared" si="373"/>
        <v>0.53947368421052622</v>
      </c>
      <c r="AE237" s="555">
        <f t="shared" si="374"/>
        <v>474.71743010113033</v>
      </c>
      <c r="AF237" s="538">
        <f t="shared" si="375"/>
        <v>0.15482894736842101</v>
      </c>
      <c r="AH237" s="177">
        <f t="shared" si="376"/>
        <v>1.0141851056742199</v>
      </c>
      <c r="AI237" s="177">
        <f t="shared" si="377"/>
        <v>1.0141851056742199</v>
      </c>
      <c r="AJ237" s="177">
        <f t="shared" si="378"/>
        <v>1.3438408190179407</v>
      </c>
      <c r="AL237" s="555">
        <f t="shared" si="379"/>
        <v>210</v>
      </c>
      <c r="AM237" s="469">
        <f t="shared" si="380"/>
        <v>350</v>
      </c>
      <c r="AO237">
        <f t="shared" si="381"/>
        <v>210</v>
      </c>
      <c r="AP237">
        <f t="shared" si="382"/>
        <v>350</v>
      </c>
      <c r="AR237" s="5">
        <f t="shared" si="343"/>
        <v>2.8571428571428572</v>
      </c>
      <c r="AS237" s="5">
        <f t="shared" si="335"/>
        <v>0.28397182958878159</v>
      </c>
      <c r="AT237" s="5">
        <f t="shared" si="336"/>
        <v>2.5731710275540758</v>
      </c>
      <c r="AU237" s="177">
        <f t="shared" si="337"/>
        <v>9.9390140356073547E-2</v>
      </c>
      <c r="CI237" s="571">
        <f t="shared" si="383"/>
        <v>-50</v>
      </c>
    </row>
    <row r="238" spans="5:87" x14ac:dyDescent="0.2">
      <c r="E238" s="174">
        <v>22</v>
      </c>
      <c r="F238" s="221">
        <f t="shared" si="384"/>
        <v>0.22</v>
      </c>
      <c r="G238" s="221">
        <f t="shared" si="353"/>
        <v>4.4000000000000004E-2</v>
      </c>
      <c r="H238" s="221">
        <f t="shared" si="354"/>
        <v>1.1000000000000001</v>
      </c>
      <c r="I238" s="221">
        <f t="shared" si="355"/>
        <v>0.22000000000000003</v>
      </c>
      <c r="J238" s="551">
        <f t="shared" si="356"/>
        <v>25</v>
      </c>
      <c r="K238" s="451">
        <f t="shared" si="357"/>
        <v>10.64</v>
      </c>
      <c r="L238" s="451">
        <f t="shared" si="358"/>
        <v>35.64</v>
      </c>
      <c r="M238" s="451"/>
      <c r="N238" s="221">
        <f t="shared" si="359"/>
        <v>0.2985409652076319</v>
      </c>
      <c r="O238" s="176">
        <f t="shared" si="360"/>
        <v>11.475168350168351</v>
      </c>
      <c r="P238" s="176">
        <f t="shared" si="361"/>
        <v>2.7540404040404045</v>
      </c>
      <c r="Q238" s="221">
        <f t="shared" si="362"/>
        <v>2.2950336700336704</v>
      </c>
      <c r="R238" s="221">
        <f t="shared" si="363"/>
        <v>2.2950336700336704</v>
      </c>
      <c r="S238" s="221">
        <f t="shared" si="364"/>
        <v>5</v>
      </c>
      <c r="T238" s="221">
        <f t="shared" si="365"/>
        <v>0.39302255639097744</v>
      </c>
      <c r="U238" s="221">
        <f t="shared" si="366"/>
        <v>0.11004631578947369</v>
      </c>
      <c r="V238" s="221">
        <f t="shared" si="367"/>
        <v>0.25856747130985352</v>
      </c>
      <c r="W238" s="201">
        <f t="shared" si="368"/>
        <v>350</v>
      </c>
      <c r="X238" s="451">
        <f t="shared" si="369"/>
        <v>350</v>
      </c>
      <c r="Z238" s="221">
        <f t="shared" si="370"/>
        <v>3.0463363796697127</v>
      </c>
      <c r="AA238" s="177">
        <f t="shared" si="371"/>
        <v>2.004168670835337</v>
      </c>
      <c r="AB238" s="177">
        <f t="shared" si="372"/>
        <v>1.780733480446661</v>
      </c>
      <c r="AC238" s="177"/>
      <c r="AD238" s="177">
        <f t="shared" si="373"/>
        <v>0.53947368421052622</v>
      </c>
      <c r="AE238" s="555">
        <f t="shared" si="374"/>
        <v>497.32302201070797</v>
      </c>
      <c r="AF238" s="538">
        <f t="shared" si="375"/>
        <v>0.15482894736842101</v>
      </c>
      <c r="AH238" s="177">
        <f t="shared" si="376"/>
        <v>1.0380515499762828</v>
      </c>
      <c r="AI238" s="177">
        <f t="shared" si="377"/>
        <v>1.0380515499762828</v>
      </c>
      <c r="AJ238" s="177">
        <f t="shared" si="378"/>
        <v>1.3615196666490983</v>
      </c>
      <c r="AL238" s="555">
        <f t="shared" si="379"/>
        <v>220</v>
      </c>
      <c r="AM238" s="469">
        <f t="shared" si="380"/>
        <v>350</v>
      </c>
      <c r="AO238">
        <f t="shared" si="381"/>
        <v>220</v>
      </c>
      <c r="AP238">
        <f t="shared" si="382"/>
        <v>350</v>
      </c>
      <c r="AR238" s="5">
        <f t="shared" si="343"/>
        <v>2.8571428571428572</v>
      </c>
      <c r="AS238" s="5">
        <f t="shared" si="335"/>
        <v>0.29065443399335916</v>
      </c>
      <c r="AT238" s="5">
        <f t="shared" si="336"/>
        <v>2.5664884231494982</v>
      </c>
      <c r="AU238" s="177">
        <f t="shared" si="337"/>
        <v>0.1017290518976757</v>
      </c>
      <c r="CI238" s="571">
        <f t="shared" si="383"/>
        <v>-50</v>
      </c>
    </row>
    <row r="239" spans="5:87" x14ac:dyDescent="0.2">
      <c r="E239" s="174">
        <v>23</v>
      </c>
      <c r="F239" s="221">
        <f t="shared" si="384"/>
        <v>0.23</v>
      </c>
      <c r="G239" s="221">
        <f t="shared" si="353"/>
        <v>4.6000000000000006E-2</v>
      </c>
      <c r="H239" s="221">
        <f t="shared" si="354"/>
        <v>1.1500000000000001</v>
      </c>
      <c r="I239" s="221">
        <f t="shared" si="355"/>
        <v>0.23000000000000004</v>
      </c>
      <c r="J239" s="551">
        <f t="shared" si="356"/>
        <v>25</v>
      </c>
      <c r="K239" s="451">
        <f t="shared" si="357"/>
        <v>10.64</v>
      </c>
      <c r="L239" s="451">
        <f t="shared" si="358"/>
        <v>35.64</v>
      </c>
      <c r="M239" s="451"/>
      <c r="N239" s="221">
        <f t="shared" si="359"/>
        <v>0.2985409652076319</v>
      </c>
      <c r="O239" s="176">
        <f t="shared" si="360"/>
        <v>11.475168350168351</v>
      </c>
      <c r="P239" s="176">
        <f t="shared" si="361"/>
        <v>2.7540404040404045</v>
      </c>
      <c r="Q239" s="221">
        <f t="shared" si="362"/>
        <v>2.2950336700336704</v>
      </c>
      <c r="R239" s="221">
        <f t="shared" si="363"/>
        <v>2.2950336700336704</v>
      </c>
      <c r="S239" s="221">
        <f t="shared" si="364"/>
        <v>5</v>
      </c>
      <c r="T239" s="221">
        <f t="shared" si="365"/>
        <v>0.41088721804511275</v>
      </c>
      <c r="U239" s="221">
        <f t="shared" si="366"/>
        <v>0.11504842105263156</v>
      </c>
      <c r="V239" s="221">
        <f t="shared" si="367"/>
        <v>0.27032053818757418</v>
      </c>
      <c r="W239" s="201">
        <f t="shared" si="368"/>
        <v>350</v>
      </c>
      <c r="X239" s="451">
        <f t="shared" si="369"/>
        <v>350</v>
      </c>
      <c r="Z239" s="221">
        <f t="shared" si="370"/>
        <v>3.0463363796697127</v>
      </c>
      <c r="AA239" s="177">
        <f t="shared" si="371"/>
        <v>2.004168670835337</v>
      </c>
      <c r="AB239" s="177">
        <f t="shared" si="372"/>
        <v>1.780733480446661</v>
      </c>
      <c r="AC239" s="177"/>
      <c r="AD239" s="177">
        <f t="shared" si="373"/>
        <v>0.53947368421052622</v>
      </c>
      <c r="AE239" s="555">
        <f t="shared" si="374"/>
        <v>519.92861392028567</v>
      </c>
      <c r="AF239" s="538">
        <f t="shared" si="375"/>
        <v>0.15482894736842101</v>
      </c>
      <c r="AH239" s="177">
        <f t="shared" si="376"/>
        <v>1.0613814640575263</v>
      </c>
      <c r="AI239" s="177">
        <f t="shared" si="377"/>
        <v>1.0613814640575263</v>
      </c>
      <c r="AJ239" s="177">
        <f t="shared" si="378"/>
        <v>1.3788010844870566</v>
      </c>
      <c r="AL239" s="555">
        <f t="shared" si="379"/>
        <v>230</v>
      </c>
      <c r="AM239" s="469">
        <f t="shared" si="380"/>
        <v>350</v>
      </c>
      <c r="AO239">
        <f t="shared" si="381"/>
        <v>230</v>
      </c>
      <c r="AP239">
        <f t="shared" si="382"/>
        <v>350</v>
      </c>
      <c r="AR239" s="5">
        <f t="shared" si="343"/>
        <v>2.8571428571428572</v>
      </c>
      <c r="AS239" s="5">
        <f t="shared" si="335"/>
        <v>0.29718680993610735</v>
      </c>
      <c r="AT239" s="5">
        <f t="shared" si="336"/>
        <v>2.5599560472067497</v>
      </c>
      <c r="AU239" s="177">
        <f t="shared" si="337"/>
        <v>0.10401538347763757</v>
      </c>
      <c r="CI239" s="571">
        <f t="shared" si="383"/>
        <v>-50</v>
      </c>
    </row>
    <row r="240" spans="5:87" x14ac:dyDescent="0.2">
      <c r="E240" s="174">
        <v>24</v>
      </c>
      <c r="F240" s="221">
        <f t="shared" si="384"/>
        <v>0.24</v>
      </c>
      <c r="G240" s="221">
        <f t="shared" si="353"/>
        <v>4.8000000000000001E-2</v>
      </c>
      <c r="H240" s="221">
        <f t="shared" si="354"/>
        <v>1.2</v>
      </c>
      <c r="I240" s="221">
        <f t="shared" si="355"/>
        <v>0.24</v>
      </c>
      <c r="J240" s="551">
        <f t="shared" si="356"/>
        <v>25</v>
      </c>
      <c r="K240" s="451">
        <f t="shared" si="357"/>
        <v>10.64</v>
      </c>
      <c r="L240" s="451">
        <f t="shared" si="358"/>
        <v>35.64</v>
      </c>
      <c r="M240" s="451"/>
      <c r="N240" s="221">
        <f t="shared" si="359"/>
        <v>0.2985409652076319</v>
      </c>
      <c r="O240" s="176">
        <f t="shared" si="360"/>
        <v>11.475168350168351</v>
      </c>
      <c r="P240" s="176">
        <f t="shared" si="361"/>
        <v>2.7540404040404045</v>
      </c>
      <c r="Q240" s="221">
        <f t="shared" si="362"/>
        <v>2.2950336700336704</v>
      </c>
      <c r="R240" s="221">
        <f t="shared" si="363"/>
        <v>2.2950336700336704</v>
      </c>
      <c r="S240" s="221">
        <f t="shared" si="364"/>
        <v>5</v>
      </c>
      <c r="T240" s="221">
        <f t="shared" si="365"/>
        <v>0.42875187969924805</v>
      </c>
      <c r="U240" s="221">
        <f t="shared" si="366"/>
        <v>0.12005052631578944</v>
      </c>
      <c r="V240" s="221">
        <f t="shared" si="367"/>
        <v>0.28207360506529472</v>
      </c>
      <c r="W240" s="201">
        <f t="shared" si="368"/>
        <v>350</v>
      </c>
      <c r="X240" s="451">
        <f t="shared" si="369"/>
        <v>350</v>
      </c>
      <c r="Z240" s="221">
        <f t="shared" si="370"/>
        <v>3.0463363796697127</v>
      </c>
      <c r="AA240" s="177">
        <f t="shared" si="371"/>
        <v>2.004168670835337</v>
      </c>
      <c r="AB240" s="177">
        <f t="shared" si="372"/>
        <v>1.780733480446661</v>
      </c>
      <c r="AC240" s="177"/>
      <c r="AD240" s="177">
        <f t="shared" si="373"/>
        <v>0.53947368421052622</v>
      </c>
      <c r="AE240" s="555">
        <f t="shared" si="374"/>
        <v>542.53420582986325</v>
      </c>
      <c r="AF240" s="538">
        <f t="shared" si="375"/>
        <v>0.15482894736842101</v>
      </c>
      <c r="AH240" s="177">
        <f t="shared" si="376"/>
        <v>1.0842094834863014</v>
      </c>
      <c r="AI240" s="177">
        <f t="shared" si="377"/>
        <v>1.0842094834863014</v>
      </c>
      <c r="AJ240" s="177">
        <f t="shared" si="378"/>
        <v>1.3957107285083714</v>
      </c>
      <c r="AL240" s="555">
        <f t="shared" si="379"/>
        <v>240</v>
      </c>
      <c r="AM240" s="469">
        <f t="shared" si="380"/>
        <v>350</v>
      </c>
      <c r="AO240">
        <f t="shared" si="381"/>
        <v>240</v>
      </c>
      <c r="AP240">
        <f t="shared" si="382"/>
        <v>350</v>
      </c>
      <c r="AR240" s="5">
        <f t="shared" si="343"/>
        <v>2.8571428571428572</v>
      </c>
      <c r="AS240" s="5">
        <f t="shared" si="335"/>
        <v>0.30357865537616441</v>
      </c>
      <c r="AT240" s="5">
        <f t="shared" si="336"/>
        <v>2.5535642017666929</v>
      </c>
      <c r="AU240" s="177">
        <f t="shared" si="337"/>
        <v>0.10625252938165754</v>
      </c>
      <c r="CI240" s="571">
        <f t="shared" si="383"/>
        <v>-50</v>
      </c>
    </row>
    <row r="241" spans="5:87" x14ac:dyDescent="0.2">
      <c r="E241" s="174">
        <v>25</v>
      </c>
      <c r="F241" s="221">
        <f t="shared" si="384"/>
        <v>0.25</v>
      </c>
      <c r="G241" s="221">
        <f t="shared" si="353"/>
        <v>0.05</v>
      </c>
      <c r="H241" s="221">
        <f t="shared" si="354"/>
        <v>1.25</v>
      </c>
      <c r="I241" s="221">
        <f t="shared" si="355"/>
        <v>0.25</v>
      </c>
      <c r="J241" s="551">
        <f t="shared" si="356"/>
        <v>25</v>
      </c>
      <c r="K241" s="451">
        <f t="shared" si="357"/>
        <v>10.64</v>
      </c>
      <c r="L241" s="451">
        <f t="shared" si="358"/>
        <v>35.64</v>
      </c>
      <c r="M241" s="451"/>
      <c r="N241" s="221">
        <f t="shared" si="359"/>
        <v>0.2985409652076319</v>
      </c>
      <c r="O241" s="176">
        <f t="shared" si="360"/>
        <v>11.475168350168351</v>
      </c>
      <c r="P241" s="176">
        <f t="shared" si="361"/>
        <v>2.7540404040404045</v>
      </c>
      <c r="Q241" s="221">
        <f t="shared" si="362"/>
        <v>2.2950336700336704</v>
      </c>
      <c r="R241" s="221">
        <f t="shared" si="363"/>
        <v>2.2950336700336704</v>
      </c>
      <c r="S241" s="221">
        <f t="shared" si="364"/>
        <v>5</v>
      </c>
      <c r="T241" s="221">
        <f t="shared" si="365"/>
        <v>0.44661654135338341</v>
      </c>
      <c r="U241" s="221">
        <f t="shared" si="366"/>
        <v>0.12505263157894736</v>
      </c>
      <c r="V241" s="221">
        <f t="shared" si="367"/>
        <v>0.29382667194301537</v>
      </c>
      <c r="W241" s="201">
        <f t="shared" si="368"/>
        <v>350</v>
      </c>
      <c r="X241" s="451">
        <f t="shared" si="369"/>
        <v>350</v>
      </c>
      <c r="Z241" s="221">
        <f t="shared" si="370"/>
        <v>3.0463363796697127</v>
      </c>
      <c r="AA241" s="177">
        <f t="shared" si="371"/>
        <v>2.004168670835337</v>
      </c>
      <c r="AB241" s="177">
        <f t="shared" si="372"/>
        <v>1.780733480446661</v>
      </c>
      <c r="AC241" s="177"/>
      <c r="AD241" s="177">
        <f t="shared" si="373"/>
        <v>0.53947368421052622</v>
      </c>
      <c r="AE241" s="555">
        <f t="shared" si="374"/>
        <v>565.13979773944095</v>
      </c>
      <c r="AF241" s="538">
        <f t="shared" si="375"/>
        <v>0.15482894736842101</v>
      </c>
      <c r="AH241" s="177">
        <f t="shared" si="376"/>
        <v>1.1065666703449761</v>
      </c>
      <c r="AI241" s="177">
        <f t="shared" si="377"/>
        <v>1.1065666703449761</v>
      </c>
      <c r="AJ241" s="177">
        <f t="shared" si="378"/>
        <v>1.4122716076629453</v>
      </c>
      <c r="AL241" s="555">
        <f t="shared" si="379"/>
        <v>250</v>
      </c>
      <c r="AM241" s="469">
        <f t="shared" si="380"/>
        <v>350</v>
      </c>
      <c r="AO241">
        <f t="shared" si="381"/>
        <v>250</v>
      </c>
      <c r="AP241">
        <f t="shared" si="382"/>
        <v>350</v>
      </c>
      <c r="AR241" s="5">
        <f t="shared" si="343"/>
        <v>2.8571428571428572</v>
      </c>
      <c r="AS241" s="5">
        <f t="shared" si="335"/>
        <v>0.30983866769659335</v>
      </c>
      <c r="AT241" s="5">
        <f t="shared" si="336"/>
        <v>2.547304189446264</v>
      </c>
      <c r="AU241" s="177">
        <f t="shared" si="337"/>
        <v>0.10844353369380767</v>
      </c>
      <c r="CI241" s="571">
        <f t="shared" si="383"/>
        <v>-50</v>
      </c>
    </row>
    <row r="242" spans="5:87" x14ac:dyDescent="0.2">
      <c r="E242" s="174">
        <v>26</v>
      </c>
      <c r="F242" s="221">
        <f t="shared" si="384"/>
        <v>0.26</v>
      </c>
      <c r="G242" s="221">
        <f t="shared" si="353"/>
        <v>5.2000000000000005E-2</v>
      </c>
      <c r="H242" s="221">
        <f t="shared" si="354"/>
        <v>1.3</v>
      </c>
      <c r="I242" s="221">
        <f t="shared" si="355"/>
        <v>0.26</v>
      </c>
      <c r="J242" s="551">
        <f t="shared" si="356"/>
        <v>25</v>
      </c>
      <c r="K242" s="451">
        <f t="shared" si="357"/>
        <v>10.64</v>
      </c>
      <c r="L242" s="451">
        <f t="shared" si="358"/>
        <v>35.64</v>
      </c>
      <c r="M242" s="451"/>
      <c r="N242" s="221">
        <f t="shared" si="359"/>
        <v>0.2985409652076319</v>
      </c>
      <c r="O242" s="176">
        <f t="shared" si="360"/>
        <v>11.475168350168351</v>
      </c>
      <c r="P242" s="176">
        <f t="shared" si="361"/>
        <v>2.7540404040404045</v>
      </c>
      <c r="Q242" s="221">
        <f t="shared" si="362"/>
        <v>2.2950336700336704</v>
      </c>
      <c r="R242" s="221">
        <f t="shared" si="363"/>
        <v>2.2950336700336704</v>
      </c>
      <c r="S242" s="221">
        <f t="shared" si="364"/>
        <v>5</v>
      </c>
      <c r="T242" s="221">
        <f t="shared" si="365"/>
        <v>0.46448120300751877</v>
      </c>
      <c r="U242" s="221">
        <f t="shared" si="366"/>
        <v>0.13005473684210525</v>
      </c>
      <c r="V242" s="221">
        <f t="shared" si="367"/>
        <v>0.30557973882073597</v>
      </c>
      <c r="W242" s="201">
        <f t="shared" si="368"/>
        <v>350</v>
      </c>
      <c r="X242" s="451">
        <f t="shared" si="369"/>
        <v>350</v>
      </c>
      <c r="Z242" s="221">
        <f t="shared" si="370"/>
        <v>3.0463363796697127</v>
      </c>
      <c r="AA242" s="177">
        <f t="shared" si="371"/>
        <v>2.004168670835337</v>
      </c>
      <c r="AB242" s="177">
        <f t="shared" si="372"/>
        <v>1.780733480446661</v>
      </c>
      <c r="AC242" s="177"/>
      <c r="AD242" s="177">
        <f t="shared" si="373"/>
        <v>0.53947368421052622</v>
      </c>
      <c r="AE242" s="555">
        <f t="shared" si="374"/>
        <v>587.74538964901853</v>
      </c>
      <c r="AF242" s="538">
        <f t="shared" si="375"/>
        <v>0.15482894736842101</v>
      </c>
      <c r="AH242" s="177">
        <f t="shared" si="376"/>
        <v>1.1284810090360857</v>
      </c>
      <c r="AI242" s="177">
        <f t="shared" si="377"/>
        <v>1.1284810090360857</v>
      </c>
      <c r="AJ242" s="177">
        <f t="shared" si="378"/>
        <v>1.4285044511378413</v>
      </c>
      <c r="AL242" s="555">
        <f t="shared" si="379"/>
        <v>260</v>
      </c>
      <c r="AM242" s="469">
        <f t="shared" si="380"/>
        <v>350</v>
      </c>
      <c r="AO242">
        <f t="shared" si="381"/>
        <v>260</v>
      </c>
      <c r="AP242">
        <f t="shared" si="382"/>
        <v>350</v>
      </c>
      <c r="AR242" s="5">
        <f t="shared" si="343"/>
        <v>2.8571428571428572</v>
      </c>
      <c r="AS242" s="5">
        <f t="shared" si="335"/>
        <v>0.31597468253010397</v>
      </c>
      <c r="AT242" s="5">
        <f t="shared" si="336"/>
        <v>2.5411681746127535</v>
      </c>
      <c r="AU242" s="177">
        <f t="shared" si="337"/>
        <v>0.11059113888553639</v>
      </c>
      <c r="CI242" s="571">
        <f t="shared" si="383"/>
        <v>-50</v>
      </c>
    </row>
    <row r="243" spans="5:87" x14ac:dyDescent="0.2">
      <c r="E243" s="174">
        <v>27</v>
      </c>
      <c r="F243" s="221">
        <f t="shared" si="384"/>
        <v>0.27</v>
      </c>
      <c r="G243" s="221">
        <f t="shared" si="353"/>
        <v>5.4000000000000006E-2</v>
      </c>
      <c r="H243" s="221">
        <f t="shared" si="354"/>
        <v>1.35</v>
      </c>
      <c r="I243" s="221">
        <f t="shared" si="355"/>
        <v>0.27</v>
      </c>
      <c r="J243" s="551">
        <f t="shared" si="356"/>
        <v>25</v>
      </c>
      <c r="K243" s="451">
        <f t="shared" si="357"/>
        <v>10.64</v>
      </c>
      <c r="L243" s="451">
        <f t="shared" si="358"/>
        <v>35.64</v>
      </c>
      <c r="M243" s="451"/>
      <c r="N243" s="221">
        <f t="shared" si="359"/>
        <v>0.2985409652076319</v>
      </c>
      <c r="O243" s="176">
        <f t="shared" si="360"/>
        <v>11.475168350168351</v>
      </c>
      <c r="P243" s="176">
        <f t="shared" si="361"/>
        <v>2.7540404040404045</v>
      </c>
      <c r="Q243" s="221">
        <f t="shared" si="362"/>
        <v>2.2950336700336704</v>
      </c>
      <c r="R243" s="221">
        <f t="shared" si="363"/>
        <v>2.2950336700336704</v>
      </c>
      <c r="S243" s="221">
        <f t="shared" si="364"/>
        <v>5</v>
      </c>
      <c r="T243" s="221">
        <f t="shared" si="365"/>
        <v>0.48234586466165413</v>
      </c>
      <c r="U243" s="221">
        <f t="shared" si="366"/>
        <v>0.13505684210526314</v>
      </c>
      <c r="V243" s="221">
        <f t="shared" si="367"/>
        <v>0.31733280569845668</v>
      </c>
      <c r="W243" s="201">
        <f t="shared" si="368"/>
        <v>350</v>
      </c>
      <c r="X243" s="451">
        <f t="shared" si="369"/>
        <v>350</v>
      </c>
      <c r="Z243" s="221">
        <f t="shared" si="370"/>
        <v>3.0463363796697127</v>
      </c>
      <c r="AA243" s="177">
        <f t="shared" si="371"/>
        <v>2.004168670835337</v>
      </c>
      <c r="AB243" s="177">
        <f t="shared" si="372"/>
        <v>1.780733480446661</v>
      </c>
      <c r="AC243" s="177"/>
      <c r="AD243" s="177">
        <f t="shared" si="373"/>
        <v>0.53947368421052622</v>
      </c>
      <c r="AE243" s="555">
        <f t="shared" si="374"/>
        <v>610.35098155859623</v>
      </c>
      <c r="AF243" s="538">
        <f t="shared" si="375"/>
        <v>0.15482894736842101</v>
      </c>
      <c r="AH243" s="177">
        <f t="shared" si="376"/>
        <v>1.149977816999892</v>
      </c>
      <c r="AI243" s="177">
        <f t="shared" si="377"/>
        <v>1.149977816999892</v>
      </c>
      <c r="AJ243" s="177">
        <f t="shared" si="378"/>
        <v>1.4444280125925126</v>
      </c>
      <c r="AL243" s="555">
        <f t="shared" si="379"/>
        <v>270</v>
      </c>
      <c r="AM243" s="469">
        <f t="shared" si="380"/>
        <v>350</v>
      </c>
      <c r="AO243">
        <f t="shared" si="381"/>
        <v>270</v>
      </c>
      <c r="AP243">
        <f t="shared" si="382"/>
        <v>350</v>
      </c>
      <c r="AR243" s="5">
        <f t="shared" si="343"/>
        <v>2.8571428571428572</v>
      </c>
      <c r="AS243" s="5">
        <f t="shared" ref="AS243:AS306" si="385">L*AI243/J243*1000000</f>
        <v>0.32199378875996976</v>
      </c>
      <c r="AT243" s="5">
        <f t="shared" ref="AT243:AT306" si="386">AR243-AS243</f>
        <v>2.5351490683828874</v>
      </c>
      <c r="AU243" s="177">
        <f t="shared" ref="AU243:AU306" si="387">AS243/AR243</f>
        <v>0.11269782606598941</v>
      </c>
      <c r="CI243" s="571">
        <f t="shared" si="383"/>
        <v>-50</v>
      </c>
    </row>
    <row r="244" spans="5:87" x14ac:dyDescent="0.2">
      <c r="E244" s="174">
        <v>28</v>
      </c>
      <c r="F244" s="221">
        <f t="shared" si="384"/>
        <v>0.28000000000000003</v>
      </c>
      <c r="G244" s="221">
        <f t="shared" si="353"/>
        <v>5.6000000000000008E-2</v>
      </c>
      <c r="H244" s="221">
        <f t="shared" si="354"/>
        <v>1.4000000000000001</v>
      </c>
      <c r="I244" s="221">
        <f t="shared" si="355"/>
        <v>0.28000000000000003</v>
      </c>
      <c r="J244" s="551">
        <f t="shared" si="356"/>
        <v>25</v>
      </c>
      <c r="K244" s="451">
        <f t="shared" si="357"/>
        <v>10.64</v>
      </c>
      <c r="L244" s="451">
        <f t="shared" si="358"/>
        <v>35.64</v>
      </c>
      <c r="M244" s="451"/>
      <c r="N244" s="221">
        <f t="shared" si="359"/>
        <v>0.2985409652076319</v>
      </c>
      <c r="O244" s="176">
        <f t="shared" si="360"/>
        <v>11.475168350168351</v>
      </c>
      <c r="P244" s="176">
        <f t="shared" si="361"/>
        <v>2.7540404040404045</v>
      </c>
      <c r="Q244" s="221">
        <f t="shared" si="362"/>
        <v>2.2950336700336704</v>
      </c>
      <c r="R244" s="221">
        <f t="shared" si="363"/>
        <v>2.2950336700336704</v>
      </c>
      <c r="S244" s="221">
        <f t="shared" si="364"/>
        <v>5</v>
      </c>
      <c r="T244" s="221">
        <f t="shared" si="365"/>
        <v>0.50021052631578944</v>
      </c>
      <c r="U244" s="221">
        <f t="shared" si="366"/>
        <v>0.14005894736842106</v>
      </c>
      <c r="V244" s="221">
        <f t="shared" si="367"/>
        <v>0.32908587257617722</v>
      </c>
      <c r="W244" s="201">
        <f t="shared" si="368"/>
        <v>350</v>
      </c>
      <c r="X244" s="451">
        <f t="shared" si="369"/>
        <v>350</v>
      </c>
      <c r="Z244" s="221">
        <f t="shared" si="370"/>
        <v>3.0463363796697127</v>
      </c>
      <c r="AA244" s="177">
        <f t="shared" si="371"/>
        <v>2.004168670835337</v>
      </c>
      <c r="AB244" s="177">
        <f t="shared" si="372"/>
        <v>1.780733480446661</v>
      </c>
      <c r="AC244" s="177"/>
      <c r="AD244" s="177">
        <f t="shared" si="373"/>
        <v>0.53947368421052622</v>
      </c>
      <c r="AE244" s="555">
        <f t="shared" si="374"/>
        <v>632.95657346817381</v>
      </c>
      <c r="AF244" s="538">
        <f t="shared" si="375"/>
        <v>0.15482894736842101</v>
      </c>
      <c r="AH244" s="177">
        <f t="shared" si="376"/>
        <v>1.1710800875382399</v>
      </c>
      <c r="AI244" s="177">
        <f t="shared" si="377"/>
        <v>1.1710800875382399</v>
      </c>
      <c r="AJ244" s="177">
        <f t="shared" si="378"/>
        <v>1.4600593241023998</v>
      </c>
      <c r="AL244" s="555">
        <f t="shared" si="379"/>
        <v>280</v>
      </c>
      <c r="AM244" s="469">
        <f t="shared" si="380"/>
        <v>350</v>
      </c>
      <c r="AO244">
        <f t="shared" si="381"/>
        <v>280</v>
      </c>
      <c r="AP244">
        <f t="shared" si="382"/>
        <v>350</v>
      </c>
      <c r="AR244" s="5">
        <f t="shared" si="343"/>
        <v>2.8571428571428572</v>
      </c>
      <c r="AS244" s="5">
        <f t="shared" si="385"/>
        <v>0.32790242451070717</v>
      </c>
      <c r="AT244" s="5">
        <f t="shared" si="386"/>
        <v>2.5292404326321503</v>
      </c>
      <c r="AU244" s="177">
        <f t="shared" si="387"/>
        <v>0.11476584857874751</v>
      </c>
      <c r="CI244" s="571">
        <f t="shared" si="383"/>
        <v>-50</v>
      </c>
    </row>
    <row r="245" spans="5:87" x14ac:dyDescent="0.2">
      <c r="E245" s="174">
        <v>29</v>
      </c>
      <c r="F245" s="221">
        <f t="shared" si="384"/>
        <v>0.28999999999999998</v>
      </c>
      <c r="G245" s="221">
        <f t="shared" si="353"/>
        <v>5.7999999999999996E-2</v>
      </c>
      <c r="H245" s="221">
        <f t="shared" si="354"/>
        <v>1.45</v>
      </c>
      <c r="I245" s="221">
        <f t="shared" si="355"/>
        <v>0.28999999999999998</v>
      </c>
      <c r="J245" s="551">
        <f t="shared" si="356"/>
        <v>25</v>
      </c>
      <c r="K245" s="451">
        <f t="shared" si="357"/>
        <v>10.64</v>
      </c>
      <c r="L245" s="451">
        <f t="shared" si="358"/>
        <v>35.64</v>
      </c>
      <c r="M245" s="451"/>
      <c r="N245" s="221">
        <f t="shared" si="359"/>
        <v>0.2985409652076319</v>
      </c>
      <c r="O245" s="176">
        <f t="shared" si="360"/>
        <v>11.475168350168351</v>
      </c>
      <c r="P245" s="176">
        <f t="shared" si="361"/>
        <v>2.7540404040404045</v>
      </c>
      <c r="Q245" s="221">
        <f t="shared" si="362"/>
        <v>2.2950336700336704</v>
      </c>
      <c r="R245" s="221">
        <f t="shared" si="363"/>
        <v>2.2950336700336704</v>
      </c>
      <c r="S245" s="221">
        <f t="shared" si="364"/>
        <v>5</v>
      </c>
      <c r="T245" s="221">
        <f t="shared" si="365"/>
        <v>0.5180751879699248</v>
      </c>
      <c r="U245" s="221">
        <f t="shared" si="366"/>
        <v>0.14506105263157892</v>
      </c>
      <c r="V245" s="221">
        <f t="shared" si="367"/>
        <v>0.34083893945389782</v>
      </c>
      <c r="W245" s="201">
        <f t="shared" si="368"/>
        <v>350</v>
      </c>
      <c r="X245" s="451">
        <f t="shared" si="369"/>
        <v>350</v>
      </c>
      <c r="Z245" s="221">
        <f t="shared" si="370"/>
        <v>3.0463363796697127</v>
      </c>
      <c r="AA245" s="177">
        <f t="shared" si="371"/>
        <v>2.004168670835337</v>
      </c>
      <c r="AB245" s="177">
        <f t="shared" si="372"/>
        <v>1.780733480446661</v>
      </c>
      <c r="AC245" s="177"/>
      <c r="AD245" s="177">
        <f t="shared" si="373"/>
        <v>0.53947368421052622</v>
      </c>
      <c r="AE245" s="555">
        <f t="shared" si="374"/>
        <v>655.56216537775151</v>
      </c>
      <c r="AF245" s="538">
        <f t="shared" si="375"/>
        <v>0.15482894736842101</v>
      </c>
      <c r="AH245" s="177">
        <f t="shared" si="376"/>
        <v>1.1918087779779549</v>
      </c>
      <c r="AI245" s="177">
        <f t="shared" si="377"/>
        <v>1.1918087779779549</v>
      </c>
      <c r="AJ245" s="177">
        <f t="shared" si="378"/>
        <v>1.4754139096132999</v>
      </c>
      <c r="AL245" s="555">
        <f t="shared" si="379"/>
        <v>290</v>
      </c>
      <c r="AM245" s="469">
        <f t="shared" si="380"/>
        <v>350</v>
      </c>
      <c r="AO245">
        <f t="shared" si="381"/>
        <v>290</v>
      </c>
      <c r="AP245">
        <f t="shared" si="382"/>
        <v>350</v>
      </c>
      <c r="AR245" s="5">
        <f t="shared" si="343"/>
        <v>2.8571428571428572</v>
      </c>
      <c r="AS245" s="5">
        <f t="shared" si="385"/>
        <v>0.33370645783382741</v>
      </c>
      <c r="AT245" s="5">
        <f t="shared" si="386"/>
        <v>2.5234363993090296</v>
      </c>
      <c r="AU245" s="177">
        <f t="shared" si="387"/>
        <v>0.11679726024183959</v>
      </c>
      <c r="CI245" s="571">
        <f t="shared" si="383"/>
        <v>-50</v>
      </c>
    </row>
    <row r="246" spans="5:87" x14ac:dyDescent="0.2">
      <c r="E246" s="174">
        <v>30</v>
      </c>
      <c r="F246" s="221">
        <f t="shared" si="384"/>
        <v>0.3</v>
      </c>
      <c r="G246" s="221">
        <f t="shared" si="353"/>
        <v>0.06</v>
      </c>
      <c r="H246" s="221">
        <f t="shared" si="354"/>
        <v>1.5</v>
      </c>
      <c r="I246" s="221">
        <f t="shared" si="355"/>
        <v>0.3</v>
      </c>
      <c r="J246" s="551">
        <f t="shared" si="356"/>
        <v>25</v>
      </c>
      <c r="K246" s="451">
        <f t="shared" si="357"/>
        <v>10.64</v>
      </c>
      <c r="L246" s="451">
        <f t="shared" si="358"/>
        <v>35.64</v>
      </c>
      <c r="M246" s="451"/>
      <c r="N246" s="221">
        <f t="shared" si="359"/>
        <v>0.2985409652076319</v>
      </c>
      <c r="O246" s="176">
        <f t="shared" si="360"/>
        <v>11.475168350168351</v>
      </c>
      <c r="P246" s="176">
        <f t="shared" si="361"/>
        <v>2.7540404040404045</v>
      </c>
      <c r="Q246" s="221">
        <f t="shared" si="362"/>
        <v>2.2950336700336704</v>
      </c>
      <c r="R246" s="221">
        <f t="shared" si="363"/>
        <v>2.2950336700336704</v>
      </c>
      <c r="S246" s="221">
        <f t="shared" si="364"/>
        <v>5</v>
      </c>
      <c r="T246" s="221">
        <f t="shared" si="365"/>
        <v>0.53593984962406005</v>
      </c>
      <c r="U246" s="221">
        <f t="shared" si="366"/>
        <v>0.15006315789473681</v>
      </c>
      <c r="V246" s="221">
        <f t="shared" si="367"/>
        <v>0.35259200633161841</v>
      </c>
      <c r="W246" s="201">
        <f t="shared" si="368"/>
        <v>350</v>
      </c>
      <c r="X246" s="451">
        <f t="shared" si="369"/>
        <v>350</v>
      </c>
      <c r="Z246" s="221">
        <f t="shared" si="370"/>
        <v>3.0463363796697127</v>
      </c>
      <c r="AA246" s="177">
        <f t="shared" si="371"/>
        <v>2.004168670835337</v>
      </c>
      <c r="AB246" s="177">
        <f t="shared" si="372"/>
        <v>1.780733480446661</v>
      </c>
      <c r="AC246" s="177"/>
      <c r="AD246" s="177">
        <f t="shared" si="373"/>
        <v>0.53947368421052622</v>
      </c>
      <c r="AE246" s="555">
        <f t="shared" si="374"/>
        <v>678.1677572873291</v>
      </c>
      <c r="AF246" s="538">
        <f t="shared" si="375"/>
        <v>0.15482894736842101</v>
      </c>
      <c r="AH246" s="177">
        <f t="shared" si="376"/>
        <v>1.2121830534626528</v>
      </c>
      <c r="AI246" s="177">
        <f t="shared" si="377"/>
        <v>1.2121830534626528</v>
      </c>
      <c r="AJ246" s="177">
        <f t="shared" si="378"/>
        <v>1.4905059655278909</v>
      </c>
      <c r="AL246" s="555">
        <f t="shared" si="379"/>
        <v>300</v>
      </c>
      <c r="AM246" s="469">
        <f t="shared" si="380"/>
        <v>350</v>
      </c>
      <c r="AO246">
        <f t="shared" si="381"/>
        <v>300</v>
      </c>
      <c r="AP246">
        <f t="shared" si="382"/>
        <v>350</v>
      </c>
      <c r="AR246" s="5">
        <f t="shared" si="343"/>
        <v>2.8571428571428572</v>
      </c>
      <c r="AS246" s="5">
        <f t="shared" si="385"/>
        <v>0.33941125496954283</v>
      </c>
      <c r="AT246" s="5">
        <f t="shared" si="386"/>
        <v>2.5177316021733143</v>
      </c>
      <c r="AU246" s="177">
        <f t="shared" si="387"/>
        <v>0.11879393923933999</v>
      </c>
      <c r="CI246" s="571">
        <f t="shared" si="383"/>
        <v>-50</v>
      </c>
    </row>
    <row r="247" spans="5:87" x14ac:dyDescent="0.2">
      <c r="E247" s="174">
        <v>31</v>
      </c>
      <c r="F247" s="221">
        <f t="shared" si="384"/>
        <v>0.31</v>
      </c>
      <c r="G247" s="221">
        <f t="shared" si="353"/>
        <v>6.2E-2</v>
      </c>
      <c r="H247" s="221">
        <f t="shared" si="354"/>
        <v>1.55</v>
      </c>
      <c r="I247" s="221">
        <f t="shared" si="355"/>
        <v>0.31</v>
      </c>
      <c r="J247" s="551">
        <f t="shared" si="356"/>
        <v>25</v>
      </c>
      <c r="K247" s="451">
        <f t="shared" si="357"/>
        <v>10.64</v>
      </c>
      <c r="L247" s="451">
        <f t="shared" si="358"/>
        <v>35.64</v>
      </c>
      <c r="M247" s="451"/>
      <c r="N247" s="221">
        <f t="shared" si="359"/>
        <v>0.2985409652076319</v>
      </c>
      <c r="O247" s="176">
        <f t="shared" si="360"/>
        <v>11.475168350168351</v>
      </c>
      <c r="P247" s="176">
        <f t="shared" si="361"/>
        <v>2.7540404040404045</v>
      </c>
      <c r="Q247" s="221">
        <f t="shared" si="362"/>
        <v>2.2950336700336704</v>
      </c>
      <c r="R247" s="221">
        <f t="shared" si="363"/>
        <v>2.2950336700336704</v>
      </c>
      <c r="S247" s="221">
        <f t="shared" si="364"/>
        <v>5</v>
      </c>
      <c r="T247" s="221">
        <f t="shared" si="365"/>
        <v>0.55380451127819541</v>
      </c>
      <c r="U247" s="221">
        <f t="shared" si="366"/>
        <v>0.15506526315789471</v>
      </c>
      <c r="V247" s="221">
        <f t="shared" si="367"/>
        <v>0.36434507320933901</v>
      </c>
      <c r="W247" s="201">
        <f t="shared" si="368"/>
        <v>350</v>
      </c>
      <c r="X247" s="451">
        <f t="shared" si="369"/>
        <v>350</v>
      </c>
      <c r="Z247" s="221">
        <f t="shared" si="370"/>
        <v>3.0463363796697127</v>
      </c>
      <c r="AA247" s="177">
        <f t="shared" si="371"/>
        <v>2.004168670835337</v>
      </c>
      <c r="AB247" s="177">
        <f t="shared" si="372"/>
        <v>1.780733480446661</v>
      </c>
      <c r="AC247" s="177"/>
      <c r="AD247" s="177">
        <f t="shared" si="373"/>
        <v>0.53947368421052622</v>
      </c>
      <c r="AE247" s="555">
        <f t="shared" si="374"/>
        <v>700.77334919690668</v>
      </c>
      <c r="AF247" s="538">
        <f t="shared" si="375"/>
        <v>0.15482894736842101</v>
      </c>
      <c r="AH247" s="177">
        <f t="shared" si="376"/>
        <v>1.2322204944484472</v>
      </c>
      <c r="AI247" s="177">
        <f t="shared" si="377"/>
        <v>1.2322204944484472</v>
      </c>
      <c r="AJ247" s="177">
        <f t="shared" si="378"/>
        <v>1.5053485144062573</v>
      </c>
      <c r="AL247" s="555">
        <f t="shared" si="379"/>
        <v>310</v>
      </c>
      <c r="AM247" s="469">
        <f t="shared" si="380"/>
        <v>350</v>
      </c>
      <c r="AO247">
        <f t="shared" si="381"/>
        <v>310</v>
      </c>
      <c r="AP247">
        <f t="shared" si="382"/>
        <v>350</v>
      </c>
      <c r="AR247" s="5">
        <f t="shared" si="343"/>
        <v>2.8571428571428572</v>
      </c>
      <c r="AS247" s="5">
        <f t="shared" si="385"/>
        <v>0.34502173844556516</v>
      </c>
      <c r="AT247" s="5">
        <f t="shared" si="386"/>
        <v>2.512121118697292</v>
      </c>
      <c r="AU247" s="177">
        <f t="shared" si="387"/>
        <v>0.12075760845594781</v>
      </c>
      <c r="CI247" s="571">
        <f t="shared" si="383"/>
        <v>-50</v>
      </c>
    </row>
    <row r="248" spans="5:87" x14ac:dyDescent="0.2">
      <c r="E248" s="174">
        <v>32</v>
      </c>
      <c r="F248" s="221">
        <f t="shared" si="384"/>
        <v>0.32</v>
      </c>
      <c r="G248" s="221">
        <f t="shared" ref="G248:G279" si="388">IF(PLOT_TYPE=1, E248/100*Iout2, min_I*EXP(Q248*rr/100))</f>
        <v>6.4000000000000001E-2</v>
      </c>
      <c r="H248" s="221">
        <f t="shared" ref="H248:H279" si="389">F248*Vout</f>
        <v>1.6</v>
      </c>
      <c r="I248" s="221">
        <f t="shared" ref="I248:I279" si="390">Vout2*G248</f>
        <v>0.32</v>
      </c>
      <c r="J248" s="551">
        <f t="shared" si="356"/>
        <v>25</v>
      </c>
      <c r="K248" s="451">
        <f t="shared" si="357"/>
        <v>10.64</v>
      </c>
      <c r="L248" s="451">
        <f t="shared" si="358"/>
        <v>35.64</v>
      </c>
      <c r="M248" s="451"/>
      <c r="N248" s="221">
        <f t="shared" si="359"/>
        <v>0.2985409652076319</v>
      </c>
      <c r="O248" s="176">
        <f t="shared" ref="O248:O279" si="391">N248*J248*Isw_max*0.5*Efficiency*Pout/(Pout+Pout2)</f>
        <v>11.475168350168351</v>
      </c>
      <c r="P248" s="176">
        <f t="shared" ref="P248:P279" si="392">N248*J248*Isw_max*0.5*Efficiency*(Pout2/Pout_total)</f>
        <v>2.7540404040404045</v>
      </c>
      <c r="Q248" s="221">
        <f t="shared" si="362"/>
        <v>2.2950336700336704</v>
      </c>
      <c r="R248" s="221">
        <f t="shared" ref="R248:R279" si="393">O248/Vout2</f>
        <v>2.2950336700336704</v>
      </c>
      <c r="S248" s="221">
        <f t="shared" ref="S248:S279" si="394">MIN(Vout,O248/F248)</f>
        <v>5</v>
      </c>
      <c r="T248" s="221">
        <f t="shared" ref="T248:T279" si="395">MIN(2*(Vout*F248+Vout2*G248)/(Efficiency*J248*N248), Isw_max)</f>
        <v>0.57166917293233077</v>
      </c>
      <c r="U248" s="221">
        <f t="shared" si="366"/>
        <v>0.1600673684210526</v>
      </c>
      <c r="V248" s="221">
        <f t="shared" si="367"/>
        <v>0.37609814008705972</v>
      </c>
      <c r="W248" s="201">
        <f t="shared" si="368"/>
        <v>350</v>
      </c>
      <c r="X248" s="451">
        <f t="shared" si="369"/>
        <v>350</v>
      </c>
      <c r="Z248" s="221">
        <f t="shared" si="370"/>
        <v>3.0463363796697127</v>
      </c>
      <c r="AA248" s="177">
        <f t="shared" si="371"/>
        <v>2.004168670835337</v>
      </c>
      <c r="AB248" s="177">
        <f t="shared" ref="AB248:AB279" si="396">0.5*AA248*Z248*Nps*W248/1000*(Pout/(Pout+Pout2))</f>
        <v>1.780733480446661</v>
      </c>
      <c r="AC248" s="177"/>
      <c r="AD248" s="177">
        <f t="shared" si="373"/>
        <v>0.53947368421052622</v>
      </c>
      <c r="AE248" s="555">
        <f t="shared" ref="AE248:AE279" si="397">MAX(10, F248/(0.5*AD248/1000000*Isw_min*Nps)/1000*Pout_total/Pout)</f>
        <v>723.37894110648438</v>
      </c>
      <c r="AF248" s="538">
        <f t="shared" ref="AF248:AF279" si="398">0.5*AD248/1000000*Isw_min*Nps*W248*1000*(Pout/Pout_total)</f>
        <v>0.15482894736842101</v>
      </c>
      <c r="AH248" s="177">
        <f t="shared" ref="AH248:AH279" si="399">SQRT((H248+I248)/(0.5*L*Fsw_DCM))</f>
        <v>1.2519372742975226</v>
      </c>
      <c r="AI248" s="177">
        <f t="shared" ref="AI248:AI279" si="400">MAX(IF(F248&gt;AB248,T248,AH248),Isw_min)</f>
        <v>1.2519372742975226</v>
      </c>
      <c r="AJ248" s="177">
        <f t="shared" ref="AJ248:AJ279" si="401">IF(F248&gt;AF248, (AI248-Isw_min)/1.08*0.8+1.2, AE248*0.2/350+1)</f>
        <v>1.5199535365166834</v>
      </c>
      <c r="AL248" s="555">
        <f t="shared" ref="AL248:AL279" si="402">F248*1000</f>
        <v>320</v>
      </c>
      <c r="AM248" s="469">
        <f t="shared" ref="AM248:AM279" si="403">IF(F248&gt;AF248, X248, AE248)</f>
        <v>350</v>
      </c>
      <c r="AO248">
        <f t="shared" si="381"/>
        <v>320</v>
      </c>
      <c r="AP248">
        <f t="shared" si="382"/>
        <v>350</v>
      </c>
      <c r="AR248" s="5">
        <f t="shared" si="343"/>
        <v>2.8571428571428572</v>
      </c>
      <c r="AS248" s="5">
        <f t="shared" si="385"/>
        <v>0.35054243680330638</v>
      </c>
      <c r="AT248" s="5">
        <f t="shared" si="386"/>
        <v>2.5066004203395509</v>
      </c>
      <c r="AU248" s="177">
        <f t="shared" si="387"/>
        <v>0.12268985288115723</v>
      </c>
      <c r="CI248" s="571">
        <f t="shared" ref="CI248:CI279" si="404">IF(ABS(F248-Ioutmax_Vinmax)&lt;Iout/200, AM248, -50)</f>
        <v>-50</v>
      </c>
    </row>
    <row r="249" spans="5:87" x14ac:dyDescent="0.2">
      <c r="E249" s="174">
        <v>33</v>
      </c>
      <c r="F249" s="221">
        <f t="shared" ref="F249:F280" si="405">IF(PLOT_TYPE=1, E249/100*Iout_max, min_I*EXP(O249*rr/100))</f>
        <v>0.33</v>
      </c>
      <c r="G249" s="221">
        <f t="shared" si="388"/>
        <v>6.6000000000000003E-2</v>
      </c>
      <c r="H249" s="221">
        <f t="shared" si="389"/>
        <v>1.6500000000000001</v>
      </c>
      <c r="I249" s="221">
        <f t="shared" si="390"/>
        <v>0.33</v>
      </c>
      <c r="J249" s="551">
        <f t="shared" si="356"/>
        <v>25</v>
      </c>
      <c r="K249" s="451">
        <f t="shared" si="357"/>
        <v>10.64</v>
      </c>
      <c r="L249" s="451">
        <f t="shared" si="358"/>
        <v>35.64</v>
      </c>
      <c r="M249" s="451"/>
      <c r="N249" s="221">
        <f t="shared" si="359"/>
        <v>0.2985409652076319</v>
      </c>
      <c r="O249" s="176">
        <f t="shared" si="391"/>
        <v>11.475168350168351</v>
      </c>
      <c r="P249" s="176">
        <f t="shared" si="392"/>
        <v>2.7540404040404045</v>
      </c>
      <c r="Q249" s="221">
        <f t="shared" si="362"/>
        <v>2.2950336700336704</v>
      </c>
      <c r="R249" s="221">
        <f t="shared" si="393"/>
        <v>2.2950336700336704</v>
      </c>
      <c r="S249" s="221">
        <f t="shared" si="394"/>
        <v>5</v>
      </c>
      <c r="T249" s="221">
        <f t="shared" si="395"/>
        <v>0.58953383458646613</v>
      </c>
      <c r="U249" s="221">
        <f t="shared" si="366"/>
        <v>0.16506947368421052</v>
      </c>
      <c r="V249" s="221">
        <f t="shared" si="367"/>
        <v>0.38785120696478032</v>
      </c>
      <c r="W249" s="201">
        <f t="shared" si="368"/>
        <v>350</v>
      </c>
      <c r="X249" s="451">
        <f t="shared" si="369"/>
        <v>350</v>
      </c>
      <c r="Z249" s="221">
        <f t="shared" si="370"/>
        <v>3.0463363796697127</v>
      </c>
      <c r="AA249" s="177">
        <f t="shared" si="371"/>
        <v>2.004168670835337</v>
      </c>
      <c r="AB249" s="177">
        <f t="shared" si="396"/>
        <v>1.780733480446661</v>
      </c>
      <c r="AC249" s="177"/>
      <c r="AD249" s="177">
        <f t="shared" si="373"/>
        <v>0.53947368421052622</v>
      </c>
      <c r="AE249" s="555">
        <f t="shared" si="397"/>
        <v>745.98453301606196</v>
      </c>
      <c r="AF249" s="538">
        <f t="shared" si="398"/>
        <v>0.15482894736842101</v>
      </c>
      <c r="AH249" s="177">
        <f t="shared" si="399"/>
        <v>1.2713483120735423</v>
      </c>
      <c r="AI249" s="177">
        <f t="shared" si="400"/>
        <v>1.2713483120735423</v>
      </c>
      <c r="AJ249" s="177">
        <f t="shared" si="401"/>
        <v>1.5343320830174387</v>
      </c>
      <c r="AL249" s="555">
        <f t="shared" si="402"/>
        <v>330</v>
      </c>
      <c r="AM249" s="469">
        <f t="shared" si="403"/>
        <v>350</v>
      </c>
      <c r="AO249">
        <f t="shared" si="381"/>
        <v>330</v>
      </c>
      <c r="AP249">
        <f t="shared" si="382"/>
        <v>350</v>
      </c>
      <c r="AR249" s="5">
        <f t="shared" si="343"/>
        <v>2.8571428571428572</v>
      </c>
      <c r="AS249" s="5">
        <f t="shared" si="385"/>
        <v>0.35597752738059185</v>
      </c>
      <c r="AT249" s="5">
        <f t="shared" si="386"/>
        <v>2.5011653297622654</v>
      </c>
      <c r="AU249" s="177">
        <f t="shared" si="387"/>
        <v>0.12459213458320714</v>
      </c>
      <c r="CI249" s="571">
        <f t="shared" si="404"/>
        <v>-50</v>
      </c>
    </row>
    <row r="250" spans="5:87" x14ac:dyDescent="0.2">
      <c r="E250" s="174">
        <v>34</v>
      </c>
      <c r="F250" s="221">
        <f t="shared" si="405"/>
        <v>0.34</v>
      </c>
      <c r="G250" s="221">
        <f t="shared" si="388"/>
        <v>6.8000000000000005E-2</v>
      </c>
      <c r="H250" s="221">
        <f t="shared" si="389"/>
        <v>1.7000000000000002</v>
      </c>
      <c r="I250" s="221">
        <f t="shared" si="390"/>
        <v>0.34</v>
      </c>
      <c r="J250" s="551">
        <f t="shared" si="356"/>
        <v>25</v>
      </c>
      <c r="K250" s="451">
        <f t="shared" si="357"/>
        <v>10.64</v>
      </c>
      <c r="L250" s="451">
        <f t="shared" si="358"/>
        <v>35.64</v>
      </c>
      <c r="M250" s="451"/>
      <c r="N250" s="221">
        <f t="shared" si="359"/>
        <v>0.2985409652076319</v>
      </c>
      <c r="O250" s="176">
        <f t="shared" si="391"/>
        <v>11.475168350168351</v>
      </c>
      <c r="P250" s="176">
        <f t="shared" si="392"/>
        <v>2.7540404040404045</v>
      </c>
      <c r="Q250" s="221">
        <f t="shared" si="362"/>
        <v>2.2950336700336704</v>
      </c>
      <c r="R250" s="221">
        <f t="shared" si="393"/>
        <v>2.2950336700336704</v>
      </c>
      <c r="S250" s="221">
        <f t="shared" si="394"/>
        <v>5</v>
      </c>
      <c r="T250" s="221">
        <f t="shared" si="395"/>
        <v>0.60739849624060149</v>
      </c>
      <c r="U250" s="221">
        <f t="shared" si="366"/>
        <v>0.17007157894736841</v>
      </c>
      <c r="V250" s="221">
        <f t="shared" si="367"/>
        <v>0.39960427384250097</v>
      </c>
      <c r="W250" s="201">
        <f t="shared" si="368"/>
        <v>350</v>
      </c>
      <c r="X250" s="451">
        <f t="shared" si="369"/>
        <v>350</v>
      </c>
      <c r="Z250" s="221">
        <f t="shared" si="370"/>
        <v>3.0463363796697127</v>
      </c>
      <c r="AA250" s="177">
        <f t="shared" si="371"/>
        <v>2.004168670835337</v>
      </c>
      <c r="AB250" s="177">
        <f t="shared" si="396"/>
        <v>1.780733480446661</v>
      </c>
      <c r="AC250" s="177"/>
      <c r="AD250" s="177">
        <f t="shared" si="373"/>
        <v>0.53947368421052622</v>
      </c>
      <c r="AE250" s="555">
        <f t="shared" si="397"/>
        <v>768.59012492563966</v>
      </c>
      <c r="AF250" s="538">
        <f t="shared" si="398"/>
        <v>0.15482894736842101</v>
      </c>
      <c r="AH250" s="177">
        <f t="shared" si="399"/>
        <v>1.2904674046441389</v>
      </c>
      <c r="AI250" s="177">
        <f t="shared" si="400"/>
        <v>1.2904674046441389</v>
      </c>
      <c r="AJ250" s="177">
        <f t="shared" si="401"/>
        <v>1.5484943738104733</v>
      </c>
      <c r="AL250" s="555">
        <f t="shared" si="402"/>
        <v>340</v>
      </c>
      <c r="AM250" s="469">
        <f t="shared" si="403"/>
        <v>350</v>
      </c>
      <c r="AO250">
        <f t="shared" si="381"/>
        <v>340</v>
      </c>
      <c r="AP250">
        <f t="shared" si="382"/>
        <v>350</v>
      </c>
      <c r="AR250" s="5">
        <f t="shared" si="343"/>
        <v>2.8571428571428572</v>
      </c>
      <c r="AS250" s="5">
        <f t="shared" si="385"/>
        <v>0.3613308733003589</v>
      </c>
      <c r="AT250" s="5">
        <f t="shared" si="386"/>
        <v>2.4958119838424984</v>
      </c>
      <c r="AU250" s="177">
        <f t="shared" si="387"/>
        <v>0.12646580565512561</v>
      </c>
      <c r="CI250" s="571">
        <f t="shared" si="404"/>
        <v>-50</v>
      </c>
    </row>
    <row r="251" spans="5:87" x14ac:dyDescent="0.2">
      <c r="E251" s="174">
        <v>35</v>
      </c>
      <c r="F251" s="221">
        <f t="shared" si="405"/>
        <v>0.35</v>
      </c>
      <c r="G251" s="221">
        <f t="shared" si="388"/>
        <v>6.9999999999999993E-2</v>
      </c>
      <c r="H251" s="221">
        <f t="shared" si="389"/>
        <v>1.75</v>
      </c>
      <c r="I251" s="221">
        <f t="shared" si="390"/>
        <v>0.35</v>
      </c>
      <c r="J251" s="551">
        <f t="shared" si="356"/>
        <v>25</v>
      </c>
      <c r="K251" s="451">
        <f t="shared" si="357"/>
        <v>10.64</v>
      </c>
      <c r="L251" s="451">
        <f t="shared" si="358"/>
        <v>35.64</v>
      </c>
      <c r="M251" s="451"/>
      <c r="N251" s="221">
        <f t="shared" si="359"/>
        <v>0.2985409652076319</v>
      </c>
      <c r="O251" s="176">
        <f t="shared" si="391"/>
        <v>11.475168350168351</v>
      </c>
      <c r="P251" s="176">
        <f t="shared" si="392"/>
        <v>2.7540404040404045</v>
      </c>
      <c r="Q251" s="221">
        <f t="shared" si="362"/>
        <v>2.2950336700336704</v>
      </c>
      <c r="R251" s="221">
        <f t="shared" si="393"/>
        <v>2.2950336700336704</v>
      </c>
      <c r="S251" s="221">
        <f t="shared" si="394"/>
        <v>5</v>
      </c>
      <c r="T251" s="221">
        <f t="shared" si="395"/>
        <v>0.62526315789473674</v>
      </c>
      <c r="U251" s="221">
        <f t="shared" si="366"/>
        <v>0.17507368421052627</v>
      </c>
      <c r="V251" s="221">
        <f t="shared" si="367"/>
        <v>0.41135734072022151</v>
      </c>
      <c r="W251" s="201">
        <f t="shared" si="368"/>
        <v>350</v>
      </c>
      <c r="X251" s="451">
        <f t="shared" si="369"/>
        <v>350</v>
      </c>
      <c r="Z251" s="221">
        <f t="shared" si="370"/>
        <v>3.0463363796697127</v>
      </c>
      <c r="AA251" s="177">
        <f t="shared" si="371"/>
        <v>2.004168670835337</v>
      </c>
      <c r="AB251" s="177">
        <f t="shared" si="396"/>
        <v>1.780733480446661</v>
      </c>
      <c r="AC251" s="177"/>
      <c r="AD251" s="177">
        <f t="shared" si="373"/>
        <v>0.53947368421052622</v>
      </c>
      <c r="AE251" s="555">
        <f t="shared" si="397"/>
        <v>791.19571683521724</v>
      </c>
      <c r="AF251" s="538">
        <f t="shared" si="398"/>
        <v>0.15482894736842101</v>
      </c>
      <c r="AH251" s="177">
        <f t="shared" si="399"/>
        <v>1.3093073414159542</v>
      </c>
      <c r="AI251" s="177">
        <f t="shared" si="400"/>
        <v>1.3093073414159542</v>
      </c>
      <c r="AJ251" s="177">
        <f t="shared" si="401"/>
        <v>1.5624498825303363</v>
      </c>
      <c r="AL251" s="555">
        <f t="shared" si="402"/>
        <v>350</v>
      </c>
      <c r="AM251" s="469">
        <f t="shared" si="403"/>
        <v>350</v>
      </c>
      <c r="AO251">
        <f t="shared" si="381"/>
        <v>350</v>
      </c>
      <c r="AP251">
        <f t="shared" si="382"/>
        <v>350</v>
      </c>
      <c r="AR251" s="5">
        <f t="shared" si="343"/>
        <v>2.8571428571428572</v>
      </c>
      <c r="AS251" s="5">
        <f t="shared" si="385"/>
        <v>0.36660605559646714</v>
      </c>
      <c r="AT251" s="5">
        <f t="shared" si="386"/>
        <v>2.4905368015463902</v>
      </c>
      <c r="AU251" s="177">
        <f t="shared" si="387"/>
        <v>0.1283121194587635</v>
      </c>
      <c r="CI251" s="571">
        <f t="shared" si="404"/>
        <v>-50</v>
      </c>
    </row>
    <row r="252" spans="5:87" x14ac:dyDescent="0.2">
      <c r="E252" s="174">
        <v>36</v>
      </c>
      <c r="F252" s="221">
        <f t="shared" si="405"/>
        <v>0.36</v>
      </c>
      <c r="G252" s="221">
        <f t="shared" si="388"/>
        <v>7.1999999999999995E-2</v>
      </c>
      <c r="H252" s="221">
        <f t="shared" si="389"/>
        <v>1.7999999999999998</v>
      </c>
      <c r="I252" s="221">
        <f t="shared" si="390"/>
        <v>0.36</v>
      </c>
      <c r="J252" s="551">
        <f t="shared" si="356"/>
        <v>25</v>
      </c>
      <c r="K252" s="451">
        <f t="shared" si="357"/>
        <v>10.64</v>
      </c>
      <c r="L252" s="451">
        <f t="shared" si="358"/>
        <v>35.64</v>
      </c>
      <c r="M252" s="451"/>
      <c r="N252" s="221">
        <f t="shared" si="359"/>
        <v>0.2985409652076319</v>
      </c>
      <c r="O252" s="176">
        <f t="shared" si="391"/>
        <v>11.475168350168351</v>
      </c>
      <c r="P252" s="176">
        <f t="shared" si="392"/>
        <v>2.7540404040404045</v>
      </c>
      <c r="Q252" s="221">
        <f t="shared" si="362"/>
        <v>2.2950336700336704</v>
      </c>
      <c r="R252" s="221">
        <f t="shared" si="393"/>
        <v>2.2950336700336704</v>
      </c>
      <c r="S252" s="221">
        <f t="shared" si="394"/>
        <v>5</v>
      </c>
      <c r="T252" s="221">
        <f t="shared" si="395"/>
        <v>0.64312781954887199</v>
      </c>
      <c r="U252" s="221">
        <f t="shared" si="366"/>
        <v>0.18007578947368416</v>
      </c>
      <c r="V252" s="221">
        <f t="shared" si="367"/>
        <v>0.42311040759794205</v>
      </c>
      <c r="W252" s="201">
        <f t="shared" si="368"/>
        <v>350</v>
      </c>
      <c r="X252" s="451">
        <f t="shared" si="369"/>
        <v>350</v>
      </c>
      <c r="Z252" s="221">
        <f t="shared" si="370"/>
        <v>3.0463363796697127</v>
      </c>
      <c r="AA252" s="177">
        <f t="shared" si="371"/>
        <v>2.004168670835337</v>
      </c>
      <c r="AB252" s="177">
        <f t="shared" si="396"/>
        <v>1.780733480446661</v>
      </c>
      <c r="AC252" s="177"/>
      <c r="AD252" s="177">
        <f t="shared" si="373"/>
        <v>0.53947368421052622</v>
      </c>
      <c r="AE252" s="555">
        <f t="shared" si="397"/>
        <v>813.80130874479494</v>
      </c>
      <c r="AF252" s="538">
        <f t="shared" si="398"/>
        <v>0.15482894736842101</v>
      </c>
      <c r="AH252" s="177">
        <f t="shared" si="399"/>
        <v>1.3278800044139714</v>
      </c>
      <c r="AI252" s="177">
        <f t="shared" si="400"/>
        <v>1.3278800044139714</v>
      </c>
      <c r="AJ252" s="177">
        <f t="shared" si="401"/>
        <v>1.5762074106770159</v>
      </c>
      <c r="AL252" s="555">
        <f t="shared" si="402"/>
        <v>360</v>
      </c>
      <c r="AM252" s="469">
        <f t="shared" si="403"/>
        <v>350</v>
      </c>
      <c r="AO252">
        <f t="shared" si="381"/>
        <v>360</v>
      </c>
      <c r="AP252">
        <f t="shared" si="382"/>
        <v>350</v>
      </c>
      <c r="AR252" s="5">
        <f t="shared" si="343"/>
        <v>2.8571428571428572</v>
      </c>
      <c r="AS252" s="5">
        <f t="shared" si="385"/>
        <v>0.37180640123591197</v>
      </c>
      <c r="AT252" s="5">
        <f t="shared" si="386"/>
        <v>2.4853364559069453</v>
      </c>
      <c r="AU252" s="177">
        <f t="shared" si="387"/>
        <v>0.13013224043256919</v>
      </c>
      <c r="CI252" s="571">
        <f t="shared" si="404"/>
        <v>-50</v>
      </c>
    </row>
    <row r="253" spans="5:87" x14ac:dyDescent="0.2">
      <c r="E253" s="174">
        <v>37</v>
      </c>
      <c r="F253" s="221">
        <f t="shared" si="405"/>
        <v>0.37</v>
      </c>
      <c r="G253" s="221">
        <f t="shared" si="388"/>
        <v>7.3999999999999996E-2</v>
      </c>
      <c r="H253" s="221">
        <f t="shared" si="389"/>
        <v>1.85</v>
      </c>
      <c r="I253" s="221">
        <f t="shared" si="390"/>
        <v>0.37</v>
      </c>
      <c r="J253" s="551">
        <f t="shared" si="356"/>
        <v>25</v>
      </c>
      <c r="K253" s="451">
        <f t="shared" si="357"/>
        <v>10.64</v>
      </c>
      <c r="L253" s="451">
        <f t="shared" si="358"/>
        <v>35.64</v>
      </c>
      <c r="M253" s="451"/>
      <c r="N253" s="221">
        <f t="shared" si="359"/>
        <v>0.2985409652076319</v>
      </c>
      <c r="O253" s="176">
        <f t="shared" si="391"/>
        <v>11.475168350168351</v>
      </c>
      <c r="P253" s="176">
        <f t="shared" si="392"/>
        <v>2.7540404040404045</v>
      </c>
      <c r="Q253" s="221">
        <f t="shared" si="362"/>
        <v>2.2950336700336704</v>
      </c>
      <c r="R253" s="221">
        <f t="shared" si="393"/>
        <v>2.2950336700336704</v>
      </c>
      <c r="S253" s="221">
        <f t="shared" si="394"/>
        <v>5</v>
      </c>
      <c r="T253" s="221">
        <f t="shared" si="395"/>
        <v>0.66099248120300746</v>
      </c>
      <c r="U253" s="221">
        <f t="shared" si="366"/>
        <v>0.18507789473684208</v>
      </c>
      <c r="V253" s="221">
        <f t="shared" si="367"/>
        <v>0.43486347447566276</v>
      </c>
      <c r="W253" s="201">
        <f t="shared" si="368"/>
        <v>350</v>
      </c>
      <c r="X253" s="451">
        <f t="shared" si="369"/>
        <v>350</v>
      </c>
      <c r="Z253" s="221">
        <f t="shared" si="370"/>
        <v>3.0463363796697127</v>
      </c>
      <c r="AA253" s="177">
        <f t="shared" si="371"/>
        <v>2.004168670835337</v>
      </c>
      <c r="AB253" s="177">
        <f t="shared" si="396"/>
        <v>1.780733480446661</v>
      </c>
      <c r="AC253" s="177"/>
      <c r="AD253" s="177">
        <f t="shared" si="373"/>
        <v>0.53947368421052622</v>
      </c>
      <c r="AE253" s="555">
        <f t="shared" si="397"/>
        <v>836.40690065437252</v>
      </c>
      <c r="AF253" s="538">
        <f t="shared" si="398"/>
        <v>0.15482894736842101</v>
      </c>
      <c r="AH253" s="177">
        <f t="shared" si="399"/>
        <v>1.3461964559302568</v>
      </c>
      <c r="AI253" s="177">
        <f t="shared" si="400"/>
        <v>1.3461964559302568</v>
      </c>
      <c r="AJ253" s="177">
        <f t="shared" si="401"/>
        <v>1.5897751525409309</v>
      </c>
      <c r="AL253" s="555">
        <f t="shared" si="402"/>
        <v>370</v>
      </c>
      <c r="AM253" s="469">
        <f t="shared" si="403"/>
        <v>350</v>
      </c>
      <c r="AO253">
        <f t="shared" si="381"/>
        <v>370</v>
      </c>
      <c r="AP253">
        <f t="shared" si="382"/>
        <v>350</v>
      </c>
      <c r="AR253" s="5">
        <f t="shared" si="343"/>
        <v>2.8571428571428572</v>
      </c>
      <c r="AS253" s="5">
        <f t="shared" si="385"/>
        <v>0.37693500766047189</v>
      </c>
      <c r="AT253" s="5">
        <f t="shared" si="386"/>
        <v>2.4802078494823854</v>
      </c>
      <c r="AU253" s="177">
        <f t="shared" si="387"/>
        <v>0.13192725268116515</v>
      </c>
      <c r="CI253" s="571">
        <f t="shared" si="404"/>
        <v>-50</v>
      </c>
    </row>
    <row r="254" spans="5:87" x14ac:dyDescent="0.2">
      <c r="E254" s="174">
        <v>38</v>
      </c>
      <c r="F254" s="221">
        <f t="shared" si="405"/>
        <v>0.38</v>
      </c>
      <c r="G254" s="221">
        <f t="shared" si="388"/>
        <v>7.6000000000000012E-2</v>
      </c>
      <c r="H254" s="221">
        <f t="shared" si="389"/>
        <v>1.9</v>
      </c>
      <c r="I254" s="221">
        <f t="shared" si="390"/>
        <v>0.38000000000000006</v>
      </c>
      <c r="J254" s="551">
        <f t="shared" si="356"/>
        <v>25</v>
      </c>
      <c r="K254" s="451">
        <f t="shared" si="357"/>
        <v>10.64</v>
      </c>
      <c r="L254" s="451">
        <f t="shared" si="358"/>
        <v>35.64</v>
      </c>
      <c r="M254" s="451"/>
      <c r="N254" s="221">
        <f t="shared" si="359"/>
        <v>0.2985409652076319</v>
      </c>
      <c r="O254" s="176">
        <f t="shared" si="391"/>
        <v>11.475168350168351</v>
      </c>
      <c r="P254" s="176">
        <f t="shared" si="392"/>
        <v>2.7540404040404045</v>
      </c>
      <c r="Q254" s="221">
        <f t="shared" si="362"/>
        <v>2.2950336700336704</v>
      </c>
      <c r="R254" s="221">
        <f t="shared" si="393"/>
        <v>2.2950336700336704</v>
      </c>
      <c r="S254" s="221">
        <f t="shared" si="394"/>
        <v>5</v>
      </c>
      <c r="T254" s="221">
        <f t="shared" si="395"/>
        <v>0.67885714285714271</v>
      </c>
      <c r="U254" s="221">
        <f t="shared" si="366"/>
        <v>0.19007999999999994</v>
      </c>
      <c r="V254" s="221">
        <f t="shared" si="367"/>
        <v>0.4466165413533833</v>
      </c>
      <c r="W254" s="201">
        <f t="shared" si="368"/>
        <v>350</v>
      </c>
      <c r="X254" s="451">
        <f t="shared" si="369"/>
        <v>350</v>
      </c>
      <c r="Z254" s="221">
        <f t="shared" si="370"/>
        <v>3.0463363796697127</v>
      </c>
      <c r="AA254" s="177">
        <f t="shared" si="371"/>
        <v>2.004168670835337</v>
      </c>
      <c r="AB254" s="177">
        <f t="shared" si="396"/>
        <v>1.780733480446661</v>
      </c>
      <c r="AC254" s="177"/>
      <c r="AD254" s="177">
        <f t="shared" si="373"/>
        <v>0.53947368421052622</v>
      </c>
      <c r="AE254" s="555">
        <f t="shared" si="397"/>
        <v>859.01249256394999</v>
      </c>
      <c r="AF254" s="538">
        <f t="shared" si="398"/>
        <v>0.15482894736842101</v>
      </c>
      <c r="AH254" s="177">
        <f t="shared" si="399"/>
        <v>1.3642670155786651</v>
      </c>
      <c r="AI254" s="177">
        <f t="shared" si="400"/>
        <v>1.3642670155786651</v>
      </c>
      <c r="AJ254" s="177">
        <f t="shared" si="401"/>
        <v>1.6031607522804927</v>
      </c>
      <c r="AL254" s="555">
        <f t="shared" si="402"/>
        <v>380</v>
      </c>
      <c r="AM254" s="469">
        <f t="shared" si="403"/>
        <v>350</v>
      </c>
      <c r="AO254">
        <f t="shared" si="381"/>
        <v>380</v>
      </c>
      <c r="AP254">
        <f t="shared" si="382"/>
        <v>350</v>
      </c>
      <c r="AR254" s="5">
        <f t="shared" si="343"/>
        <v>2.8571428571428572</v>
      </c>
      <c r="AS254" s="5">
        <f t="shared" si="385"/>
        <v>0.38199476436202623</v>
      </c>
      <c r="AT254" s="5">
        <f t="shared" si="386"/>
        <v>2.4751480927808309</v>
      </c>
      <c r="AU254" s="177">
        <f t="shared" si="387"/>
        <v>0.13369816752670918</v>
      </c>
      <c r="CI254" s="571">
        <f t="shared" si="404"/>
        <v>-50</v>
      </c>
    </row>
    <row r="255" spans="5:87" x14ac:dyDescent="0.2">
      <c r="E255" s="174">
        <v>39</v>
      </c>
      <c r="F255" s="221">
        <f t="shared" si="405"/>
        <v>0.39</v>
      </c>
      <c r="G255" s="221">
        <f t="shared" si="388"/>
        <v>7.8000000000000014E-2</v>
      </c>
      <c r="H255" s="221">
        <f t="shared" si="389"/>
        <v>1.9500000000000002</v>
      </c>
      <c r="I255" s="221">
        <f t="shared" si="390"/>
        <v>0.39000000000000007</v>
      </c>
      <c r="J255" s="551">
        <f t="shared" si="356"/>
        <v>25</v>
      </c>
      <c r="K255" s="451">
        <f t="shared" si="357"/>
        <v>10.64</v>
      </c>
      <c r="L255" s="451">
        <f t="shared" si="358"/>
        <v>35.64</v>
      </c>
      <c r="M255" s="451"/>
      <c r="N255" s="221">
        <f t="shared" si="359"/>
        <v>0.2985409652076319</v>
      </c>
      <c r="O255" s="176">
        <f t="shared" si="391"/>
        <v>11.475168350168351</v>
      </c>
      <c r="P255" s="176">
        <f t="shared" si="392"/>
        <v>2.7540404040404045</v>
      </c>
      <c r="Q255" s="221">
        <f t="shared" si="362"/>
        <v>2.2950336700336704</v>
      </c>
      <c r="R255" s="221">
        <f t="shared" si="393"/>
        <v>2.2950336700336704</v>
      </c>
      <c r="S255" s="221">
        <f t="shared" si="394"/>
        <v>5</v>
      </c>
      <c r="T255" s="221">
        <f t="shared" si="395"/>
        <v>0.69672180451127819</v>
      </c>
      <c r="U255" s="221">
        <f t="shared" si="366"/>
        <v>0.19508210526315786</v>
      </c>
      <c r="V255" s="221">
        <f t="shared" si="367"/>
        <v>0.45836960823110406</v>
      </c>
      <c r="W255" s="201">
        <f t="shared" si="368"/>
        <v>350</v>
      </c>
      <c r="X255" s="451">
        <f t="shared" si="369"/>
        <v>350</v>
      </c>
      <c r="Z255" s="221">
        <f t="shared" si="370"/>
        <v>3.0463363796697127</v>
      </c>
      <c r="AA255" s="177">
        <f t="shared" si="371"/>
        <v>2.004168670835337</v>
      </c>
      <c r="AB255" s="177">
        <f t="shared" si="396"/>
        <v>1.780733480446661</v>
      </c>
      <c r="AC255" s="177"/>
      <c r="AD255" s="177">
        <f t="shared" si="373"/>
        <v>0.53947368421052622</v>
      </c>
      <c r="AE255" s="555">
        <f t="shared" si="397"/>
        <v>881.6180844735278</v>
      </c>
      <c r="AF255" s="538">
        <f t="shared" si="398"/>
        <v>0.15482894736842101</v>
      </c>
      <c r="AH255" s="177">
        <f t="shared" si="399"/>
        <v>1.3821013282797514</v>
      </c>
      <c r="AI255" s="177">
        <f t="shared" si="400"/>
        <v>1.3821013282797514</v>
      </c>
      <c r="AJ255" s="177">
        <f t="shared" si="401"/>
        <v>1.6163713542812974</v>
      </c>
      <c r="AL255" s="555">
        <f t="shared" si="402"/>
        <v>390</v>
      </c>
      <c r="AM255" s="469">
        <f t="shared" si="403"/>
        <v>350</v>
      </c>
      <c r="AO255">
        <f t="shared" si="381"/>
        <v>390</v>
      </c>
      <c r="AP255">
        <f t="shared" si="382"/>
        <v>350</v>
      </c>
      <c r="AR255" s="5">
        <f t="shared" si="343"/>
        <v>2.8571428571428572</v>
      </c>
      <c r="AS255" s="5">
        <f t="shared" si="385"/>
        <v>0.38698837191833035</v>
      </c>
      <c r="AT255" s="5">
        <f t="shared" si="386"/>
        <v>2.4701544852245267</v>
      </c>
      <c r="AU255" s="177">
        <f t="shared" si="387"/>
        <v>0.13544593017141562</v>
      </c>
      <c r="CI255" s="571">
        <f t="shared" si="404"/>
        <v>-50</v>
      </c>
    </row>
    <row r="256" spans="5:87" x14ac:dyDescent="0.2">
      <c r="E256" s="174">
        <v>40</v>
      </c>
      <c r="F256" s="221">
        <f t="shared" si="405"/>
        <v>0.4</v>
      </c>
      <c r="G256" s="221">
        <f t="shared" si="388"/>
        <v>8.0000000000000016E-2</v>
      </c>
      <c r="H256" s="221">
        <f t="shared" si="389"/>
        <v>2</v>
      </c>
      <c r="I256" s="221">
        <f t="shared" si="390"/>
        <v>0.40000000000000008</v>
      </c>
      <c r="J256" s="551">
        <f t="shared" si="356"/>
        <v>25</v>
      </c>
      <c r="K256" s="451">
        <f t="shared" si="357"/>
        <v>10.64</v>
      </c>
      <c r="L256" s="451">
        <f t="shared" si="358"/>
        <v>35.64</v>
      </c>
      <c r="M256" s="451"/>
      <c r="N256" s="221">
        <f t="shared" si="359"/>
        <v>0.2985409652076319</v>
      </c>
      <c r="O256" s="176">
        <f t="shared" si="391"/>
        <v>11.475168350168351</v>
      </c>
      <c r="P256" s="176">
        <f t="shared" si="392"/>
        <v>2.7540404040404045</v>
      </c>
      <c r="Q256" s="221">
        <f t="shared" si="362"/>
        <v>2.2950336700336704</v>
      </c>
      <c r="R256" s="221">
        <f t="shared" si="393"/>
        <v>2.2950336700336704</v>
      </c>
      <c r="S256" s="221">
        <f t="shared" si="394"/>
        <v>5</v>
      </c>
      <c r="T256" s="221">
        <f t="shared" si="395"/>
        <v>0.71458646616541344</v>
      </c>
      <c r="U256" s="221">
        <f t="shared" si="366"/>
        <v>0.20008421052631575</v>
      </c>
      <c r="V256" s="221">
        <f t="shared" si="367"/>
        <v>0.47012267510882455</v>
      </c>
      <c r="W256" s="201">
        <f t="shared" si="368"/>
        <v>350</v>
      </c>
      <c r="X256" s="451">
        <f t="shared" si="369"/>
        <v>350</v>
      </c>
      <c r="Z256" s="221">
        <f t="shared" si="370"/>
        <v>3.0463363796697127</v>
      </c>
      <c r="AA256" s="177">
        <f t="shared" si="371"/>
        <v>2.004168670835337</v>
      </c>
      <c r="AB256" s="177">
        <f t="shared" si="396"/>
        <v>1.780733480446661</v>
      </c>
      <c r="AC256" s="177"/>
      <c r="AD256" s="177">
        <f t="shared" si="373"/>
        <v>0.53947368421052622</v>
      </c>
      <c r="AE256" s="555">
        <f t="shared" si="397"/>
        <v>904.2236763831055</v>
      </c>
      <c r="AF256" s="538">
        <f t="shared" si="398"/>
        <v>0.15482894736842101</v>
      </c>
      <c r="AH256" s="177">
        <f t="shared" si="399"/>
        <v>1.3997084244475302</v>
      </c>
      <c r="AI256" s="177">
        <f t="shared" si="400"/>
        <v>1.3997084244475302</v>
      </c>
      <c r="AJ256" s="177">
        <f t="shared" si="401"/>
        <v>1.6294136477389112</v>
      </c>
      <c r="AL256" s="555">
        <f t="shared" si="402"/>
        <v>400</v>
      </c>
      <c r="AM256" s="469">
        <f t="shared" si="403"/>
        <v>350</v>
      </c>
      <c r="AO256">
        <f t="shared" si="381"/>
        <v>400</v>
      </c>
      <c r="AP256">
        <f t="shared" si="382"/>
        <v>350</v>
      </c>
      <c r="AR256" s="5">
        <f t="shared" si="343"/>
        <v>2.8571428571428572</v>
      </c>
      <c r="AS256" s="5">
        <f t="shared" si="385"/>
        <v>0.39191835884530851</v>
      </c>
      <c r="AT256" s="5">
        <f t="shared" si="386"/>
        <v>2.4652244982975486</v>
      </c>
      <c r="AU256" s="177">
        <f t="shared" si="387"/>
        <v>0.13717142559585799</v>
      </c>
      <c r="CI256" s="571">
        <f t="shared" si="404"/>
        <v>-50</v>
      </c>
    </row>
    <row r="257" spans="5:87" x14ac:dyDescent="0.2">
      <c r="E257" s="174">
        <v>41</v>
      </c>
      <c r="F257" s="221">
        <f t="shared" si="405"/>
        <v>0.41</v>
      </c>
      <c r="G257" s="221">
        <f t="shared" si="388"/>
        <v>8.2000000000000003E-2</v>
      </c>
      <c r="H257" s="221">
        <f t="shared" si="389"/>
        <v>2.0499999999999998</v>
      </c>
      <c r="I257" s="221">
        <f t="shared" si="390"/>
        <v>0.41000000000000003</v>
      </c>
      <c r="J257" s="551">
        <f t="shared" si="356"/>
        <v>25</v>
      </c>
      <c r="K257" s="451">
        <f t="shared" si="357"/>
        <v>10.64</v>
      </c>
      <c r="L257" s="451">
        <f t="shared" si="358"/>
        <v>35.64</v>
      </c>
      <c r="M257" s="451"/>
      <c r="N257" s="221">
        <f t="shared" si="359"/>
        <v>0.2985409652076319</v>
      </c>
      <c r="O257" s="176">
        <f t="shared" si="391"/>
        <v>11.475168350168351</v>
      </c>
      <c r="P257" s="176">
        <f t="shared" si="392"/>
        <v>2.7540404040404045</v>
      </c>
      <c r="Q257" s="221">
        <f t="shared" si="362"/>
        <v>2.2950336700336704</v>
      </c>
      <c r="R257" s="221">
        <f t="shared" si="393"/>
        <v>2.2950336700336704</v>
      </c>
      <c r="S257" s="221">
        <f t="shared" si="394"/>
        <v>5</v>
      </c>
      <c r="T257" s="221">
        <f t="shared" si="395"/>
        <v>0.7324511278195488</v>
      </c>
      <c r="U257" s="221">
        <f t="shared" si="366"/>
        <v>0.20508631578947367</v>
      </c>
      <c r="V257" s="221">
        <f t="shared" si="367"/>
        <v>0.4818757419865452</v>
      </c>
      <c r="W257" s="201">
        <f t="shared" si="368"/>
        <v>350</v>
      </c>
      <c r="X257" s="451">
        <f t="shared" si="369"/>
        <v>350</v>
      </c>
      <c r="Z257" s="221">
        <f t="shared" si="370"/>
        <v>3.0463363796697127</v>
      </c>
      <c r="AA257" s="177">
        <f t="shared" si="371"/>
        <v>2.004168670835337</v>
      </c>
      <c r="AB257" s="177">
        <f t="shared" si="396"/>
        <v>1.780733480446661</v>
      </c>
      <c r="AC257" s="177"/>
      <c r="AD257" s="177">
        <f t="shared" si="373"/>
        <v>0.53947368421052622</v>
      </c>
      <c r="AE257" s="555">
        <f t="shared" si="397"/>
        <v>926.82926829268308</v>
      </c>
      <c r="AF257" s="538">
        <f t="shared" si="398"/>
        <v>0.15482894736842101</v>
      </c>
      <c r="AH257" s="177">
        <f t="shared" si="399"/>
        <v>1.4170967734442563</v>
      </c>
      <c r="AI257" s="177">
        <f t="shared" si="400"/>
        <v>1.4170967734442563</v>
      </c>
      <c r="AJ257" s="177">
        <f t="shared" si="401"/>
        <v>1.6422939062550048</v>
      </c>
      <c r="AL257" s="555">
        <f t="shared" si="402"/>
        <v>410</v>
      </c>
      <c r="AM257" s="469">
        <f t="shared" si="403"/>
        <v>350</v>
      </c>
      <c r="AO257">
        <f t="shared" si="381"/>
        <v>410</v>
      </c>
      <c r="AP257">
        <f t="shared" si="382"/>
        <v>350</v>
      </c>
      <c r="AR257" s="5">
        <f t="shared" si="343"/>
        <v>2.8571428571428572</v>
      </c>
      <c r="AS257" s="5">
        <f t="shared" si="385"/>
        <v>0.39678709656439176</v>
      </c>
      <c r="AT257" s="5">
        <f t="shared" si="386"/>
        <v>2.4603557605784654</v>
      </c>
      <c r="AU257" s="177">
        <f t="shared" si="387"/>
        <v>0.13887548379753711</v>
      </c>
      <c r="CI257" s="571">
        <f t="shared" si="404"/>
        <v>-50</v>
      </c>
    </row>
    <row r="258" spans="5:87" x14ac:dyDescent="0.2">
      <c r="E258" s="174">
        <v>42</v>
      </c>
      <c r="F258" s="221">
        <f t="shared" si="405"/>
        <v>0.42</v>
      </c>
      <c r="G258" s="221">
        <f t="shared" si="388"/>
        <v>8.4000000000000005E-2</v>
      </c>
      <c r="H258" s="221">
        <f t="shared" si="389"/>
        <v>2.1</v>
      </c>
      <c r="I258" s="221">
        <f t="shared" si="390"/>
        <v>0.42000000000000004</v>
      </c>
      <c r="J258" s="551">
        <f t="shared" si="356"/>
        <v>25</v>
      </c>
      <c r="K258" s="451">
        <f t="shared" si="357"/>
        <v>10.64</v>
      </c>
      <c r="L258" s="451">
        <f t="shared" si="358"/>
        <v>35.64</v>
      </c>
      <c r="M258" s="451"/>
      <c r="N258" s="221">
        <f t="shared" si="359"/>
        <v>0.2985409652076319</v>
      </c>
      <c r="O258" s="176">
        <f t="shared" si="391"/>
        <v>11.475168350168351</v>
      </c>
      <c r="P258" s="176">
        <f t="shared" si="392"/>
        <v>2.7540404040404045</v>
      </c>
      <c r="Q258" s="221">
        <f t="shared" si="362"/>
        <v>2.2950336700336704</v>
      </c>
      <c r="R258" s="221">
        <f t="shared" si="393"/>
        <v>2.2950336700336704</v>
      </c>
      <c r="S258" s="221">
        <f t="shared" si="394"/>
        <v>5</v>
      </c>
      <c r="T258" s="221">
        <f t="shared" si="395"/>
        <v>0.75031578947368416</v>
      </c>
      <c r="U258" s="221">
        <f t="shared" si="366"/>
        <v>0.21008842105263154</v>
      </c>
      <c r="V258" s="221">
        <f t="shared" si="367"/>
        <v>0.49362880886426586</v>
      </c>
      <c r="W258" s="201">
        <f t="shared" si="368"/>
        <v>350</v>
      </c>
      <c r="X258" s="451">
        <f t="shared" si="369"/>
        <v>350</v>
      </c>
      <c r="Z258" s="221">
        <f t="shared" si="370"/>
        <v>3.0463363796697127</v>
      </c>
      <c r="AA258" s="177">
        <f t="shared" si="371"/>
        <v>2.004168670835337</v>
      </c>
      <c r="AB258" s="177">
        <f t="shared" si="396"/>
        <v>1.780733480446661</v>
      </c>
      <c r="AC258" s="177"/>
      <c r="AD258" s="177">
        <f t="shared" si="373"/>
        <v>0.53947368421052622</v>
      </c>
      <c r="AE258" s="555">
        <f t="shared" si="397"/>
        <v>949.43486020226067</v>
      </c>
      <c r="AF258" s="538">
        <f t="shared" si="398"/>
        <v>0.15482894736842101</v>
      </c>
      <c r="AH258" s="177">
        <f t="shared" si="399"/>
        <v>1.4342743312012722</v>
      </c>
      <c r="AI258" s="177">
        <f t="shared" si="400"/>
        <v>1.4342743312012722</v>
      </c>
      <c r="AJ258" s="177">
        <f t="shared" si="401"/>
        <v>1.6550180231120535</v>
      </c>
      <c r="AL258" s="555">
        <f t="shared" si="402"/>
        <v>420</v>
      </c>
      <c r="AM258" s="469">
        <f t="shared" si="403"/>
        <v>350</v>
      </c>
      <c r="AO258">
        <f t="shared" si="381"/>
        <v>420</v>
      </c>
      <c r="AP258">
        <f t="shared" si="382"/>
        <v>350</v>
      </c>
      <c r="AR258" s="5">
        <f t="shared" si="343"/>
        <v>2.8571428571428572</v>
      </c>
      <c r="AS258" s="5">
        <f t="shared" si="385"/>
        <v>0.40159681273635622</v>
      </c>
      <c r="AT258" s="5">
        <f t="shared" si="386"/>
        <v>2.4555460444065011</v>
      </c>
      <c r="AU258" s="177">
        <f t="shared" si="387"/>
        <v>0.14055888445772469</v>
      </c>
      <c r="CI258" s="571">
        <f t="shared" si="404"/>
        <v>-50</v>
      </c>
    </row>
    <row r="259" spans="5:87" x14ac:dyDescent="0.2">
      <c r="E259" s="174">
        <v>43</v>
      </c>
      <c r="F259" s="221">
        <f t="shared" si="405"/>
        <v>0.43</v>
      </c>
      <c r="G259" s="221">
        <f t="shared" si="388"/>
        <v>8.6000000000000007E-2</v>
      </c>
      <c r="H259" s="221">
        <f t="shared" si="389"/>
        <v>2.15</v>
      </c>
      <c r="I259" s="221">
        <f t="shared" si="390"/>
        <v>0.43000000000000005</v>
      </c>
      <c r="J259" s="551">
        <f t="shared" si="356"/>
        <v>25</v>
      </c>
      <c r="K259" s="451">
        <f t="shared" si="357"/>
        <v>10.64</v>
      </c>
      <c r="L259" s="451">
        <f t="shared" si="358"/>
        <v>35.64</v>
      </c>
      <c r="M259" s="451"/>
      <c r="N259" s="221">
        <f t="shared" si="359"/>
        <v>0.2985409652076319</v>
      </c>
      <c r="O259" s="176">
        <f t="shared" si="391"/>
        <v>11.475168350168351</v>
      </c>
      <c r="P259" s="176">
        <f t="shared" si="392"/>
        <v>2.7540404040404045</v>
      </c>
      <c r="Q259" s="221">
        <f t="shared" si="362"/>
        <v>2.2950336700336704</v>
      </c>
      <c r="R259" s="221">
        <f t="shared" si="393"/>
        <v>2.2950336700336704</v>
      </c>
      <c r="S259" s="221">
        <f t="shared" si="394"/>
        <v>5</v>
      </c>
      <c r="T259" s="221">
        <f t="shared" si="395"/>
        <v>0.76818045112781952</v>
      </c>
      <c r="U259" s="221">
        <f t="shared" si="366"/>
        <v>0.21509052631578945</v>
      </c>
      <c r="V259" s="221">
        <f t="shared" si="367"/>
        <v>0.50538187574198645</v>
      </c>
      <c r="W259" s="201">
        <f t="shared" si="368"/>
        <v>350</v>
      </c>
      <c r="X259" s="451">
        <f t="shared" si="369"/>
        <v>350</v>
      </c>
      <c r="Z259" s="221">
        <f t="shared" si="370"/>
        <v>3.0463363796697127</v>
      </c>
      <c r="AA259" s="177">
        <f t="shared" si="371"/>
        <v>2.004168670835337</v>
      </c>
      <c r="AB259" s="177">
        <f t="shared" si="396"/>
        <v>1.780733480446661</v>
      </c>
      <c r="AC259" s="177"/>
      <c r="AD259" s="177">
        <f t="shared" si="373"/>
        <v>0.53947368421052622</v>
      </c>
      <c r="AE259" s="555">
        <f t="shared" si="397"/>
        <v>972.04045211183836</v>
      </c>
      <c r="AF259" s="538">
        <f t="shared" si="398"/>
        <v>0.15482894736842101</v>
      </c>
      <c r="AH259" s="177">
        <f t="shared" si="399"/>
        <v>1.451248582765748</v>
      </c>
      <c r="AI259" s="177">
        <f t="shared" si="400"/>
        <v>1.451248582765748</v>
      </c>
      <c r="AJ259" s="177">
        <f t="shared" si="401"/>
        <v>1.667591542789443</v>
      </c>
      <c r="AL259" s="555">
        <f t="shared" si="402"/>
        <v>430</v>
      </c>
      <c r="AM259" s="469">
        <f t="shared" si="403"/>
        <v>350</v>
      </c>
      <c r="AO259">
        <f t="shared" si="381"/>
        <v>430</v>
      </c>
      <c r="AP259">
        <f t="shared" si="382"/>
        <v>350</v>
      </c>
      <c r="AR259" s="5">
        <f t="shared" si="343"/>
        <v>2.8571428571428572</v>
      </c>
      <c r="AS259" s="5">
        <f t="shared" si="385"/>
        <v>0.40634960317440938</v>
      </c>
      <c r="AT259" s="5">
        <f t="shared" si="386"/>
        <v>2.450793253968448</v>
      </c>
      <c r="AU259" s="177">
        <f t="shared" si="387"/>
        <v>0.14222236111104328</v>
      </c>
      <c r="CI259" s="571">
        <f t="shared" si="404"/>
        <v>-50</v>
      </c>
    </row>
    <row r="260" spans="5:87" x14ac:dyDescent="0.2">
      <c r="E260" s="174">
        <v>44</v>
      </c>
      <c r="F260" s="221">
        <f t="shared" si="405"/>
        <v>0.44</v>
      </c>
      <c r="G260" s="221">
        <f t="shared" si="388"/>
        <v>8.8000000000000009E-2</v>
      </c>
      <c r="H260" s="221">
        <f t="shared" si="389"/>
        <v>2.2000000000000002</v>
      </c>
      <c r="I260" s="221">
        <f t="shared" si="390"/>
        <v>0.44000000000000006</v>
      </c>
      <c r="J260" s="551">
        <f t="shared" si="356"/>
        <v>25</v>
      </c>
      <c r="K260" s="451">
        <f t="shared" si="357"/>
        <v>10.64</v>
      </c>
      <c r="L260" s="451">
        <f t="shared" si="358"/>
        <v>35.64</v>
      </c>
      <c r="M260" s="451"/>
      <c r="N260" s="221">
        <f t="shared" si="359"/>
        <v>0.2985409652076319</v>
      </c>
      <c r="O260" s="176">
        <f t="shared" si="391"/>
        <v>11.475168350168351</v>
      </c>
      <c r="P260" s="176">
        <f t="shared" si="392"/>
        <v>2.7540404040404045</v>
      </c>
      <c r="Q260" s="221">
        <f t="shared" si="362"/>
        <v>2.2950336700336704</v>
      </c>
      <c r="R260" s="221">
        <f t="shared" si="393"/>
        <v>2.2950336700336704</v>
      </c>
      <c r="S260" s="221">
        <f t="shared" si="394"/>
        <v>5</v>
      </c>
      <c r="T260" s="221">
        <f t="shared" si="395"/>
        <v>0.78604511278195488</v>
      </c>
      <c r="U260" s="221">
        <f t="shared" si="366"/>
        <v>0.22009263157894737</v>
      </c>
      <c r="V260" s="221">
        <f t="shared" si="367"/>
        <v>0.51713494261970705</v>
      </c>
      <c r="W260" s="201">
        <f t="shared" si="368"/>
        <v>350</v>
      </c>
      <c r="X260" s="451">
        <f t="shared" si="369"/>
        <v>350</v>
      </c>
      <c r="Z260" s="221">
        <f t="shared" si="370"/>
        <v>3.0463363796697127</v>
      </c>
      <c r="AA260" s="177">
        <f t="shared" si="371"/>
        <v>2.004168670835337</v>
      </c>
      <c r="AB260" s="177">
        <f t="shared" si="396"/>
        <v>1.780733480446661</v>
      </c>
      <c r="AC260" s="177"/>
      <c r="AD260" s="177">
        <f t="shared" si="373"/>
        <v>0.53947368421052622</v>
      </c>
      <c r="AE260" s="555">
        <f t="shared" si="397"/>
        <v>994.64604402141595</v>
      </c>
      <c r="AF260" s="538">
        <f t="shared" si="398"/>
        <v>0.15482894736842101</v>
      </c>
      <c r="AH260" s="177">
        <f t="shared" si="399"/>
        <v>1.4680265804188719</v>
      </c>
      <c r="AI260" s="177">
        <f t="shared" si="400"/>
        <v>1.4680265804188719</v>
      </c>
      <c r="AJ260" s="177">
        <f t="shared" si="401"/>
        <v>1.6800196891991643</v>
      </c>
      <c r="AL260" s="555">
        <f t="shared" si="402"/>
        <v>440</v>
      </c>
      <c r="AM260" s="469">
        <f t="shared" si="403"/>
        <v>350</v>
      </c>
      <c r="AO260">
        <f t="shared" si="381"/>
        <v>440</v>
      </c>
      <c r="AP260">
        <f t="shared" si="382"/>
        <v>350</v>
      </c>
      <c r="AR260" s="5">
        <f t="shared" si="343"/>
        <v>2.8571428571428572</v>
      </c>
      <c r="AS260" s="5">
        <f t="shared" si="385"/>
        <v>0.41104744251728415</v>
      </c>
      <c r="AT260" s="5">
        <f t="shared" si="386"/>
        <v>2.4460954146255731</v>
      </c>
      <c r="AU260" s="177">
        <f t="shared" si="387"/>
        <v>0.14386660488104944</v>
      </c>
      <c r="CI260" s="571">
        <f t="shared" si="404"/>
        <v>-50</v>
      </c>
    </row>
    <row r="261" spans="5:87" x14ac:dyDescent="0.2">
      <c r="E261" s="174">
        <v>45</v>
      </c>
      <c r="F261" s="221">
        <f t="shared" si="405"/>
        <v>0.45</v>
      </c>
      <c r="G261" s="221">
        <f t="shared" si="388"/>
        <v>9.0000000000000011E-2</v>
      </c>
      <c r="H261" s="221">
        <f t="shared" si="389"/>
        <v>2.25</v>
      </c>
      <c r="I261" s="221">
        <f t="shared" si="390"/>
        <v>0.45000000000000007</v>
      </c>
      <c r="J261" s="551">
        <f t="shared" si="356"/>
        <v>25</v>
      </c>
      <c r="K261" s="451">
        <f t="shared" si="357"/>
        <v>10.64</v>
      </c>
      <c r="L261" s="451">
        <f t="shared" si="358"/>
        <v>35.64</v>
      </c>
      <c r="M261" s="451"/>
      <c r="N261" s="221">
        <f t="shared" si="359"/>
        <v>0.2985409652076319</v>
      </c>
      <c r="O261" s="176">
        <f t="shared" si="391"/>
        <v>11.475168350168351</v>
      </c>
      <c r="P261" s="176">
        <f t="shared" si="392"/>
        <v>2.7540404040404045</v>
      </c>
      <c r="Q261" s="221">
        <f t="shared" si="362"/>
        <v>2.2950336700336704</v>
      </c>
      <c r="R261" s="221">
        <f t="shared" si="393"/>
        <v>2.2950336700336704</v>
      </c>
      <c r="S261" s="221">
        <f t="shared" si="394"/>
        <v>5</v>
      </c>
      <c r="T261" s="221">
        <f t="shared" si="395"/>
        <v>0.80390977443609013</v>
      </c>
      <c r="U261" s="221">
        <f t="shared" si="366"/>
        <v>0.22509473684210521</v>
      </c>
      <c r="V261" s="221">
        <f t="shared" si="367"/>
        <v>0.52888800949742765</v>
      </c>
      <c r="W261" s="201">
        <f t="shared" si="368"/>
        <v>350</v>
      </c>
      <c r="X261" s="451">
        <f t="shared" si="369"/>
        <v>350</v>
      </c>
      <c r="Z261" s="221">
        <f t="shared" si="370"/>
        <v>3.0463363796697127</v>
      </c>
      <c r="AA261" s="177">
        <f t="shared" si="371"/>
        <v>2.004168670835337</v>
      </c>
      <c r="AB261" s="177">
        <f t="shared" si="396"/>
        <v>1.780733480446661</v>
      </c>
      <c r="AC261" s="177"/>
      <c r="AD261" s="177">
        <f t="shared" si="373"/>
        <v>0.53947368421052622</v>
      </c>
      <c r="AE261" s="555">
        <f t="shared" si="397"/>
        <v>1017.2516359309936</v>
      </c>
      <c r="AF261" s="538">
        <f t="shared" si="398"/>
        <v>0.15482894736842101</v>
      </c>
      <c r="AH261" s="177">
        <f t="shared" si="399"/>
        <v>1.4846149779161804</v>
      </c>
      <c r="AI261" s="177">
        <f t="shared" si="400"/>
        <v>1.4846149779161804</v>
      </c>
      <c r="AJ261" s="177">
        <f t="shared" si="401"/>
        <v>1.6923073910490225</v>
      </c>
      <c r="AL261" s="555">
        <f t="shared" si="402"/>
        <v>450</v>
      </c>
      <c r="AM261" s="469">
        <f t="shared" si="403"/>
        <v>350</v>
      </c>
      <c r="AO261">
        <f t="shared" si="381"/>
        <v>450</v>
      </c>
      <c r="AP261">
        <f t="shared" si="382"/>
        <v>350</v>
      </c>
      <c r="AR261" s="5">
        <f t="shared" si="343"/>
        <v>2.8571428571428572</v>
      </c>
      <c r="AS261" s="5">
        <f t="shared" si="385"/>
        <v>0.4156921938165305</v>
      </c>
      <c r="AT261" s="5">
        <f t="shared" si="386"/>
        <v>2.4414506633263269</v>
      </c>
      <c r="AU261" s="177">
        <f t="shared" si="387"/>
        <v>0.14549226783578567</v>
      </c>
      <c r="CI261" s="571">
        <f t="shared" si="404"/>
        <v>-50</v>
      </c>
    </row>
    <row r="262" spans="5:87" x14ac:dyDescent="0.2">
      <c r="E262" s="174">
        <v>46</v>
      </c>
      <c r="F262" s="221">
        <f t="shared" si="405"/>
        <v>0.46</v>
      </c>
      <c r="G262" s="221">
        <f t="shared" si="388"/>
        <v>9.2000000000000012E-2</v>
      </c>
      <c r="H262" s="221">
        <f t="shared" si="389"/>
        <v>2.3000000000000003</v>
      </c>
      <c r="I262" s="221">
        <f t="shared" si="390"/>
        <v>0.46000000000000008</v>
      </c>
      <c r="J262" s="551">
        <f t="shared" si="356"/>
        <v>25</v>
      </c>
      <c r="K262" s="451">
        <f t="shared" si="357"/>
        <v>10.64</v>
      </c>
      <c r="L262" s="451">
        <f t="shared" si="358"/>
        <v>35.64</v>
      </c>
      <c r="M262" s="451"/>
      <c r="N262" s="221">
        <f t="shared" si="359"/>
        <v>0.2985409652076319</v>
      </c>
      <c r="O262" s="176">
        <f t="shared" si="391"/>
        <v>11.475168350168351</v>
      </c>
      <c r="P262" s="176">
        <f t="shared" si="392"/>
        <v>2.7540404040404045</v>
      </c>
      <c r="Q262" s="221">
        <f t="shared" si="362"/>
        <v>2.2950336700336704</v>
      </c>
      <c r="R262" s="221">
        <f t="shared" si="393"/>
        <v>2.2950336700336704</v>
      </c>
      <c r="S262" s="221">
        <f t="shared" si="394"/>
        <v>5</v>
      </c>
      <c r="T262" s="221">
        <f t="shared" si="395"/>
        <v>0.82177443609022549</v>
      </c>
      <c r="U262" s="221">
        <f t="shared" si="366"/>
        <v>0.23009684210526313</v>
      </c>
      <c r="V262" s="221">
        <f t="shared" si="367"/>
        <v>0.54064107637514836</v>
      </c>
      <c r="W262" s="201">
        <f t="shared" si="368"/>
        <v>350</v>
      </c>
      <c r="X262" s="451">
        <f t="shared" si="369"/>
        <v>350</v>
      </c>
      <c r="Z262" s="221">
        <f t="shared" si="370"/>
        <v>3.0463363796697127</v>
      </c>
      <c r="AA262" s="177">
        <f t="shared" si="371"/>
        <v>2.004168670835337</v>
      </c>
      <c r="AB262" s="177">
        <f t="shared" si="396"/>
        <v>1.780733480446661</v>
      </c>
      <c r="AC262" s="177"/>
      <c r="AD262" s="177">
        <f t="shared" si="373"/>
        <v>0.53947368421052622</v>
      </c>
      <c r="AE262" s="555">
        <f t="shared" si="397"/>
        <v>1039.8572278405713</v>
      </c>
      <c r="AF262" s="538">
        <f t="shared" si="398"/>
        <v>0.15482894736842101</v>
      </c>
      <c r="AH262" s="177">
        <f t="shared" si="399"/>
        <v>1.5010200613215654</v>
      </c>
      <c r="AI262" s="177">
        <f t="shared" si="400"/>
        <v>1.5010200613215654</v>
      </c>
      <c r="AJ262" s="177">
        <f t="shared" si="401"/>
        <v>1.7044593046826408</v>
      </c>
      <c r="AL262" s="555">
        <f t="shared" si="402"/>
        <v>460</v>
      </c>
      <c r="AM262" s="469">
        <f t="shared" si="403"/>
        <v>350</v>
      </c>
      <c r="AO262">
        <f t="shared" si="381"/>
        <v>460</v>
      </c>
      <c r="AP262">
        <f t="shared" si="382"/>
        <v>350</v>
      </c>
      <c r="AR262" s="5">
        <f t="shared" si="343"/>
        <v>2.8571428571428572</v>
      </c>
      <c r="AS262" s="5">
        <f t="shared" si="385"/>
        <v>0.42028561717003826</v>
      </c>
      <c r="AT262" s="5">
        <f t="shared" si="386"/>
        <v>2.4368572399728188</v>
      </c>
      <c r="AU262" s="177">
        <f t="shared" si="387"/>
        <v>0.14709996600951339</v>
      </c>
      <c r="CI262" s="571">
        <f t="shared" si="404"/>
        <v>-50</v>
      </c>
    </row>
    <row r="263" spans="5:87" x14ac:dyDescent="0.2">
      <c r="E263" s="174">
        <v>47</v>
      </c>
      <c r="F263" s="221">
        <f t="shared" si="405"/>
        <v>0.47</v>
      </c>
      <c r="G263" s="221">
        <f t="shared" si="388"/>
        <v>9.4E-2</v>
      </c>
      <c r="H263" s="221">
        <f t="shared" si="389"/>
        <v>2.3499999999999996</v>
      </c>
      <c r="I263" s="221">
        <f t="shared" si="390"/>
        <v>0.47</v>
      </c>
      <c r="J263" s="551">
        <f t="shared" si="356"/>
        <v>25</v>
      </c>
      <c r="K263" s="451">
        <f t="shared" si="357"/>
        <v>10.64</v>
      </c>
      <c r="L263" s="451">
        <f t="shared" si="358"/>
        <v>35.64</v>
      </c>
      <c r="M263" s="451"/>
      <c r="N263" s="221">
        <f t="shared" si="359"/>
        <v>0.2985409652076319</v>
      </c>
      <c r="O263" s="176">
        <f t="shared" si="391"/>
        <v>11.475168350168351</v>
      </c>
      <c r="P263" s="176">
        <f t="shared" si="392"/>
        <v>2.7540404040404045</v>
      </c>
      <c r="Q263" s="221">
        <f t="shared" si="362"/>
        <v>2.2950336700336704</v>
      </c>
      <c r="R263" s="221">
        <f t="shared" si="393"/>
        <v>2.2950336700336704</v>
      </c>
      <c r="S263" s="221">
        <f t="shared" si="394"/>
        <v>5</v>
      </c>
      <c r="T263" s="221">
        <f t="shared" si="395"/>
        <v>0.83963909774436063</v>
      </c>
      <c r="U263" s="221">
        <f t="shared" si="366"/>
        <v>0.23509894736842096</v>
      </c>
      <c r="V263" s="221">
        <f t="shared" si="367"/>
        <v>0.55239414325286884</v>
      </c>
      <c r="W263" s="201">
        <f t="shared" si="368"/>
        <v>350</v>
      </c>
      <c r="X263" s="451">
        <f t="shared" si="369"/>
        <v>350</v>
      </c>
      <c r="Z263" s="221">
        <f t="shared" si="370"/>
        <v>3.0463363796697127</v>
      </c>
      <c r="AA263" s="177">
        <f t="shared" si="371"/>
        <v>2.004168670835337</v>
      </c>
      <c r="AB263" s="177">
        <f t="shared" si="396"/>
        <v>1.780733480446661</v>
      </c>
      <c r="AC263" s="177"/>
      <c r="AD263" s="177">
        <f t="shared" si="373"/>
        <v>0.53947368421052622</v>
      </c>
      <c r="AE263" s="555">
        <f t="shared" si="397"/>
        <v>1062.4628197501488</v>
      </c>
      <c r="AF263" s="538">
        <f t="shared" si="398"/>
        <v>0.15482894736842101</v>
      </c>
      <c r="AH263" s="177">
        <f t="shared" si="399"/>
        <v>1.5172477768402002</v>
      </c>
      <c r="AI263" s="177">
        <f t="shared" si="400"/>
        <v>1.5172477768402002</v>
      </c>
      <c r="AJ263" s="177">
        <f t="shared" si="401"/>
        <v>1.7164798346964445</v>
      </c>
      <c r="AL263" s="555">
        <f t="shared" si="402"/>
        <v>470</v>
      </c>
      <c r="AM263" s="469">
        <f t="shared" si="403"/>
        <v>350</v>
      </c>
      <c r="AO263">
        <f t="shared" si="381"/>
        <v>470</v>
      </c>
      <c r="AP263">
        <f t="shared" si="382"/>
        <v>350</v>
      </c>
      <c r="AR263" s="5">
        <f t="shared" ref="AR263:AR316" si="406">1/AM263*1000</f>
        <v>2.8571428571428572</v>
      </c>
      <c r="AS263" s="5">
        <f t="shared" si="385"/>
        <v>0.42482937751525607</v>
      </c>
      <c r="AT263" s="5">
        <f t="shared" si="386"/>
        <v>2.4323134796276014</v>
      </c>
      <c r="AU263" s="177">
        <f t="shared" si="387"/>
        <v>0.14869028213033961</v>
      </c>
      <c r="CI263" s="571">
        <f t="shared" si="404"/>
        <v>-50</v>
      </c>
    </row>
    <row r="264" spans="5:87" x14ac:dyDescent="0.2">
      <c r="E264" s="174">
        <v>48</v>
      </c>
      <c r="F264" s="221">
        <f t="shared" si="405"/>
        <v>0.48</v>
      </c>
      <c r="G264" s="221">
        <f t="shared" si="388"/>
        <v>9.6000000000000002E-2</v>
      </c>
      <c r="H264" s="221">
        <f t="shared" si="389"/>
        <v>2.4</v>
      </c>
      <c r="I264" s="221">
        <f t="shared" si="390"/>
        <v>0.48</v>
      </c>
      <c r="J264" s="551">
        <f t="shared" si="356"/>
        <v>25</v>
      </c>
      <c r="K264" s="451">
        <f t="shared" si="357"/>
        <v>10.64</v>
      </c>
      <c r="L264" s="451">
        <f t="shared" si="358"/>
        <v>35.64</v>
      </c>
      <c r="M264" s="451"/>
      <c r="N264" s="221">
        <f t="shared" si="359"/>
        <v>0.2985409652076319</v>
      </c>
      <c r="O264" s="176">
        <f t="shared" si="391"/>
        <v>11.475168350168351</v>
      </c>
      <c r="P264" s="176">
        <f t="shared" si="392"/>
        <v>2.7540404040404045</v>
      </c>
      <c r="Q264" s="221">
        <f t="shared" si="362"/>
        <v>2.2950336700336704</v>
      </c>
      <c r="R264" s="221">
        <f t="shared" si="393"/>
        <v>2.2950336700336704</v>
      </c>
      <c r="S264" s="221">
        <f t="shared" si="394"/>
        <v>5</v>
      </c>
      <c r="T264" s="221">
        <f t="shared" si="395"/>
        <v>0.8575037593984961</v>
      </c>
      <c r="U264" s="221">
        <f t="shared" si="366"/>
        <v>0.24010105263157888</v>
      </c>
      <c r="V264" s="221">
        <f t="shared" si="367"/>
        <v>0.56414721013058944</v>
      </c>
      <c r="W264" s="201">
        <f t="shared" si="368"/>
        <v>350</v>
      </c>
      <c r="X264" s="451">
        <f t="shared" si="369"/>
        <v>350</v>
      </c>
      <c r="Z264" s="221">
        <f t="shared" si="370"/>
        <v>3.0463363796697127</v>
      </c>
      <c r="AA264" s="177">
        <f t="shared" si="371"/>
        <v>2.004168670835337</v>
      </c>
      <c r="AB264" s="177">
        <f t="shared" si="396"/>
        <v>1.780733480446661</v>
      </c>
      <c r="AC264" s="177"/>
      <c r="AD264" s="177">
        <f t="shared" si="373"/>
        <v>0.53947368421052622</v>
      </c>
      <c r="AE264" s="555">
        <f t="shared" si="397"/>
        <v>1085.0684116597265</v>
      </c>
      <c r="AF264" s="538">
        <f t="shared" si="398"/>
        <v>0.15482894736842101</v>
      </c>
      <c r="AH264" s="177">
        <f t="shared" si="399"/>
        <v>1.5333037559998557</v>
      </c>
      <c r="AI264" s="177">
        <f t="shared" si="400"/>
        <v>1.5333037559998557</v>
      </c>
      <c r="AJ264" s="177">
        <f t="shared" si="401"/>
        <v>1.7283731525924857</v>
      </c>
      <c r="AL264" s="555">
        <f t="shared" si="402"/>
        <v>480</v>
      </c>
      <c r="AM264" s="469">
        <f t="shared" si="403"/>
        <v>350</v>
      </c>
      <c r="AO264">
        <f t="shared" si="381"/>
        <v>480</v>
      </c>
      <c r="AP264">
        <f t="shared" si="382"/>
        <v>350</v>
      </c>
      <c r="AR264" s="5">
        <f t="shared" si="406"/>
        <v>2.8571428571428572</v>
      </c>
      <c r="AS264" s="5">
        <f t="shared" si="385"/>
        <v>0.42932505167995955</v>
      </c>
      <c r="AT264" s="5">
        <f t="shared" si="386"/>
        <v>2.4278178054628978</v>
      </c>
      <c r="AU264" s="177">
        <f t="shared" si="387"/>
        <v>0.15026376808798583</v>
      </c>
      <c r="CI264" s="571">
        <f t="shared" si="404"/>
        <v>-50</v>
      </c>
    </row>
    <row r="265" spans="5:87" x14ac:dyDescent="0.2">
      <c r="E265" s="174">
        <v>49</v>
      </c>
      <c r="F265" s="221">
        <f t="shared" si="405"/>
        <v>0.49</v>
      </c>
      <c r="G265" s="221">
        <f t="shared" si="388"/>
        <v>9.8000000000000004E-2</v>
      </c>
      <c r="H265" s="221">
        <f t="shared" si="389"/>
        <v>2.4500000000000002</v>
      </c>
      <c r="I265" s="221">
        <f t="shared" si="390"/>
        <v>0.49</v>
      </c>
      <c r="J265" s="551">
        <f t="shared" si="356"/>
        <v>25</v>
      </c>
      <c r="K265" s="451">
        <f t="shared" si="357"/>
        <v>10.64</v>
      </c>
      <c r="L265" s="451">
        <f t="shared" si="358"/>
        <v>35.64</v>
      </c>
      <c r="M265" s="451"/>
      <c r="N265" s="221">
        <f t="shared" si="359"/>
        <v>0.2985409652076319</v>
      </c>
      <c r="O265" s="176">
        <f t="shared" si="391"/>
        <v>11.475168350168351</v>
      </c>
      <c r="P265" s="176">
        <f t="shared" si="392"/>
        <v>2.7540404040404045</v>
      </c>
      <c r="Q265" s="221">
        <f t="shared" si="362"/>
        <v>2.2950336700336704</v>
      </c>
      <c r="R265" s="221">
        <f t="shared" si="393"/>
        <v>2.2950336700336704</v>
      </c>
      <c r="S265" s="221">
        <f t="shared" si="394"/>
        <v>5</v>
      </c>
      <c r="T265" s="221">
        <f t="shared" si="395"/>
        <v>0.87536842105263157</v>
      </c>
      <c r="U265" s="221">
        <f t="shared" si="366"/>
        <v>0.24510315789473686</v>
      </c>
      <c r="V265" s="221">
        <f t="shared" si="367"/>
        <v>0.57590027700831015</v>
      </c>
      <c r="W265" s="201">
        <f t="shared" si="368"/>
        <v>350</v>
      </c>
      <c r="X265" s="451">
        <f t="shared" si="369"/>
        <v>350</v>
      </c>
      <c r="Z265" s="221">
        <f t="shared" si="370"/>
        <v>3.0463363796697127</v>
      </c>
      <c r="AA265" s="177">
        <f t="shared" si="371"/>
        <v>2.004168670835337</v>
      </c>
      <c r="AB265" s="177">
        <f t="shared" si="396"/>
        <v>1.780733480446661</v>
      </c>
      <c r="AC265" s="177"/>
      <c r="AD265" s="177">
        <f t="shared" si="373"/>
        <v>0.53947368421052622</v>
      </c>
      <c r="AE265" s="555">
        <f t="shared" si="397"/>
        <v>1107.6740035693042</v>
      </c>
      <c r="AF265" s="538">
        <f t="shared" si="398"/>
        <v>0.15482894736842101</v>
      </c>
      <c r="AH265" s="177">
        <f t="shared" si="399"/>
        <v>1.5491933384829668</v>
      </c>
      <c r="AI265" s="177">
        <f t="shared" si="400"/>
        <v>1.5491933384829668</v>
      </c>
      <c r="AJ265" s="177">
        <f t="shared" si="401"/>
        <v>1.7401432136910864</v>
      </c>
      <c r="AL265" s="555">
        <f t="shared" si="402"/>
        <v>490</v>
      </c>
      <c r="AM265" s="469">
        <f t="shared" si="403"/>
        <v>350</v>
      </c>
      <c r="AO265">
        <f t="shared" si="381"/>
        <v>490</v>
      </c>
      <c r="AP265">
        <f t="shared" si="382"/>
        <v>350</v>
      </c>
      <c r="AR265" s="5">
        <f t="shared" si="406"/>
        <v>2.8571428571428572</v>
      </c>
      <c r="AS265" s="5">
        <f t="shared" si="385"/>
        <v>0.43377413477523069</v>
      </c>
      <c r="AT265" s="5">
        <f t="shared" si="386"/>
        <v>2.4233687223676266</v>
      </c>
      <c r="AU265" s="177">
        <f t="shared" si="387"/>
        <v>0.15182094717133074</v>
      </c>
      <c r="CI265" s="571">
        <f t="shared" si="404"/>
        <v>-50</v>
      </c>
    </row>
    <row r="266" spans="5:87" x14ac:dyDescent="0.2">
      <c r="E266" s="174">
        <v>50</v>
      </c>
      <c r="F266" s="221">
        <f t="shared" si="405"/>
        <v>0.5</v>
      </c>
      <c r="G266" s="221">
        <f t="shared" si="388"/>
        <v>0.1</v>
      </c>
      <c r="H266" s="221">
        <f t="shared" si="389"/>
        <v>2.5</v>
      </c>
      <c r="I266" s="221">
        <f t="shared" si="390"/>
        <v>0.5</v>
      </c>
      <c r="J266" s="551">
        <f t="shared" si="356"/>
        <v>25</v>
      </c>
      <c r="K266" s="451">
        <f t="shared" si="357"/>
        <v>10.64</v>
      </c>
      <c r="L266" s="451">
        <f t="shared" si="358"/>
        <v>35.64</v>
      </c>
      <c r="M266" s="451"/>
      <c r="N266" s="221">
        <f t="shared" si="359"/>
        <v>0.2985409652076319</v>
      </c>
      <c r="O266" s="176">
        <f t="shared" si="391"/>
        <v>11.475168350168351</v>
      </c>
      <c r="P266" s="176">
        <f t="shared" si="392"/>
        <v>2.7540404040404045</v>
      </c>
      <c r="Q266" s="221">
        <f t="shared" si="362"/>
        <v>2.2950336700336704</v>
      </c>
      <c r="R266" s="221">
        <f t="shared" si="393"/>
        <v>2.2950336700336704</v>
      </c>
      <c r="S266" s="221">
        <f t="shared" si="394"/>
        <v>5</v>
      </c>
      <c r="T266" s="221">
        <f t="shared" si="395"/>
        <v>0.89323308270676682</v>
      </c>
      <c r="U266" s="221">
        <f t="shared" si="366"/>
        <v>0.25010526315789472</v>
      </c>
      <c r="V266" s="221">
        <f t="shared" si="367"/>
        <v>0.58765334388603074</v>
      </c>
      <c r="W266" s="201">
        <f t="shared" si="368"/>
        <v>350</v>
      </c>
      <c r="X266" s="451">
        <f t="shared" si="369"/>
        <v>350</v>
      </c>
      <c r="Z266" s="221">
        <f t="shared" si="370"/>
        <v>3.0463363796697127</v>
      </c>
      <c r="AA266" s="177">
        <f t="shared" si="371"/>
        <v>2.004168670835337</v>
      </c>
      <c r="AB266" s="177">
        <f t="shared" si="396"/>
        <v>1.780733480446661</v>
      </c>
      <c r="AC266" s="177"/>
      <c r="AD266" s="177">
        <f t="shared" si="373"/>
        <v>0.53947368421052622</v>
      </c>
      <c r="AE266" s="555">
        <f t="shared" si="397"/>
        <v>1130.2795954788819</v>
      </c>
      <c r="AF266" s="538">
        <f t="shared" si="398"/>
        <v>0.15482894736842101</v>
      </c>
      <c r="AH266" s="177">
        <f t="shared" si="399"/>
        <v>1.5649215928719031</v>
      </c>
      <c r="AI266" s="177">
        <f t="shared" si="400"/>
        <v>1.5649215928719031</v>
      </c>
      <c r="AJ266" s="177">
        <f t="shared" si="401"/>
        <v>1.751793772497706</v>
      </c>
      <c r="AL266" s="555">
        <f t="shared" si="402"/>
        <v>500</v>
      </c>
      <c r="AM266" s="469">
        <f t="shared" si="403"/>
        <v>350</v>
      </c>
      <c r="AO266">
        <f t="shared" si="381"/>
        <v>500</v>
      </c>
      <c r="AP266">
        <f t="shared" si="382"/>
        <v>350</v>
      </c>
      <c r="AR266" s="5">
        <f t="shared" si="406"/>
        <v>2.8571428571428572</v>
      </c>
      <c r="AS266" s="5">
        <f t="shared" si="385"/>
        <v>0.43817804600413285</v>
      </c>
      <c r="AT266" s="5">
        <f t="shared" si="386"/>
        <v>2.4189648111387245</v>
      </c>
      <c r="AU266" s="177">
        <f t="shared" si="387"/>
        <v>0.15336231610144649</v>
      </c>
      <c r="CI266" s="571">
        <f t="shared" si="404"/>
        <v>-50</v>
      </c>
    </row>
    <row r="267" spans="5:87" x14ac:dyDescent="0.2">
      <c r="E267" s="174">
        <v>51</v>
      </c>
      <c r="F267" s="221">
        <f t="shared" si="405"/>
        <v>0.51</v>
      </c>
      <c r="G267" s="221">
        <f t="shared" si="388"/>
        <v>0.10200000000000001</v>
      </c>
      <c r="H267" s="221">
        <f t="shared" si="389"/>
        <v>2.5499999999999998</v>
      </c>
      <c r="I267" s="221">
        <f t="shared" si="390"/>
        <v>0.51</v>
      </c>
      <c r="J267" s="551">
        <f t="shared" si="356"/>
        <v>25</v>
      </c>
      <c r="K267" s="451">
        <f t="shared" si="357"/>
        <v>10.64</v>
      </c>
      <c r="L267" s="451">
        <f t="shared" si="358"/>
        <v>35.64</v>
      </c>
      <c r="M267" s="451"/>
      <c r="N267" s="221">
        <f t="shared" si="359"/>
        <v>0.2985409652076319</v>
      </c>
      <c r="O267" s="176">
        <f t="shared" si="391"/>
        <v>11.475168350168351</v>
      </c>
      <c r="P267" s="176">
        <f t="shared" si="392"/>
        <v>2.7540404040404045</v>
      </c>
      <c r="Q267" s="221">
        <f t="shared" si="362"/>
        <v>2.2950336700336704</v>
      </c>
      <c r="R267" s="221">
        <f t="shared" si="393"/>
        <v>2.2950336700336704</v>
      </c>
      <c r="S267" s="221">
        <f t="shared" si="394"/>
        <v>5</v>
      </c>
      <c r="T267" s="221">
        <f t="shared" si="395"/>
        <v>0.91109774436090207</v>
      </c>
      <c r="U267" s="221">
        <f t="shared" si="366"/>
        <v>0.25510736842105253</v>
      </c>
      <c r="V267" s="221">
        <f t="shared" si="367"/>
        <v>0.59940641076375123</v>
      </c>
      <c r="W267" s="201">
        <f t="shared" si="368"/>
        <v>350</v>
      </c>
      <c r="X267" s="451">
        <f t="shared" si="369"/>
        <v>350</v>
      </c>
      <c r="Z267" s="221">
        <f t="shared" si="370"/>
        <v>3.0463363796697127</v>
      </c>
      <c r="AA267" s="177">
        <f t="shared" si="371"/>
        <v>2.004168670835337</v>
      </c>
      <c r="AB267" s="177">
        <f t="shared" si="396"/>
        <v>1.780733480446661</v>
      </c>
      <c r="AC267" s="177"/>
      <c r="AD267" s="177">
        <f t="shared" si="373"/>
        <v>0.53947368421052622</v>
      </c>
      <c r="AE267" s="555">
        <f t="shared" si="397"/>
        <v>1152.8851873884594</v>
      </c>
      <c r="AF267" s="538">
        <f t="shared" si="398"/>
        <v>0.15482894736842101</v>
      </c>
      <c r="AH267" s="177">
        <f t="shared" si="399"/>
        <v>1.5804933355359234</v>
      </c>
      <c r="AI267" s="177">
        <f t="shared" si="400"/>
        <v>1.5804933355359234</v>
      </c>
      <c r="AJ267" s="177">
        <f t="shared" si="401"/>
        <v>1.7633283966932765</v>
      </c>
      <c r="AL267" s="555">
        <f t="shared" si="402"/>
        <v>510</v>
      </c>
      <c r="AM267" s="469">
        <f t="shared" si="403"/>
        <v>350</v>
      </c>
      <c r="AO267">
        <f t="shared" si="381"/>
        <v>510</v>
      </c>
      <c r="AP267">
        <f t="shared" si="382"/>
        <v>350</v>
      </c>
      <c r="AR267" s="5">
        <f t="shared" si="406"/>
        <v>2.8571428571428572</v>
      </c>
      <c r="AS267" s="5">
        <f t="shared" si="385"/>
        <v>0.44253813395005859</v>
      </c>
      <c r="AT267" s="5">
        <f t="shared" si="386"/>
        <v>2.4146047231927987</v>
      </c>
      <c r="AU267" s="177">
        <f t="shared" si="387"/>
        <v>0.15488834688252051</v>
      </c>
      <c r="CI267" s="571">
        <f t="shared" si="404"/>
        <v>-50</v>
      </c>
    </row>
    <row r="268" spans="5:87" x14ac:dyDescent="0.2">
      <c r="E268" s="174">
        <v>52</v>
      </c>
      <c r="F268" s="221">
        <f t="shared" si="405"/>
        <v>0.52</v>
      </c>
      <c r="G268" s="221">
        <f t="shared" si="388"/>
        <v>0.10400000000000001</v>
      </c>
      <c r="H268" s="221">
        <f t="shared" si="389"/>
        <v>2.6</v>
      </c>
      <c r="I268" s="221">
        <f t="shared" si="390"/>
        <v>0.52</v>
      </c>
      <c r="J268" s="551">
        <f t="shared" si="356"/>
        <v>25</v>
      </c>
      <c r="K268" s="451">
        <f t="shared" si="357"/>
        <v>10.64</v>
      </c>
      <c r="L268" s="451">
        <f t="shared" si="358"/>
        <v>35.64</v>
      </c>
      <c r="M268" s="451"/>
      <c r="N268" s="221">
        <f t="shared" si="359"/>
        <v>0.2985409652076319</v>
      </c>
      <c r="O268" s="176">
        <f t="shared" si="391"/>
        <v>11.475168350168351</v>
      </c>
      <c r="P268" s="176">
        <f t="shared" si="392"/>
        <v>2.7540404040404045</v>
      </c>
      <c r="Q268" s="221">
        <f t="shared" si="362"/>
        <v>2.2950336700336704</v>
      </c>
      <c r="R268" s="221">
        <f t="shared" si="393"/>
        <v>2.2950336700336704</v>
      </c>
      <c r="S268" s="221">
        <f t="shared" si="394"/>
        <v>5</v>
      </c>
      <c r="T268" s="221">
        <f t="shared" si="395"/>
        <v>0.92896240601503755</v>
      </c>
      <c r="U268" s="221">
        <f t="shared" si="366"/>
        <v>0.2601094736842105</v>
      </c>
      <c r="V268" s="221">
        <f t="shared" si="367"/>
        <v>0.61115947764147194</v>
      </c>
      <c r="W268" s="201">
        <f t="shared" si="368"/>
        <v>350</v>
      </c>
      <c r="X268" s="451">
        <f t="shared" si="369"/>
        <v>350</v>
      </c>
      <c r="Z268" s="221">
        <f t="shared" si="370"/>
        <v>3.0463363796697127</v>
      </c>
      <c r="AA268" s="177">
        <f t="shared" si="371"/>
        <v>2.004168670835337</v>
      </c>
      <c r="AB268" s="177">
        <f t="shared" si="396"/>
        <v>1.780733480446661</v>
      </c>
      <c r="AC268" s="177"/>
      <c r="AD268" s="177">
        <f t="shared" si="373"/>
        <v>0.53947368421052622</v>
      </c>
      <c r="AE268" s="555">
        <f t="shared" si="397"/>
        <v>1175.4907792980371</v>
      </c>
      <c r="AF268" s="538">
        <f t="shared" si="398"/>
        <v>0.15482894736842101</v>
      </c>
      <c r="AH268" s="177">
        <f t="shared" si="399"/>
        <v>1.5959131478593076</v>
      </c>
      <c r="AI268" s="177">
        <f t="shared" si="400"/>
        <v>1.5959131478593076</v>
      </c>
      <c r="AJ268" s="177">
        <f t="shared" si="401"/>
        <v>1.7747504798957834</v>
      </c>
      <c r="AL268" s="555">
        <f t="shared" si="402"/>
        <v>520</v>
      </c>
      <c r="AM268" s="469">
        <f t="shared" si="403"/>
        <v>350</v>
      </c>
      <c r="AO268">
        <f t="shared" si="381"/>
        <v>520</v>
      </c>
      <c r="AP268">
        <f t="shared" si="382"/>
        <v>350</v>
      </c>
      <c r="AR268" s="5">
        <f t="shared" si="406"/>
        <v>2.8571428571428572</v>
      </c>
      <c r="AS268" s="5">
        <f t="shared" si="385"/>
        <v>0.44685568140060616</v>
      </c>
      <c r="AT268" s="5">
        <f t="shared" si="386"/>
        <v>2.4102871757422513</v>
      </c>
      <c r="AU268" s="177">
        <f t="shared" si="387"/>
        <v>0.15639948849021215</v>
      </c>
      <c r="CI268" s="571">
        <f t="shared" si="404"/>
        <v>-50</v>
      </c>
    </row>
    <row r="269" spans="5:87" x14ac:dyDescent="0.2">
      <c r="E269" s="174">
        <v>53</v>
      </c>
      <c r="F269" s="221">
        <f t="shared" si="405"/>
        <v>0.53</v>
      </c>
      <c r="G269" s="221">
        <f t="shared" si="388"/>
        <v>0.10600000000000001</v>
      </c>
      <c r="H269" s="221">
        <f t="shared" si="389"/>
        <v>2.6500000000000004</v>
      </c>
      <c r="I269" s="221">
        <f t="shared" si="390"/>
        <v>0.53</v>
      </c>
      <c r="J269" s="551">
        <f t="shared" si="356"/>
        <v>25</v>
      </c>
      <c r="K269" s="451">
        <f t="shared" si="357"/>
        <v>10.64</v>
      </c>
      <c r="L269" s="451">
        <f t="shared" si="358"/>
        <v>35.64</v>
      </c>
      <c r="M269" s="451"/>
      <c r="N269" s="221">
        <f t="shared" si="359"/>
        <v>0.2985409652076319</v>
      </c>
      <c r="O269" s="176">
        <f t="shared" si="391"/>
        <v>11.475168350168351</v>
      </c>
      <c r="P269" s="176">
        <f t="shared" si="392"/>
        <v>2.7540404040404045</v>
      </c>
      <c r="Q269" s="221">
        <f t="shared" si="362"/>
        <v>2.2950336700336704</v>
      </c>
      <c r="R269" s="221">
        <f t="shared" si="393"/>
        <v>2.2950336700336704</v>
      </c>
      <c r="S269" s="221">
        <f t="shared" si="394"/>
        <v>5</v>
      </c>
      <c r="T269" s="221">
        <f t="shared" si="395"/>
        <v>0.94682706766917302</v>
      </c>
      <c r="U269" s="221">
        <f t="shared" si="366"/>
        <v>0.26511157894736842</v>
      </c>
      <c r="V269" s="221">
        <f t="shared" si="367"/>
        <v>0.62291254451919276</v>
      </c>
      <c r="W269" s="201">
        <f t="shared" si="368"/>
        <v>350</v>
      </c>
      <c r="X269" s="451">
        <f t="shared" si="369"/>
        <v>350</v>
      </c>
      <c r="Z269" s="221">
        <f t="shared" si="370"/>
        <v>3.0463363796697127</v>
      </c>
      <c r="AA269" s="177">
        <f t="shared" si="371"/>
        <v>2.004168670835337</v>
      </c>
      <c r="AB269" s="177">
        <f t="shared" si="396"/>
        <v>1.780733480446661</v>
      </c>
      <c r="AC269" s="177"/>
      <c r="AD269" s="177">
        <f t="shared" si="373"/>
        <v>0.53947368421052622</v>
      </c>
      <c r="AE269" s="555">
        <f t="shared" si="397"/>
        <v>1198.096371207615</v>
      </c>
      <c r="AF269" s="538">
        <f t="shared" si="398"/>
        <v>0.15482894736842101</v>
      </c>
      <c r="AH269" s="177">
        <f t="shared" si="399"/>
        <v>1.6111853919853356</v>
      </c>
      <c r="AI269" s="177">
        <f t="shared" si="400"/>
        <v>1.6111853919853356</v>
      </c>
      <c r="AJ269" s="177">
        <f t="shared" si="401"/>
        <v>1.7860632533224707</v>
      </c>
      <c r="AL269" s="555">
        <f t="shared" si="402"/>
        <v>530</v>
      </c>
      <c r="AM269" s="469">
        <f t="shared" si="403"/>
        <v>350</v>
      </c>
      <c r="AO269">
        <f t="shared" si="381"/>
        <v>530</v>
      </c>
      <c r="AP269">
        <f t="shared" si="382"/>
        <v>350</v>
      </c>
      <c r="AR269" s="5">
        <f t="shared" si="406"/>
        <v>2.8571428571428572</v>
      </c>
      <c r="AS269" s="5">
        <f t="shared" si="385"/>
        <v>0.45113190975589396</v>
      </c>
      <c r="AT269" s="5">
        <f t="shared" si="386"/>
        <v>2.4060109473869633</v>
      </c>
      <c r="AU269" s="177">
        <f t="shared" si="387"/>
        <v>0.15789616841456289</v>
      </c>
      <c r="CI269" s="571">
        <f t="shared" si="404"/>
        <v>-50</v>
      </c>
    </row>
    <row r="270" spans="5:87" x14ac:dyDescent="0.2">
      <c r="E270" s="174">
        <v>54</v>
      </c>
      <c r="F270" s="221">
        <f t="shared" si="405"/>
        <v>0.54</v>
      </c>
      <c r="G270" s="221">
        <f t="shared" si="388"/>
        <v>0.10800000000000001</v>
      </c>
      <c r="H270" s="221">
        <f t="shared" si="389"/>
        <v>2.7</v>
      </c>
      <c r="I270" s="221">
        <f t="shared" si="390"/>
        <v>0.54</v>
      </c>
      <c r="J270" s="551">
        <f t="shared" si="356"/>
        <v>25</v>
      </c>
      <c r="K270" s="451">
        <f t="shared" si="357"/>
        <v>10.64</v>
      </c>
      <c r="L270" s="451">
        <f t="shared" si="358"/>
        <v>35.64</v>
      </c>
      <c r="M270" s="451"/>
      <c r="N270" s="221">
        <f t="shared" si="359"/>
        <v>0.2985409652076319</v>
      </c>
      <c r="O270" s="176">
        <f t="shared" si="391"/>
        <v>11.475168350168351</v>
      </c>
      <c r="P270" s="176">
        <f t="shared" si="392"/>
        <v>2.7540404040404045</v>
      </c>
      <c r="Q270" s="221">
        <f t="shared" si="362"/>
        <v>2.2950336700336704</v>
      </c>
      <c r="R270" s="221">
        <f t="shared" si="393"/>
        <v>2.2950336700336704</v>
      </c>
      <c r="S270" s="221">
        <f t="shared" si="394"/>
        <v>5</v>
      </c>
      <c r="T270" s="221">
        <f t="shared" si="395"/>
        <v>0.96469172932330827</v>
      </c>
      <c r="U270" s="221">
        <f t="shared" si="366"/>
        <v>0.27011368421052628</v>
      </c>
      <c r="V270" s="221">
        <f t="shared" si="367"/>
        <v>0.63466561139691335</v>
      </c>
      <c r="W270" s="201">
        <f t="shared" si="368"/>
        <v>350</v>
      </c>
      <c r="X270" s="451">
        <f t="shared" si="369"/>
        <v>350</v>
      </c>
      <c r="Z270" s="221">
        <f t="shared" si="370"/>
        <v>3.0463363796697127</v>
      </c>
      <c r="AA270" s="177">
        <f t="shared" si="371"/>
        <v>2.004168670835337</v>
      </c>
      <c r="AB270" s="177">
        <f t="shared" si="396"/>
        <v>1.780733480446661</v>
      </c>
      <c r="AC270" s="177"/>
      <c r="AD270" s="177">
        <f t="shared" si="373"/>
        <v>0.53947368421052622</v>
      </c>
      <c r="AE270" s="555">
        <f t="shared" si="397"/>
        <v>1220.7019631171925</v>
      </c>
      <c r="AF270" s="538">
        <f t="shared" si="398"/>
        <v>0.15482894736842101</v>
      </c>
      <c r="AH270" s="177">
        <f t="shared" si="399"/>
        <v>1.6263142252294522</v>
      </c>
      <c r="AI270" s="177">
        <f t="shared" si="400"/>
        <v>1.6263142252294522</v>
      </c>
      <c r="AJ270" s="177">
        <f t="shared" si="401"/>
        <v>1.7972697964662609</v>
      </c>
      <c r="AL270" s="555">
        <f t="shared" si="402"/>
        <v>540</v>
      </c>
      <c r="AM270" s="469">
        <f t="shared" si="403"/>
        <v>350</v>
      </c>
      <c r="AO270">
        <f t="shared" si="381"/>
        <v>540</v>
      </c>
      <c r="AP270">
        <f t="shared" si="382"/>
        <v>350</v>
      </c>
      <c r="AR270" s="5">
        <f t="shared" si="406"/>
        <v>2.8571428571428572</v>
      </c>
      <c r="AS270" s="5">
        <f t="shared" si="385"/>
        <v>0.45536798306424664</v>
      </c>
      <c r="AT270" s="5">
        <f t="shared" si="386"/>
        <v>2.4017748740786105</v>
      </c>
      <c r="AU270" s="177">
        <f t="shared" si="387"/>
        <v>0.15937879407248631</v>
      </c>
      <c r="CI270" s="571">
        <f t="shared" si="404"/>
        <v>-50</v>
      </c>
    </row>
    <row r="271" spans="5:87" x14ac:dyDescent="0.2">
      <c r="E271" s="174">
        <v>55</v>
      </c>
      <c r="F271" s="221">
        <f t="shared" si="405"/>
        <v>0.55000000000000004</v>
      </c>
      <c r="G271" s="221">
        <f t="shared" si="388"/>
        <v>0.11000000000000001</v>
      </c>
      <c r="H271" s="221">
        <f t="shared" si="389"/>
        <v>2.75</v>
      </c>
      <c r="I271" s="221">
        <f t="shared" si="390"/>
        <v>0.55000000000000004</v>
      </c>
      <c r="J271" s="551">
        <f t="shared" si="356"/>
        <v>25</v>
      </c>
      <c r="K271" s="451">
        <f t="shared" si="357"/>
        <v>10.64</v>
      </c>
      <c r="L271" s="451">
        <f t="shared" si="358"/>
        <v>35.64</v>
      </c>
      <c r="M271" s="451"/>
      <c r="N271" s="221">
        <f t="shared" si="359"/>
        <v>0.2985409652076319</v>
      </c>
      <c r="O271" s="176">
        <f t="shared" si="391"/>
        <v>11.475168350168351</v>
      </c>
      <c r="P271" s="176">
        <f t="shared" si="392"/>
        <v>2.7540404040404045</v>
      </c>
      <c r="Q271" s="221">
        <f t="shared" si="362"/>
        <v>2.2950336700336704</v>
      </c>
      <c r="R271" s="221">
        <f t="shared" si="393"/>
        <v>2.2950336700336704</v>
      </c>
      <c r="S271" s="221">
        <f t="shared" si="394"/>
        <v>5</v>
      </c>
      <c r="T271" s="221">
        <f t="shared" si="395"/>
        <v>0.98255639097744341</v>
      </c>
      <c r="U271" s="221">
        <f t="shared" si="366"/>
        <v>0.27511578947368415</v>
      </c>
      <c r="V271" s="221">
        <f t="shared" si="367"/>
        <v>0.64641867827463373</v>
      </c>
      <c r="W271" s="201">
        <f t="shared" si="368"/>
        <v>350</v>
      </c>
      <c r="X271" s="451">
        <f t="shared" si="369"/>
        <v>350</v>
      </c>
      <c r="Z271" s="221">
        <f t="shared" si="370"/>
        <v>3.0463363796697127</v>
      </c>
      <c r="AA271" s="177">
        <f t="shared" si="371"/>
        <v>2.004168670835337</v>
      </c>
      <c r="AB271" s="177">
        <f t="shared" si="396"/>
        <v>1.780733480446661</v>
      </c>
      <c r="AC271" s="177"/>
      <c r="AD271" s="177">
        <f t="shared" si="373"/>
        <v>0.53947368421052622</v>
      </c>
      <c r="AE271" s="555">
        <f t="shared" si="397"/>
        <v>1243.3075550267702</v>
      </c>
      <c r="AF271" s="538">
        <f t="shared" si="398"/>
        <v>0.15482894736842101</v>
      </c>
      <c r="AH271" s="177">
        <f t="shared" si="399"/>
        <v>1.6413036132965795</v>
      </c>
      <c r="AI271" s="177">
        <f t="shared" si="400"/>
        <v>1.6413036132965795</v>
      </c>
      <c r="AJ271" s="177">
        <f t="shared" si="401"/>
        <v>1.8083730468863553</v>
      </c>
      <c r="AL271" s="555">
        <f t="shared" si="402"/>
        <v>550</v>
      </c>
      <c r="AM271" s="469">
        <f t="shared" si="403"/>
        <v>350</v>
      </c>
      <c r="AO271">
        <f t="shared" si="381"/>
        <v>550</v>
      </c>
      <c r="AP271">
        <f t="shared" si="382"/>
        <v>350</v>
      </c>
      <c r="AR271" s="5">
        <f t="shared" si="406"/>
        <v>2.8571428571428572</v>
      </c>
      <c r="AS271" s="5">
        <f t="shared" si="385"/>
        <v>0.45956501172304226</v>
      </c>
      <c r="AT271" s="5">
        <f t="shared" si="386"/>
        <v>2.3975778454198151</v>
      </c>
      <c r="AU271" s="177">
        <f t="shared" si="387"/>
        <v>0.16084775410306479</v>
      </c>
      <c r="CI271" s="571">
        <f t="shared" si="404"/>
        <v>-50</v>
      </c>
    </row>
    <row r="272" spans="5:87" x14ac:dyDescent="0.2">
      <c r="E272" s="174">
        <v>56</v>
      </c>
      <c r="F272" s="221">
        <f t="shared" si="405"/>
        <v>0.56000000000000005</v>
      </c>
      <c r="G272" s="221">
        <f t="shared" si="388"/>
        <v>0.11200000000000002</v>
      </c>
      <c r="H272" s="221">
        <f t="shared" si="389"/>
        <v>2.8000000000000003</v>
      </c>
      <c r="I272" s="221">
        <f t="shared" si="390"/>
        <v>0.56000000000000005</v>
      </c>
      <c r="J272" s="551">
        <f t="shared" si="356"/>
        <v>25</v>
      </c>
      <c r="K272" s="451">
        <f t="shared" si="357"/>
        <v>10.64</v>
      </c>
      <c r="L272" s="451">
        <f t="shared" si="358"/>
        <v>35.64</v>
      </c>
      <c r="M272" s="451"/>
      <c r="N272" s="221">
        <f t="shared" si="359"/>
        <v>0.2985409652076319</v>
      </c>
      <c r="O272" s="176">
        <f t="shared" si="391"/>
        <v>11.475168350168351</v>
      </c>
      <c r="P272" s="176">
        <f t="shared" si="392"/>
        <v>2.7540404040404045</v>
      </c>
      <c r="Q272" s="221">
        <f t="shared" si="362"/>
        <v>2.2950336700336704</v>
      </c>
      <c r="R272" s="221">
        <f t="shared" si="393"/>
        <v>2.2950336700336704</v>
      </c>
      <c r="S272" s="221">
        <f t="shared" si="394"/>
        <v>5</v>
      </c>
      <c r="T272" s="221">
        <f t="shared" si="395"/>
        <v>1.0004210526315789</v>
      </c>
      <c r="U272" s="221">
        <f t="shared" si="366"/>
        <v>0.28011789473684212</v>
      </c>
      <c r="V272" s="221">
        <f t="shared" si="367"/>
        <v>0.65817174515235444</v>
      </c>
      <c r="W272" s="201">
        <f t="shared" si="368"/>
        <v>350</v>
      </c>
      <c r="X272" s="451">
        <f t="shared" si="369"/>
        <v>350</v>
      </c>
      <c r="Z272" s="221">
        <f t="shared" si="370"/>
        <v>3.0463363796697127</v>
      </c>
      <c r="AA272" s="177">
        <f t="shared" si="371"/>
        <v>2.004168670835337</v>
      </c>
      <c r="AB272" s="177">
        <f t="shared" si="396"/>
        <v>1.780733480446661</v>
      </c>
      <c r="AC272" s="177"/>
      <c r="AD272" s="177">
        <f t="shared" si="373"/>
        <v>0.53947368421052622</v>
      </c>
      <c r="AE272" s="555">
        <f t="shared" si="397"/>
        <v>1265.9131469363476</v>
      </c>
      <c r="AF272" s="538">
        <f t="shared" si="398"/>
        <v>0.15482894736842101</v>
      </c>
      <c r="AH272" s="177">
        <f t="shared" si="399"/>
        <v>1.65615734242165</v>
      </c>
      <c r="AI272" s="177">
        <f t="shared" si="400"/>
        <v>1.65615734242165</v>
      </c>
      <c r="AJ272" s="177">
        <f t="shared" si="401"/>
        <v>1.8193758092012222</v>
      </c>
      <c r="AL272" s="555">
        <f t="shared" si="402"/>
        <v>560</v>
      </c>
      <c r="AM272" s="469">
        <f t="shared" si="403"/>
        <v>350</v>
      </c>
      <c r="AO272">
        <f t="shared" si="381"/>
        <v>560</v>
      </c>
      <c r="AP272">
        <f t="shared" si="382"/>
        <v>350</v>
      </c>
      <c r="AR272" s="5">
        <f t="shared" si="406"/>
        <v>2.8571428571428572</v>
      </c>
      <c r="AS272" s="5">
        <f t="shared" si="385"/>
        <v>0.46372405587806198</v>
      </c>
      <c r="AT272" s="5">
        <f t="shared" si="386"/>
        <v>2.3934188012647954</v>
      </c>
      <c r="AU272" s="177">
        <f t="shared" si="387"/>
        <v>0.16230341955732169</v>
      </c>
      <c r="CI272" s="571">
        <f t="shared" si="404"/>
        <v>-50</v>
      </c>
    </row>
    <row r="273" spans="5:87" x14ac:dyDescent="0.2">
      <c r="E273" s="174">
        <v>57</v>
      </c>
      <c r="F273" s="221">
        <f t="shared" si="405"/>
        <v>0.56999999999999995</v>
      </c>
      <c r="G273" s="221">
        <f t="shared" si="388"/>
        <v>0.11399999999999999</v>
      </c>
      <c r="H273" s="221">
        <f t="shared" si="389"/>
        <v>2.8499999999999996</v>
      </c>
      <c r="I273" s="221">
        <f t="shared" si="390"/>
        <v>0.56999999999999995</v>
      </c>
      <c r="J273" s="551">
        <f t="shared" si="356"/>
        <v>25</v>
      </c>
      <c r="K273" s="451">
        <f t="shared" si="357"/>
        <v>10.64</v>
      </c>
      <c r="L273" s="451">
        <f t="shared" si="358"/>
        <v>35.64</v>
      </c>
      <c r="M273" s="451"/>
      <c r="N273" s="221">
        <f t="shared" si="359"/>
        <v>0.2985409652076319</v>
      </c>
      <c r="O273" s="176">
        <f t="shared" si="391"/>
        <v>11.475168350168351</v>
      </c>
      <c r="P273" s="176">
        <f t="shared" si="392"/>
        <v>2.7540404040404045</v>
      </c>
      <c r="Q273" s="221">
        <f t="shared" si="362"/>
        <v>2.2950336700336704</v>
      </c>
      <c r="R273" s="221">
        <f t="shared" si="393"/>
        <v>2.2950336700336704</v>
      </c>
      <c r="S273" s="221">
        <f t="shared" si="394"/>
        <v>5</v>
      </c>
      <c r="T273" s="221">
        <f t="shared" si="395"/>
        <v>1.018285714285714</v>
      </c>
      <c r="U273" s="221">
        <f t="shared" si="366"/>
        <v>0.28511999999999987</v>
      </c>
      <c r="V273" s="221">
        <f t="shared" si="367"/>
        <v>0.66992481203007492</v>
      </c>
      <c r="W273" s="201">
        <f t="shared" si="368"/>
        <v>350</v>
      </c>
      <c r="X273" s="451">
        <f t="shared" si="369"/>
        <v>350</v>
      </c>
      <c r="Z273" s="221">
        <f t="shared" si="370"/>
        <v>3.0463363796697127</v>
      </c>
      <c r="AA273" s="177">
        <f t="shared" si="371"/>
        <v>2.004168670835337</v>
      </c>
      <c r="AB273" s="177">
        <f t="shared" si="396"/>
        <v>1.780733480446661</v>
      </c>
      <c r="AC273" s="177"/>
      <c r="AD273" s="177">
        <f t="shared" si="373"/>
        <v>0.53947368421052622</v>
      </c>
      <c r="AE273" s="555">
        <f t="shared" si="397"/>
        <v>1288.5187388459251</v>
      </c>
      <c r="AF273" s="538">
        <f t="shared" si="398"/>
        <v>0.15482894736842101</v>
      </c>
      <c r="AH273" s="177">
        <f t="shared" si="399"/>
        <v>1.6708790305386794</v>
      </c>
      <c r="AI273" s="177">
        <f t="shared" si="400"/>
        <v>1.6708790305386794</v>
      </c>
      <c r="AJ273" s="177">
        <f t="shared" si="401"/>
        <v>1.8302807633619846</v>
      </c>
      <c r="AL273" s="555">
        <f t="shared" si="402"/>
        <v>570</v>
      </c>
      <c r="AM273" s="469">
        <f t="shared" si="403"/>
        <v>350</v>
      </c>
      <c r="AO273">
        <f t="shared" si="381"/>
        <v>570</v>
      </c>
      <c r="AP273">
        <f t="shared" si="382"/>
        <v>350</v>
      </c>
      <c r="AR273" s="5">
        <f t="shared" si="406"/>
        <v>2.8571428571428572</v>
      </c>
      <c r="AS273" s="5">
        <f t="shared" si="385"/>
        <v>0.46784612855083019</v>
      </c>
      <c r="AT273" s="5">
        <f t="shared" si="386"/>
        <v>2.389296728592027</v>
      </c>
      <c r="AU273" s="177">
        <f t="shared" si="387"/>
        <v>0.16374614499279055</v>
      </c>
      <c r="CI273" s="571">
        <f t="shared" si="404"/>
        <v>-50</v>
      </c>
    </row>
    <row r="274" spans="5:87" x14ac:dyDescent="0.2">
      <c r="E274" s="174">
        <v>58</v>
      </c>
      <c r="F274" s="221">
        <f t="shared" si="405"/>
        <v>0.57999999999999996</v>
      </c>
      <c r="G274" s="221">
        <f t="shared" si="388"/>
        <v>0.11599999999999999</v>
      </c>
      <c r="H274" s="221">
        <f t="shared" si="389"/>
        <v>2.9</v>
      </c>
      <c r="I274" s="221">
        <f t="shared" si="390"/>
        <v>0.57999999999999996</v>
      </c>
      <c r="J274" s="551">
        <f t="shared" si="356"/>
        <v>25</v>
      </c>
      <c r="K274" s="451">
        <f t="shared" si="357"/>
        <v>10.64</v>
      </c>
      <c r="L274" s="451">
        <f t="shared" si="358"/>
        <v>35.64</v>
      </c>
      <c r="M274" s="451"/>
      <c r="N274" s="221">
        <f t="shared" si="359"/>
        <v>0.2985409652076319</v>
      </c>
      <c r="O274" s="176">
        <f t="shared" si="391"/>
        <v>11.475168350168351</v>
      </c>
      <c r="P274" s="176">
        <f t="shared" si="392"/>
        <v>2.7540404040404045</v>
      </c>
      <c r="Q274" s="221">
        <f t="shared" si="362"/>
        <v>2.2950336700336704</v>
      </c>
      <c r="R274" s="221">
        <f t="shared" si="393"/>
        <v>2.2950336700336704</v>
      </c>
      <c r="S274" s="221">
        <f t="shared" si="394"/>
        <v>5</v>
      </c>
      <c r="T274" s="221">
        <f t="shared" si="395"/>
        <v>1.0361503759398496</v>
      </c>
      <c r="U274" s="221">
        <f t="shared" si="366"/>
        <v>0.29012210526315785</v>
      </c>
      <c r="V274" s="221">
        <f t="shared" si="367"/>
        <v>0.68167787890779563</v>
      </c>
      <c r="W274" s="201">
        <f t="shared" si="368"/>
        <v>350</v>
      </c>
      <c r="X274" s="451">
        <f t="shared" si="369"/>
        <v>350</v>
      </c>
      <c r="Z274" s="221">
        <f t="shared" si="370"/>
        <v>3.0463363796697127</v>
      </c>
      <c r="AA274" s="177">
        <f t="shared" si="371"/>
        <v>2.004168670835337</v>
      </c>
      <c r="AB274" s="177">
        <f t="shared" si="396"/>
        <v>1.780733480446661</v>
      </c>
      <c r="AC274" s="177"/>
      <c r="AD274" s="177">
        <f t="shared" si="373"/>
        <v>0.53947368421052622</v>
      </c>
      <c r="AE274" s="555">
        <f t="shared" si="397"/>
        <v>1311.124330755503</v>
      </c>
      <c r="AF274" s="538">
        <f t="shared" si="398"/>
        <v>0.15482894736842101</v>
      </c>
      <c r="AH274" s="177">
        <f t="shared" si="399"/>
        <v>1.6854721375717285</v>
      </c>
      <c r="AI274" s="177">
        <f t="shared" si="400"/>
        <v>1.6854721375717285</v>
      </c>
      <c r="AJ274" s="177">
        <f t="shared" si="401"/>
        <v>1.8410904722753545</v>
      </c>
      <c r="AL274" s="555">
        <f t="shared" si="402"/>
        <v>580</v>
      </c>
      <c r="AM274" s="469">
        <f t="shared" si="403"/>
        <v>350</v>
      </c>
      <c r="AO274">
        <f t="shared" si="381"/>
        <v>580</v>
      </c>
      <c r="AP274">
        <f t="shared" si="382"/>
        <v>350</v>
      </c>
      <c r="AR274" s="5">
        <f t="shared" si="406"/>
        <v>2.8571428571428572</v>
      </c>
      <c r="AS274" s="5">
        <f t="shared" si="385"/>
        <v>0.471932198520084</v>
      </c>
      <c r="AT274" s="5">
        <f t="shared" si="386"/>
        <v>2.385210658622773</v>
      </c>
      <c r="AU274" s="177">
        <f t="shared" si="387"/>
        <v>0.1651762694820294</v>
      </c>
      <c r="CI274" s="571">
        <f t="shared" si="404"/>
        <v>-50</v>
      </c>
    </row>
    <row r="275" spans="5:87" x14ac:dyDescent="0.2">
      <c r="E275" s="174">
        <v>59</v>
      </c>
      <c r="F275" s="221">
        <f t="shared" si="405"/>
        <v>0.59</v>
      </c>
      <c r="G275" s="221">
        <f t="shared" si="388"/>
        <v>0.11799999999999999</v>
      </c>
      <c r="H275" s="221">
        <f t="shared" si="389"/>
        <v>2.9499999999999997</v>
      </c>
      <c r="I275" s="221">
        <f t="shared" si="390"/>
        <v>0.59</v>
      </c>
      <c r="J275" s="551">
        <f t="shared" si="356"/>
        <v>25</v>
      </c>
      <c r="K275" s="451">
        <f t="shared" si="357"/>
        <v>10.64</v>
      </c>
      <c r="L275" s="451">
        <f t="shared" si="358"/>
        <v>35.64</v>
      </c>
      <c r="M275" s="451"/>
      <c r="N275" s="221">
        <f t="shared" si="359"/>
        <v>0.2985409652076319</v>
      </c>
      <c r="O275" s="176">
        <f t="shared" si="391"/>
        <v>11.475168350168351</v>
      </c>
      <c r="P275" s="176">
        <f t="shared" si="392"/>
        <v>2.7540404040404045</v>
      </c>
      <c r="Q275" s="221">
        <f t="shared" si="362"/>
        <v>2.2950336700336704</v>
      </c>
      <c r="R275" s="221">
        <f t="shared" si="393"/>
        <v>2.2950336700336704</v>
      </c>
      <c r="S275" s="221">
        <f t="shared" si="394"/>
        <v>5</v>
      </c>
      <c r="T275" s="221">
        <f t="shared" si="395"/>
        <v>1.0540150375939847</v>
      </c>
      <c r="U275" s="221">
        <f t="shared" si="366"/>
        <v>0.29512421052631571</v>
      </c>
      <c r="V275" s="221">
        <f t="shared" si="367"/>
        <v>0.69343094578551612</v>
      </c>
      <c r="W275" s="201">
        <f t="shared" si="368"/>
        <v>350</v>
      </c>
      <c r="X275" s="451">
        <f t="shared" si="369"/>
        <v>350</v>
      </c>
      <c r="Z275" s="221">
        <f t="shared" si="370"/>
        <v>3.0463363796697127</v>
      </c>
      <c r="AA275" s="177">
        <f t="shared" si="371"/>
        <v>2.004168670835337</v>
      </c>
      <c r="AB275" s="177">
        <f t="shared" si="396"/>
        <v>1.780733480446661</v>
      </c>
      <c r="AC275" s="177"/>
      <c r="AD275" s="177">
        <f t="shared" si="373"/>
        <v>0.53947368421052622</v>
      </c>
      <c r="AE275" s="555">
        <f t="shared" si="397"/>
        <v>1333.7299226650805</v>
      </c>
      <c r="AF275" s="538">
        <f t="shared" si="398"/>
        <v>0.15482894736842101</v>
      </c>
      <c r="AH275" s="177">
        <f t="shared" si="399"/>
        <v>1.6999399749306876</v>
      </c>
      <c r="AI275" s="177">
        <f t="shared" si="400"/>
        <v>1.6999399749306876</v>
      </c>
      <c r="AJ275" s="177">
        <f t="shared" si="401"/>
        <v>1.8518073888375464</v>
      </c>
      <c r="AL275" s="555">
        <f t="shared" si="402"/>
        <v>590</v>
      </c>
      <c r="AM275" s="469">
        <f t="shared" si="403"/>
        <v>350</v>
      </c>
      <c r="AO275">
        <f t="shared" si="381"/>
        <v>590</v>
      </c>
      <c r="AP275">
        <f t="shared" si="382"/>
        <v>350</v>
      </c>
      <c r="AR275" s="5">
        <f t="shared" si="406"/>
        <v>2.8571428571428572</v>
      </c>
      <c r="AS275" s="5">
        <f t="shared" si="385"/>
        <v>0.4759831929805925</v>
      </c>
      <c r="AT275" s="5">
        <f t="shared" si="386"/>
        <v>2.3811596641622645</v>
      </c>
      <c r="AU275" s="177">
        <f t="shared" si="387"/>
        <v>0.16659411754320738</v>
      </c>
      <c r="CI275" s="571">
        <f t="shared" si="404"/>
        <v>-50</v>
      </c>
    </row>
    <row r="276" spans="5:87" x14ac:dyDescent="0.2">
      <c r="E276" s="174">
        <v>60</v>
      </c>
      <c r="F276" s="221">
        <f t="shared" si="405"/>
        <v>0.6</v>
      </c>
      <c r="G276" s="221">
        <f t="shared" si="388"/>
        <v>0.12</v>
      </c>
      <c r="H276" s="221">
        <f t="shared" si="389"/>
        <v>3</v>
      </c>
      <c r="I276" s="221">
        <f t="shared" si="390"/>
        <v>0.6</v>
      </c>
      <c r="J276" s="551">
        <f t="shared" si="356"/>
        <v>25</v>
      </c>
      <c r="K276" s="451">
        <f t="shared" si="357"/>
        <v>10.64</v>
      </c>
      <c r="L276" s="451">
        <f t="shared" si="358"/>
        <v>35.64</v>
      </c>
      <c r="M276" s="451"/>
      <c r="N276" s="221">
        <f t="shared" si="359"/>
        <v>0.2985409652076319</v>
      </c>
      <c r="O276" s="176">
        <f t="shared" si="391"/>
        <v>11.475168350168351</v>
      </c>
      <c r="P276" s="176">
        <f t="shared" si="392"/>
        <v>2.7540404040404045</v>
      </c>
      <c r="Q276" s="221">
        <f t="shared" si="362"/>
        <v>2.2950336700336704</v>
      </c>
      <c r="R276" s="221">
        <f t="shared" si="393"/>
        <v>2.2950336700336704</v>
      </c>
      <c r="S276" s="221">
        <f t="shared" si="394"/>
        <v>5</v>
      </c>
      <c r="T276" s="221">
        <f t="shared" si="395"/>
        <v>1.0718796992481201</v>
      </c>
      <c r="U276" s="221">
        <f t="shared" si="366"/>
        <v>0.30012631578947363</v>
      </c>
      <c r="V276" s="221">
        <f t="shared" si="367"/>
        <v>0.70518401266323683</v>
      </c>
      <c r="W276" s="201">
        <f t="shared" si="368"/>
        <v>350</v>
      </c>
      <c r="X276" s="451">
        <f t="shared" si="369"/>
        <v>350</v>
      </c>
      <c r="Z276" s="221">
        <f t="shared" si="370"/>
        <v>3.0463363796697127</v>
      </c>
      <c r="AA276" s="177">
        <f t="shared" si="371"/>
        <v>2.004168670835337</v>
      </c>
      <c r="AB276" s="177">
        <f t="shared" si="396"/>
        <v>1.780733480446661</v>
      </c>
      <c r="AC276" s="177"/>
      <c r="AD276" s="177">
        <f t="shared" si="373"/>
        <v>0.53947368421052622</v>
      </c>
      <c r="AE276" s="555">
        <f t="shared" si="397"/>
        <v>1356.3355145746582</v>
      </c>
      <c r="AF276" s="538">
        <f t="shared" si="398"/>
        <v>0.15482894736842101</v>
      </c>
      <c r="AH276" s="177">
        <f t="shared" si="399"/>
        <v>1.7142857142857142</v>
      </c>
      <c r="AI276" s="177">
        <f t="shared" si="400"/>
        <v>1.7142857142857142</v>
      </c>
      <c r="AJ276" s="177">
        <f t="shared" si="401"/>
        <v>1.8624338624338623</v>
      </c>
      <c r="AL276" s="555">
        <f t="shared" si="402"/>
        <v>600</v>
      </c>
      <c r="AM276" s="469">
        <f t="shared" si="403"/>
        <v>350</v>
      </c>
      <c r="AO276">
        <f t="shared" si="381"/>
        <v>600</v>
      </c>
      <c r="AP276">
        <f t="shared" si="382"/>
        <v>350</v>
      </c>
      <c r="AR276" s="5">
        <f t="shared" si="406"/>
        <v>2.8571428571428572</v>
      </c>
      <c r="AS276" s="5">
        <f t="shared" si="385"/>
        <v>0.48</v>
      </c>
      <c r="AT276" s="5">
        <f t="shared" si="386"/>
        <v>2.3771428571428572</v>
      </c>
      <c r="AU276" s="177">
        <f t="shared" si="387"/>
        <v>0.16799999999999998</v>
      </c>
      <c r="CI276" s="571">
        <f t="shared" si="404"/>
        <v>-50</v>
      </c>
    </row>
    <row r="277" spans="5:87" x14ac:dyDescent="0.2">
      <c r="E277" s="174">
        <v>61</v>
      </c>
      <c r="F277" s="221">
        <f t="shared" si="405"/>
        <v>0.61</v>
      </c>
      <c r="G277" s="221">
        <f t="shared" si="388"/>
        <v>0.122</v>
      </c>
      <c r="H277" s="221">
        <f t="shared" si="389"/>
        <v>3.05</v>
      </c>
      <c r="I277" s="221">
        <f t="shared" si="390"/>
        <v>0.61</v>
      </c>
      <c r="J277" s="551">
        <f t="shared" si="356"/>
        <v>25</v>
      </c>
      <c r="K277" s="451">
        <f t="shared" si="357"/>
        <v>10.64</v>
      </c>
      <c r="L277" s="451">
        <f t="shared" si="358"/>
        <v>35.64</v>
      </c>
      <c r="M277" s="451"/>
      <c r="N277" s="221">
        <f t="shared" si="359"/>
        <v>0.2985409652076319</v>
      </c>
      <c r="O277" s="176">
        <f t="shared" si="391"/>
        <v>11.475168350168351</v>
      </c>
      <c r="P277" s="176">
        <f t="shared" si="392"/>
        <v>2.7540404040404045</v>
      </c>
      <c r="Q277" s="221">
        <f t="shared" si="362"/>
        <v>2.2950336700336704</v>
      </c>
      <c r="R277" s="221">
        <f t="shared" si="393"/>
        <v>2.2950336700336704</v>
      </c>
      <c r="S277" s="221">
        <f t="shared" si="394"/>
        <v>5</v>
      </c>
      <c r="T277" s="221">
        <f t="shared" si="395"/>
        <v>1.0897443609022555</v>
      </c>
      <c r="U277" s="221">
        <f t="shared" si="366"/>
        <v>0.30512842105263155</v>
      </c>
      <c r="V277" s="221">
        <f t="shared" si="367"/>
        <v>0.71693707954095753</v>
      </c>
      <c r="W277" s="201">
        <f t="shared" si="368"/>
        <v>350</v>
      </c>
      <c r="X277" s="451">
        <f t="shared" si="369"/>
        <v>350</v>
      </c>
      <c r="Z277" s="221">
        <f t="shared" si="370"/>
        <v>3.0463363796697127</v>
      </c>
      <c r="AA277" s="177">
        <f t="shared" si="371"/>
        <v>2.004168670835337</v>
      </c>
      <c r="AB277" s="177">
        <f t="shared" si="396"/>
        <v>1.780733480446661</v>
      </c>
      <c r="AC277" s="177"/>
      <c r="AD277" s="177">
        <f t="shared" si="373"/>
        <v>0.53947368421052622</v>
      </c>
      <c r="AE277" s="555">
        <f t="shared" si="397"/>
        <v>1378.9411064842357</v>
      </c>
      <c r="AF277" s="538">
        <f t="shared" si="398"/>
        <v>0.15482894736842101</v>
      </c>
      <c r="AH277" s="177">
        <f t="shared" si="399"/>
        <v>1.7285123956861912</v>
      </c>
      <c r="AI277" s="177">
        <f t="shared" si="400"/>
        <v>1.7285123956861912</v>
      </c>
      <c r="AJ277" s="177">
        <f t="shared" si="401"/>
        <v>1.8729721449527341</v>
      </c>
      <c r="AL277" s="555">
        <f t="shared" si="402"/>
        <v>610</v>
      </c>
      <c r="AM277" s="469">
        <f t="shared" si="403"/>
        <v>350</v>
      </c>
      <c r="AO277">
        <f t="shared" si="381"/>
        <v>610</v>
      </c>
      <c r="AP277">
        <f t="shared" si="382"/>
        <v>350</v>
      </c>
      <c r="AR277" s="5">
        <f t="shared" si="406"/>
        <v>2.8571428571428572</v>
      </c>
      <c r="AS277" s="5">
        <f t="shared" si="385"/>
        <v>0.4839834707921335</v>
      </c>
      <c r="AT277" s="5">
        <f t="shared" si="386"/>
        <v>2.3731593863507237</v>
      </c>
      <c r="AU277" s="177">
        <f t="shared" si="387"/>
        <v>0.16939421477724673</v>
      </c>
      <c r="CI277" s="571">
        <f t="shared" si="404"/>
        <v>-50</v>
      </c>
    </row>
    <row r="278" spans="5:87" x14ac:dyDescent="0.2">
      <c r="E278" s="174">
        <v>62</v>
      </c>
      <c r="F278" s="221">
        <f t="shared" si="405"/>
        <v>0.62</v>
      </c>
      <c r="G278" s="221">
        <f t="shared" si="388"/>
        <v>0.124</v>
      </c>
      <c r="H278" s="221">
        <f t="shared" si="389"/>
        <v>3.1</v>
      </c>
      <c r="I278" s="221">
        <f t="shared" si="390"/>
        <v>0.62</v>
      </c>
      <c r="J278" s="551">
        <f t="shared" si="356"/>
        <v>25</v>
      </c>
      <c r="K278" s="451">
        <f t="shared" si="357"/>
        <v>10.64</v>
      </c>
      <c r="L278" s="451">
        <f t="shared" si="358"/>
        <v>35.64</v>
      </c>
      <c r="M278" s="451"/>
      <c r="N278" s="221">
        <f t="shared" si="359"/>
        <v>0.2985409652076319</v>
      </c>
      <c r="O278" s="176">
        <f t="shared" si="391"/>
        <v>11.475168350168351</v>
      </c>
      <c r="P278" s="176">
        <f t="shared" si="392"/>
        <v>2.7540404040404045</v>
      </c>
      <c r="Q278" s="221">
        <f t="shared" si="362"/>
        <v>2.2950336700336704</v>
      </c>
      <c r="R278" s="221">
        <f t="shared" si="393"/>
        <v>2.2950336700336704</v>
      </c>
      <c r="S278" s="221">
        <f t="shared" si="394"/>
        <v>5</v>
      </c>
      <c r="T278" s="221">
        <f t="shared" si="395"/>
        <v>1.1076090225563908</v>
      </c>
      <c r="U278" s="221">
        <f t="shared" si="366"/>
        <v>0.31013052631578941</v>
      </c>
      <c r="V278" s="221">
        <f t="shared" si="367"/>
        <v>0.72869014641867802</v>
      </c>
      <c r="W278" s="201">
        <f t="shared" si="368"/>
        <v>350</v>
      </c>
      <c r="X278" s="451">
        <f t="shared" si="369"/>
        <v>350</v>
      </c>
      <c r="Z278" s="221">
        <f t="shared" si="370"/>
        <v>3.0463363796697127</v>
      </c>
      <c r="AA278" s="177">
        <f t="shared" si="371"/>
        <v>2.004168670835337</v>
      </c>
      <c r="AB278" s="177">
        <f t="shared" si="396"/>
        <v>1.780733480446661</v>
      </c>
      <c r="AC278" s="177"/>
      <c r="AD278" s="177">
        <f t="shared" si="373"/>
        <v>0.53947368421052622</v>
      </c>
      <c r="AE278" s="555">
        <f t="shared" si="397"/>
        <v>1401.5466983938134</v>
      </c>
      <c r="AF278" s="538">
        <f t="shared" si="398"/>
        <v>0.15482894736842101</v>
      </c>
      <c r="AH278" s="177">
        <f t="shared" si="399"/>
        <v>1.7426229350830751</v>
      </c>
      <c r="AI278" s="177">
        <f t="shared" si="400"/>
        <v>1.7426229350830751</v>
      </c>
      <c r="AJ278" s="177">
        <f t="shared" si="401"/>
        <v>1.8834243963578334</v>
      </c>
      <c r="AL278" s="555">
        <f t="shared" si="402"/>
        <v>620</v>
      </c>
      <c r="AM278" s="469">
        <f t="shared" si="403"/>
        <v>350</v>
      </c>
      <c r="AO278">
        <f t="shared" si="381"/>
        <v>620</v>
      </c>
      <c r="AP278">
        <f t="shared" si="382"/>
        <v>350</v>
      </c>
      <c r="AR278" s="5">
        <f t="shared" si="406"/>
        <v>2.8571428571428572</v>
      </c>
      <c r="AS278" s="5">
        <f t="shared" si="385"/>
        <v>0.48793442182326102</v>
      </c>
      <c r="AT278" s="5">
        <f t="shared" si="386"/>
        <v>2.3692084353195964</v>
      </c>
      <c r="AU278" s="177">
        <f t="shared" si="387"/>
        <v>0.17077704763814136</v>
      </c>
      <c r="CI278" s="571">
        <f t="shared" si="404"/>
        <v>-50</v>
      </c>
    </row>
    <row r="279" spans="5:87" x14ac:dyDescent="0.2">
      <c r="E279" s="174">
        <v>63</v>
      </c>
      <c r="F279" s="221">
        <f t="shared" si="405"/>
        <v>0.63</v>
      </c>
      <c r="G279" s="221">
        <f t="shared" si="388"/>
        <v>0.126</v>
      </c>
      <c r="H279" s="221">
        <f t="shared" si="389"/>
        <v>3.15</v>
      </c>
      <c r="I279" s="221">
        <f t="shared" si="390"/>
        <v>0.63</v>
      </c>
      <c r="J279" s="551">
        <f t="shared" si="356"/>
        <v>25</v>
      </c>
      <c r="K279" s="451">
        <f t="shared" si="357"/>
        <v>10.64</v>
      </c>
      <c r="L279" s="451">
        <f t="shared" si="358"/>
        <v>35.64</v>
      </c>
      <c r="M279" s="451"/>
      <c r="N279" s="221">
        <f t="shared" si="359"/>
        <v>0.2985409652076319</v>
      </c>
      <c r="O279" s="176">
        <f t="shared" si="391"/>
        <v>11.475168350168351</v>
      </c>
      <c r="P279" s="176">
        <f t="shared" si="392"/>
        <v>2.7540404040404045</v>
      </c>
      <c r="Q279" s="221">
        <f t="shared" si="362"/>
        <v>2.2950336700336704</v>
      </c>
      <c r="R279" s="221">
        <f t="shared" si="393"/>
        <v>2.2950336700336704</v>
      </c>
      <c r="S279" s="221">
        <f t="shared" si="394"/>
        <v>5</v>
      </c>
      <c r="T279" s="221">
        <f t="shared" si="395"/>
        <v>1.1254736842105262</v>
      </c>
      <c r="U279" s="221">
        <f t="shared" si="366"/>
        <v>0.31513263157894733</v>
      </c>
      <c r="V279" s="221">
        <f t="shared" si="367"/>
        <v>0.74044321329639884</v>
      </c>
      <c r="W279" s="201">
        <f t="shared" si="368"/>
        <v>350</v>
      </c>
      <c r="X279" s="451">
        <f t="shared" si="369"/>
        <v>350</v>
      </c>
      <c r="Z279" s="221">
        <f t="shared" si="370"/>
        <v>3.0463363796697127</v>
      </c>
      <c r="AA279" s="177">
        <f t="shared" si="371"/>
        <v>2.004168670835337</v>
      </c>
      <c r="AB279" s="177">
        <f t="shared" si="396"/>
        <v>1.780733480446661</v>
      </c>
      <c r="AC279" s="177"/>
      <c r="AD279" s="177">
        <f t="shared" si="373"/>
        <v>0.53947368421052622</v>
      </c>
      <c r="AE279" s="555">
        <f t="shared" si="397"/>
        <v>1424.1522903033913</v>
      </c>
      <c r="AF279" s="538">
        <f t="shared" si="398"/>
        <v>0.15482894736842101</v>
      </c>
      <c r="AH279" s="177">
        <f t="shared" si="399"/>
        <v>1.7566201313073597</v>
      </c>
      <c r="AI279" s="177">
        <f t="shared" si="400"/>
        <v>1.7566201313073597</v>
      </c>
      <c r="AJ279" s="177">
        <f t="shared" si="401"/>
        <v>1.8937926898573034</v>
      </c>
      <c r="AL279" s="555">
        <f t="shared" si="402"/>
        <v>630</v>
      </c>
      <c r="AM279" s="469">
        <f t="shared" si="403"/>
        <v>350</v>
      </c>
      <c r="AO279">
        <f t="shared" si="381"/>
        <v>630</v>
      </c>
      <c r="AP279">
        <f t="shared" si="382"/>
        <v>350</v>
      </c>
      <c r="AR279" s="5">
        <f t="shared" si="406"/>
        <v>2.8571428571428572</v>
      </c>
      <c r="AS279" s="5">
        <f t="shared" si="385"/>
        <v>0.4918536367660607</v>
      </c>
      <c r="AT279" s="5">
        <f t="shared" si="386"/>
        <v>2.3652892203767966</v>
      </c>
      <c r="AU279" s="177">
        <f t="shared" si="387"/>
        <v>0.17214877286812125</v>
      </c>
      <c r="CI279" s="571">
        <f t="shared" si="404"/>
        <v>-50</v>
      </c>
    </row>
    <row r="280" spans="5:87" x14ac:dyDescent="0.2">
      <c r="E280" s="174">
        <v>64</v>
      </c>
      <c r="F280" s="221">
        <f t="shared" si="405"/>
        <v>0.64</v>
      </c>
      <c r="G280" s="221">
        <f t="shared" ref="G280:G316" si="407">IF(PLOT_TYPE=1, E280/100*Iout2, min_I*EXP(Q280*rr/100))</f>
        <v>0.128</v>
      </c>
      <c r="H280" s="221">
        <f t="shared" ref="H280:H316" si="408">F280*Vout</f>
        <v>3.2</v>
      </c>
      <c r="I280" s="221">
        <f t="shared" ref="I280:I316" si="409">Vout2*G280</f>
        <v>0.64</v>
      </c>
      <c r="J280" s="551">
        <f t="shared" ref="J280:J316" si="410">VIN_max</f>
        <v>25</v>
      </c>
      <c r="K280" s="451">
        <f t="shared" ref="K280:K316" si="411">(S280+Vfwd1)*Nps</f>
        <v>10.64</v>
      </c>
      <c r="L280" s="451">
        <f t="shared" ref="L280:L316" si="412">(Vout+Vfwd1)*Nps+J280</f>
        <v>35.64</v>
      </c>
      <c r="M280" s="451"/>
      <c r="N280" s="221">
        <f t="shared" ref="N280:N316" si="413">(Vout+Vfwd1)*Nps/((Vout+Vfwd1)*Nps+J280)</f>
        <v>0.2985409652076319</v>
      </c>
      <c r="O280" s="176">
        <f t="shared" ref="O280:O311" si="414">N280*J280*Isw_max*0.5*Efficiency*Pout/(Pout+Pout2)</f>
        <v>11.475168350168351</v>
      </c>
      <c r="P280" s="176">
        <f t="shared" ref="P280:P316" si="415">N280*J280*Isw_max*0.5*Efficiency*(Pout2/Pout_total)</f>
        <v>2.7540404040404045</v>
      </c>
      <c r="Q280" s="221">
        <f t="shared" ref="Q280:Q316" si="416">O280/Vout</f>
        <v>2.2950336700336704</v>
      </c>
      <c r="R280" s="221">
        <f t="shared" ref="R280:R316" si="417">O280/Vout2</f>
        <v>2.2950336700336704</v>
      </c>
      <c r="S280" s="221">
        <f t="shared" ref="S280:S316" si="418">MIN(Vout,O280/F280)</f>
        <v>5</v>
      </c>
      <c r="T280" s="221">
        <f t="shared" ref="T280:T316" si="419">MIN(2*(Vout*F280+Vout2*G280)/(Efficiency*J280*N280), Isw_max)</f>
        <v>1.1433383458646615</v>
      </c>
      <c r="U280" s="221">
        <f t="shared" ref="U280:U316" si="420">L*T280/J280*1000000</f>
        <v>0.32013473684210519</v>
      </c>
      <c r="V280" s="221">
        <f t="shared" ref="V280:V316" si="421">L*T280/K280*1000000</f>
        <v>0.75219628017411944</v>
      </c>
      <c r="W280" s="201">
        <f t="shared" ref="W280:W316" si="422">IF(1/((350000*L)*(1/J280+1/K280))&gt;Isw_min, 350, 0.001/((Isw_min*L)*(1/J280+1/K280)))</f>
        <v>350</v>
      </c>
      <c r="X280" s="451">
        <f t="shared" ref="X280:X316" si="423">MIN(1/(U280+V280)*1000, 350)</f>
        <v>350</v>
      </c>
      <c r="Z280" s="221">
        <f t="shared" ref="Z280:Z316" si="424">1/((W280*1000*L)*(1/J280+1/K280))</f>
        <v>3.0463363796697127</v>
      </c>
      <c r="AA280" s="177">
        <f t="shared" ref="AA280:AA316" si="425">L*Z280/K280*1000000</f>
        <v>2.004168670835337</v>
      </c>
      <c r="AB280" s="177">
        <f t="shared" ref="AB280:AB311" si="426">0.5*AA280*Z280*Nps*W280/1000*(Pout/(Pout+Pout2))</f>
        <v>1.780733480446661</v>
      </c>
      <c r="AC280" s="177"/>
      <c r="AD280" s="177">
        <f t="shared" ref="AD280:AD316" si="427">L*Isw_min/K280*1000000</f>
        <v>0.53947368421052622</v>
      </c>
      <c r="AE280" s="555">
        <f t="shared" ref="AE280:AE311" si="428">MAX(10, F280/(0.5*AD280/1000000*Isw_min*Nps)/1000*Pout_total/Pout)</f>
        <v>1446.7578822129688</v>
      </c>
      <c r="AF280" s="538">
        <f t="shared" ref="AF280:AF316" si="429">0.5*AD280/1000000*Isw_min*Nps*W280*1000*(Pout/Pout_total)</f>
        <v>0.15482894736842101</v>
      </c>
      <c r="AH280" s="177">
        <f t="shared" ref="AH280:AH316" si="430">SQRT((H280+I280)/(0.5*L*Fsw_DCM))</f>
        <v>1.770506672551962</v>
      </c>
      <c r="AI280" s="177">
        <f t="shared" ref="AI280:AI311" si="431">MAX(IF(F280&gt;AB280,T280,AH280),Isw_min)</f>
        <v>1.770506672551962</v>
      </c>
      <c r="AJ280" s="177">
        <f t="shared" ref="AJ280:AJ311" si="432">IF(F280&gt;AF280, (AI280-Isw_min)/1.08*0.8+1.2, AE280*0.2/350+1)</f>
        <v>1.9040790167051571</v>
      </c>
      <c r="AL280" s="555">
        <f t="shared" ref="AL280:AL316" si="433">F280*1000</f>
        <v>640</v>
      </c>
      <c r="AM280" s="469">
        <f t="shared" ref="AM280:AM316" si="434">IF(F280&gt;AF280, X280, AE280)</f>
        <v>350</v>
      </c>
      <c r="AO280">
        <f t="shared" ref="AO280:AO316" si="435">IF(H280&gt;O280, "",AL280)</f>
        <v>640</v>
      </c>
      <c r="AP280">
        <f t="shared" ref="AP280:AP316" si="436">IF(H280&gt;O280, "",AM280)</f>
        <v>350</v>
      </c>
      <c r="AR280" s="5">
        <f t="shared" si="406"/>
        <v>2.8571428571428572</v>
      </c>
      <c r="AS280" s="5">
        <f t="shared" si="385"/>
        <v>0.49574186831454942</v>
      </c>
      <c r="AT280" s="5">
        <f t="shared" si="386"/>
        <v>2.3614009888283078</v>
      </c>
      <c r="AU280" s="177">
        <f t="shared" si="387"/>
        <v>0.17350965391009229</v>
      </c>
      <c r="CI280" s="571">
        <f t="shared" ref="CI280:CI316" si="437">IF(ABS(F280-Ioutmax_Vinmax)&lt;Iout/200, AM280, -50)</f>
        <v>-50</v>
      </c>
    </row>
    <row r="281" spans="5:87" x14ac:dyDescent="0.2">
      <c r="E281" s="174">
        <v>65</v>
      </c>
      <c r="F281" s="221">
        <f t="shared" ref="F281:F312" si="438">IF(PLOT_TYPE=1, E281/100*Iout_max, min_I*EXP(O281*rr/100))</f>
        <v>0.65</v>
      </c>
      <c r="G281" s="221">
        <f t="shared" si="407"/>
        <v>0.13</v>
      </c>
      <c r="H281" s="221">
        <f t="shared" si="408"/>
        <v>3.25</v>
      </c>
      <c r="I281" s="221">
        <f t="shared" si="409"/>
        <v>0.65</v>
      </c>
      <c r="J281" s="551">
        <f t="shared" si="410"/>
        <v>25</v>
      </c>
      <c r="K281" s="451">
        <f t="shared" si="411"/>
        <v>10.64</v>
      </c>
      <c r="L281" s="451">
        <f t="shared" si="412"/>
        <v>35.64</v>
      </c>
      <c r="M281" s="451"/>
      <c r="N281" s="221">
        <f t="shared" si="413"/>
        <v>0.2985409652076319</v>
      </c>
      <c r="O281" s="176">
        <f t="shared" si="414"/>
        <v>11.475168350168351</v>
      </c>
      <c r="P281" s="176">
        <f t="shared" si="415"/>
        <v>2.7540404040404045</v>
      </c>
      <c r="Q281" s="221">
        <f t="shared" si="416"/>
        <v>2.2950336700336704</v>
      </c>
      <c r="R281" s="221">
        <f t="shared" si="417"/>
        <v>2.2950336700336704</v>
      </c>
      <c r="S281" s="221">
        <f t="shared" si="418"/>
        <v>5</v>
      </c>
      <c r="T281" s="221">
        <f t="shared" si="419"/>
        <v>1.1612030075187969</v>
      </c>
      <c r="U281" s="221">
        <f t="shared" si="420"/>
        <v>0.32513684210526317</v>
      </c>
      <c r="V281" s="221">
        <f t="shared" si="421"/>
        <v>0.76394934705184003</v>
      </c>
      <c r="W281" s="201">
        <f t="shared" si="422"/>
        <v>350</v>
      </c>
      <c r="X281" s="451">
        <f t="shared" si="423"/>
        <v>350</v>
      </c>
      <c r="Z281" s="221">
        <f t="shared" si="424"/>
        <v>3.0463363796697127</v>
      </c>
      <c r="AA281" s="177">
        <f t="shared" si="425"/>
        <v>2.004168670835337</v>
      </c>
      <c r="AB281" s="177">
        <f t="shared" si="426"/>
        <v>1.780733480446661</v>
      </c>
      <c r="AC281" s="177"/>
      <c r="AD281" s="177">
        <f t="shared" si="427"/>
        <v>0.53947368421052622</v>
      </c>
      <c r="AE281" s="555">
        <f t="shared" si="428"/>
        <v>1469.3634741225464</v>
      </c>
      <c r="AF281" s="538">
        <f t="shared" si="429"/>
        <v>0.15482894736842101</v>
      </c>
      <c r="AH281" s="177">
        <f t="shared" si="430"/>
        <v>1.7842851423995423</v>
      </c>
      <c r="AI281" s="177">
        <f t="shared" si="431"/>
        <v>1.7842851423995423</v>
      </c>
      <c r="AJ281" s="177">
        <f t="shared" si="432"/>
        <v>1.9142852906663277</v>
      </c>
      <c r="AL281" s="555">
        <f t="shared" si="433"/>
        <v>650</v>
      </c>
      <c r="AM281" s="469">
        <f t="shared" si="434"/>
        <v>350</v>
      </c>
      <c r="AO281">
        <f t="shared" si="435"/>
        <v>650</v>
      </c>
      <c r="AP281">
        <f t="shared" si="436"/>
        <v>350</v>
      </c>
      <c r="AR281" s="5">
        <f t="shared" si="406"/>
        <v>2.8571428571428572</v>
      </c>
      <c r="AS281" s="5">
        <f t="shared" si="385"/>
        <v>0.49959983987187184</v>
      </c>
      <c r="AT281" s="5">
        <f t="shared" si="386"/>
        <v>2.3575430172709853</v>
      </c>
      <c r="AU281" s="177">
        <f t="shared" si="387"/>
        <v>0.17485994395515514</v>
      </c>
      <c r="CI281" s="571">
        <f t="shared" si="437"/>
        <v>-50</v>
      </c>
    </row>
    <row r="282" spans="5:87" x14ac:dyDescent="0.2">
      <c r="E282" s="174">
        <v>66</v>
      </c>
      <c r="F282" s="221">
        <f t="shared" si="438"/>
        <v>0.66</v>
      </c>
      <c r="G282" s="221">
        <f t="shared" si="407"/>
        <v>0.13200000000000001</v>
      </c>
      <c r="H282" s="221">
        <f t="shared" si="408"/>
        <v>3.3000000000000003</v>
      </c>
      <c r="I282" s="221">
        <f t="shared" si="409"/>
        <v>0.66</v>
      </c>
      <c r="J282" s="551">
        <f t="shared" si="410"/>
        <v>25</v>
      </c>
      <c r="K282" s="451">
        <f t="shared" si="411"/>
        <v>10.64</v>
      </c>
      <c r="L282" s="451">
        <f t="shared" si="412"/>
        <v>35.64</v>
      </c>
      <c r="M282" s="451"/>
      <c r="N282" s="221">
        <f t="shared" si="413"/>
        <v>0.2985409652076319</v>
      </c>
      <c r="O282" s="176">
        <f t="shared" si="414"/>
        <v>11.475168350168351</v>
      </c>
      <c r="P282" s="176">
        <f t="shared" si="415"/>
        <v>2.7540404040404045</v>
      </c>
      <c r="Q282" s="221">
        <f t="shared" si="416"/>
        <v>2.2950336700336704</v>
      </c>
      <c r="R282" s="221">
        <f t="shared" si="417"/>
        <v>2.2950336700336704</v>
      </c>
      <c r="S282" s="221">
        <f t="shared" si="418"/>
        <v>5</v>
      </c>
      <c r="T282" s="221">
        <f t="shared" si="419"/>
        <v>1.1790676691729323</v>
      </c>
      <c r="U282" s="221">
        <f t="shared" si="420"/>
        <v>0.33013894736842103</v>
      </c>
      <c r="V282" s="221">
        <f t="shared" si="421"/>
        <v>0.77570241392956063</v>
      </c>
      <c r="W282" s="201">
        <f t="shared" si="422"/>
        <v>350</v>
      </c>
      <c r="X282" s="451">
        <f t="shared" si="423"/>
        <v>350</v>
      </c>
      <c r="Z282" s="221">
        <f t="shared" si="424"/>
        <v>3.0463363796697127</v>
      </c>
      <c r="AA282" s="177">
        <f t="shared" si="425"/>
        <v>2.004168670835337</v>
      </c>
      <c r="AB282" s="177">
        <f t="shared" si="426"/>
        <v>1.780733480446661</v>
      </c>
      <c r="AC282" s="177"/>
      <c r="AD282" s="177">
        <f t="shared" si="427"/>
        <v>0.53947368421052622</v>
      </c>
      <c r="AE282" s="555">
        <f t="shared" si="428"/>
        <v>1491.9690660321239</v>
      </c>
      <c r="AF282" s="538">
        <f t="shared" si="429"/>
        <v>0.15482894736842101</v>
      </c>
      <c r="AH282" s="177">
        <f t="shared" si="430"/>
        <v>1.7979580254345455</v>
      </c>
      <c r="AI282" s="177">
        <f t="shared" si="431"/>
        <v>1.7979580254345455</v>
      </c>
      <c r="AJ282" s="177">
        <f t="shared" si="432"/>
        <v>1.9244133521737374</v>
      </c>
      <c r="AL282" s="555">
        <f t="shared" si="433"/>
        <v>660</v>
      </c>
      <c r="AM282" s="469">
        <f t="shared" si="434"/>
        <v>350</v>
      </c>
      <c r="AO282">
        <f t="shared" si="435"/>
        <v>660</v>
      </c>
      <c r="AP282">
        <f t="shared" si="436"/>
        <v>350</v>
      </c>
      <c r="AR282" s="5">
        <f t="shared" si="406"/>
        <v>2.8571428571428572</v>
      </c>
      <c r="AS282" s="5">
        <f t="shared" si="385"/>
        <v>0.50342824712167267</v>
      </c>
      <c r="AT282" s="5">
        <f t="shared" si="386"/>
        <v>2.3537146100211848</v>
      </c>
      <c r="AU282" s="177">
        <f t="shared" si="387"/>
        <v>0.17619988649258542</v>
      </c>
      <c r="CI282" s="571">
        <f t="shared" si="437"/>
        <v>-50</v>
      </c>
    </row>
    <row r="283" spans="5:87" x14ac:dyDescent="0.2">
      <c r="E283" s="174">
        <v>67</v>
      </c>
      <c r="F283" s="221">
        <f t="shared" si="438"/>
        <v>0.67</v>
      </c>
      <c r="G283" s="221">
        <f t="shared" si="407"/>
        <v>0.13400000000000001</v>
      </c>
      <c r="H283" s="221">
        <f t="shared" si="408"/>
        <v>3.35</v>
      </c>
      <c r="I283" s="221">
        <f t="shared" si="409"/>
        <v>0.67</v>
      </c>
      <c r="J283" s="551">
        <f t="shared" si="410"/>
        <v>25</v>
      </c>
      <c r="K283" s="451">
        <f t="shared" si="411"/>
        <v>10.64</v>
      </c>
      <c r="L283" s="451">
        <f t="shared" si="412"/>
        <v>35.64</v>
      </c>
      <c r="M283" s="451"/>
      <c r="N283" s="221">
        <f t="shared" si="413"/>
        <v>0.2985409652076319</v>
      </c>
      <c r="O283" s="176">
        <f t="shared" si="414"/>
        <v>11.475168350168351</v>
      </c>
      <c r="P283" s="176">
        <f t="shared" si="415"/>
        <v>2.7540404040404045</v>
      </c>
      <c r="Q283" s="221">
        <f t="shared" si="416"/>
        <v>2.2950336700336704</v>
      </c>
      <c r="R283" s="221">
        <f t="shared" si="417"/>
        <v>2.2950336700336704</v>
      </c>
      <c r="S283" s="221">
        <f t="shared" si="418"/>
        <v>5</v>
      </c>
      <c r="T283" s="221">
        <f t="shared" si="419"/>
        <v>1.1969323308270676</v>
      </c>
      <c r="U283" s="221">
        <f t="shared" si="420"/>
        <v>0.33514105263157895</v>
      </c>
      <c r="V283" s="221">
        <f t="shared" si="421"/>
        <v>0.78745548080728134</v>
      </c>
      <c r="W283" s="201">
        <f t="shared" si="422"/>
        <v>350</v>
      </c>
      <c r="X283" s="451">
        <f t="shared" si="423"/>
        <v>350</v>
      </c>
      <c r="Z283" s="221">
        <f t="shared" si="424"/>
        <v>3.0463363796697127</v>
      </c>
      <c r="AA283" s="177">
        <f t="shared" si="425"/>
        <v>2.004168670835337</v>
      </c>
      <c r="AB283" s="177">
        <f t="shared" si="426"/>
        <v>1.780733480446661</v>
      </c>
      <c r="AC283" s="177"/>
      <c r="AD283" s="177">
        <f t="shared" si="427"/>
        <v>0.53947368421052622</v>
      </c>
      <c r="AE283" s="555">
        <f t="shared" si="428"/>
        <v>1514.5746579417018</v>
      </c>
      <c r="AF283" s="538">
        <f t="shared" si="429"/>
        <v>0.15482894736842101</v>
      </c>
      <c r="AH283" s="177">
        <f t="shared" si="430"/>
        <v>1.8115277124739839</v>
      </c>
      <c r="AI283" s="177">
        <f t="shared" si="431"/>
        <v>1.8115277124739839</v>
      </c>
      <c r="AJ283" s="177">
        <f t="shared" si="432"/>
        <v>1.934464972202951</v>
      </c>
      <c r="AL283" s="555">
        <f t="shared" si="433"/>
        <v>670</v>
      </c>
      <c r="AM283" s="469">
        <f t="shared" si="434"/>
        <v>350</v>
      </c>
      <c r="AO283">
        <f t="shared" si="435"/>
        <v>670</v>
      </c>
      <c r="AP283">
        <f t="shared" si="436"/>
        <v>350</v>
      </c>
      <c r="AR283" s="5">
        <f t="shared" si="406"/>
        <v>2.8571428571428572</v>
      </c>
      <c r="AS283" s="5">
        <f t="shared" si="385"/>
        <v>0.50722775949271559</v>
      </c>
      <c r="AT283" s="5">
        <f t="shared" si="386"/>
        <v>2.3499150976501415</v>
      </c>
      <c r="AU283" s="177">
        <f t="shared" si="387"/>
        <v>0.17752971582245045</v>
      </c>
      <c r="CI283" s="571">
        <f t="shared" si="437"/>
        <v>-50</v>
      </c>
    </row>
    <row r="284" spans="5:87" x14ac:dyDescent="0.2">
      <c r="E284" s="174">
        <v>68</v>
      </c>
      <c r="F284" s="221">
        <f t="shared" si="438"/>
        <v>0.68</v>
      </c>
      <c r="G284" s="221">
        <f t="shared" si="407"/>
        <v>0.13600000000000001</v>
      </c>
      <c r="H284" s="221">
        <f t="shared" si="408"/>
        <v>3.4000000000000004</v>
      </c>
      <c r="I284" s="221">
        <f t="shared" si="409"/>
        <v>0.68</v>
      </c>
      <c r="J284" s="551">
        <f t="shared" si="410"/>
        <v>25</v>
      </c>
      <c r="K284" s="451">
        <f t="shared" si="411"/>
        <v>10.64</v>
      </c>
      <c r="L284" s="451">
        <f t="shared" si="412"/>
        <v>35.64</v>
      </c>
      <c r="M284" s="451"/>
      <c r="N284" s="221">
        <f t="shared" si="413"/>
        <v>0.2985409652076319</v>
      </c>
      <c r="O284" s="176">
        <f t="shared" si="414"/>
        <v>11.475168350168351</v>
      </c>
      <c r="P284" s="176">
        <f t="shared" si="415"/>
        <v>2.7540404040404045</v>
      </c>
      <c r="Q284" s="221">
        <f t="shared" si="416"/>
        <v>2.2950336700336704</v>
      </c>
      <c r="R284" s="221">
        <f t="shared" si="417"/>
        <v>2.2950336700336704</v>
      </c>
      <c r="S284" s="221">
        <f t="shared" si="418"/>
        <v>5</v>
      </c>
      <c r="T284" s="221">
        <f t="shared" si="419"/>
        <v>1.214796992481203</v>
      </c>
      <c r="U284" s="221">
        <f t="shared" si="420"/>
        <v>0.34014315789473681</v>
      </c>
      <c r="V284" s="221">
        <f t="shared" si="421"/>
        <v>0.79920854768500194</v>
      </c>
      <c r="W284" s="201">
        <f t="shared" si="422"/>
        <v>350</v>
      </c>
      <c r="X284" s="451">
        <f t="shared" si="423"/>
        <v>350</v>
      </c>
      <c r="Z284" s="221">
        <f t="shared" si="424"/>
        <v>3.0463363796697127</v>
      </c>
      <c r="AA284" s="177">
        <f t="shared" si="425"/>
        <v>2.004168670835337</v>
      </c>
      <c r="AB284" s="177">
        <f t="shared" si="426"/>
        <v>1.780733480446661</v>
      </c>
      <c r="AC284" s="177"/>
      <c r="AD284" s="177">
        <f t="shared" si="427"/>
        <v>0.53947368421052622</v>
      </c>
      <c r="AE284" s="555">
        <f t="shared" si="428"/>
        <v>1537.1802498512793</v>
      </c>
      <c r="AF284" s="538">
        <f t="shared" si="429"/>
        <v>0.15482894736842101</v>
      </c>
      <c r="AH284" s="177">
        <f t="shared" si="430"/>
        <v>1.8249965054481498</v>
      </c>
      <c r="AI284" s="177">
        <f t="shared" si="431"/>
        <v>1.8249965054481498</v>
      </c>
      <c r="AJ284" s="177">
        <f t="shared" si="432"/>
        <v>1.9444418558875183</v>
      </c>
      <c r="AL284" s="555">
        <f t="shared" si="433"/>
        <v>680</v>
      </c>
      <c r="AM284" s="469">
        <f t="shared" si="434"/>
        <v>350</v>
      </c>
      <c r="AO284">
        <f t="shared" si="435"/>
        <v>680</v>
      </c>
      <c r="AP284">
        <f t="shared" si="436"/>
        <v>350</v>
      </c>
      <c r="AR284" s="5">
        <f t="shared" si="406"/>
        <v>2.8571428571428572</v>
      </c>
      <c r="AS284" s="5">
        <f t="shared" si="385"/>
        <v>0.51099902152548193</v>
      </c>
      <c r="AT284" s="5">
        <f t="shared" si="386"/>
        <v>2.3461438356173754</v>
      </c>
      <c r="AU284" s="177">
        <f t="shared" si="387"/>
        <v>0.17884965753391868</v>
      </c>
      <c r="CI284" s="571">
        <f t="shared" si="437"/>
        <v>-50</v>
      </c>
    </row>
    <row r="285" spans="5:87" x14ac:dyDescent="0.2">
      <c r="E285" s="174">
        <v>69</v>
      </c>
      <c r="F285" s="221">
        <f t="shared" si="438"/>
        <v>0.69</v>
      </c>
      <c r="G285" s="221">
        <f t="shared" si="407"/>
        <v>0.13799999999999998</v>
      </c>
      <c r="H285" s="221">
        <f t="shared" si="408"/>
        <v>3.4499999999999997</v>
      </c>
      <c r="I285" s="221">
        <f t="shared" si="409"/>
        <v>0.69</v>
      </c>
      <c r="J285" s="551">
        <f t="shared" si="410"/>
        <v>25</v>
      </c>
      <c r="K285" s="451">
        <f t="shared" si="411"/>
        <v>10.64</v>
      </c>
      <c r="L285" s="451">
        <f t="shared" si="412"/>
        <v>35.64</v>
      </c>
      <c r="M285" s="451"/>
      <c r="N285" s="221">
        <f t="shared" si="413"/>
        <v>0.2985409652076319</v>
      </c>
      <c r="O285" s="176">
        <f t="shared" si="414"/>
        <v>11.475168350168351</v>
      </c>
      <c r="P285" s="176">
        <f t="shared" si="415"/>
        <v>2.7540404040404045</v>
      </c>
      <c r="Q285" s="221">
        <f t="shared" si="416"/>
        <v>2.2950336700336704</v>
      </c>
      <c r="R285" s="221">
        <f t="shared" si="417"/>
        <v>2.2950336700336704</v>
      </c>
      <c r="S285" s="221">
        <f t="shared" si="418"/>
        <v>5</v>
      </c>
      <c r="T285" s="221">
        <f t="shared" si="419"/>
        <v>1.2326616541353381</v>
      </c>
      <c r="U285" s="221">
        <f t="shared" si="420"/>
        <v>0.34514526315789468</v>
      </c>
      <c r="V285" s="221">
        <f t="shared" si="421"/>
        <v>0.81096161456272242</v>
      </c>
      <c r="W285" s="201">
        <f t="shared" si="422"/>
        <v>350</v>
      </c>
      <c r="X285" s="451">
        <f t="shared" si="423"/>
        <v>350</v>
      </c>
      <c r="Z285" s="221">
        <f t="shared" si="424"/>
        <v>3.0463363796697127</v>
      </c>
      <c r="AA285" s="177">
        <f t="shared" si="425"/>
        <v>2.004168670835337</v>
      </c>
      <c r="AB285" s="177">
        <f t="shared" si="426"/>
        <v>1.780733480446661</v>
      </c>
      <c r="AC285" s="177"/>
      <c r="AD285" s="177">
        <f t="shared" si="427"/>
        <v>0.53947368421052622</v>
      </c>
      <c r="AE285" s="555">
        <f t="shared" si="428"/>
        <v>1559.7858417608568</v>
      </c>
      <c r="AF285" s="538">
        <f t="shared" si="429"/>
        <v>0.15482894736842101</v>
      </c>
      <c r="AH285" s="177">
        <f t="shared" si="430"/>
        <v>1.8383666219594756</v>
      </c>
      <c r="AI285" s="177">
        <f t="shared" si="431"/>
        <v>1.8383666219594756</v>
      </c>
      <c r="AJ285" s="177">
        <f t="shared" si="432"/>
        <v>1.9543456458959079</v>
      </c>
      <c r="AL285" s="555">
        <f t="shared" si="433"/>
        <v>690</v>
      </c>
      <c r="AM285" s="469">
        <f t="shared" si="434"/>
        <v>350</v>
      </c>
      <c r="AO285">
        <f t="shared" si="435"/>
        <v>690</v>
      </c>
      <c r="AP285">
        <f t="shared" si="436"/>
        <v>350</v>
      </c>
      <c r="AR285" s="5">
        <f t="shared" si="406"/>
        <v>2.8571428571428572</v>
      </c>
      <c r="AS285" s="5">
        <f t="shared" si="385"/>
        <v>0.51474265414865317</v>
      </c>
      <c r="AT285" s="5">
        <f t="shared" si="386"/>
        <v>2.3424002029942042</v>
      </c>
      <c r="AU285" s="177">
        <f t="shared" si="387"/>
        <v>0.18015992895202859</v>
      </c>
      <c r="CI285" s="571">
        <f t="shared" si="437"/>
        <v>-50</v>
      </c>
    </row>
    <row r="286" spans="5:87" x14ac:dyDescent="0.2">
      <c r="E286" s="174">
        <v>70</v>
      </c>
      <c r="F286" s="221">
        <f t="shared" si="438"/>
        <v>0.7</v>
      </c>
      <c r="G286" s="221">
        <f t="shared" si="407"/>
        <v>0.13999999999999999</v>
      </c>
      <c r="H286" s="221">
        <f t="shared" si="408"/>
        <v>3.5</v>
      </c>
      <c r="I286" s="221">
        <f t="shared" si="409"/>
        <v>0.7</v>
      </c>
      <c r="J286" s="551">
        <f t="shared" si="410"/>
        <v>25</v>
      </c>
      <c r="K286" s="451">
        <f t="shared" si="411"/>
        <v>10.64</v>
      </c>
      <c r="L286" s="451">
        <f t="shared" si="412"/>
        <v>35.64</v>
      </c>
      <c r="M286" s="451"/>
      <c r="N286" s="221">
        <f t="shared" si="413"/>
        <v>0.2985409652076319</v>
      </c>
      <c r="O286" s="176">
        <f t="shared" si="414"/>
        <v>11.475168350168351</v>
      </c>
      <c r="P286" s="176">
        <f t="shared" si="415"/>
        <v>2.7540404040404045</v>
      </c>
      <c r="Q286" s="221">
        <f t="shared" si="416"/>
        <v>2.2950336700336704</v>
      </c>
      <c r="R286" s="221">
        <f t="shared" si="417"/>
        <v>2.2950336700336704</v>
      </c>
      <c r="S286" s="221">
        <f t="shared" si="418"/>
        <v>5</v>
      </c>
      <c r="T286" s="221">
        <f t="shared" si="419"/>
        <v>1.2505263157894735</v>
      </c>
      <c r="U286" s="221">
        <f t="shared" si="420"/>
        <v>0.35014736842105254</v>
      </c>
      <c r="V286" s="221">
        <f t="shared" si="421"/>
        <v>0.82271468144044302</v>
      </c>
      <c r="W286" s="201">
        <f t="shared" si="422"/>
        <v>350</v>
      </c>
      <c r="X286" s="451">
        <f t="shared" si="423"/>
        <v>350</v>
      </c>
      <c r="Z286" s="221">
        <f t="shared" si="424"/>
        <v>3.0463363796697127</v>
      </c>
      <c r="AA286" s="177">
        <f t="shared" si="425"/>
        <v>2.004168670835337</v>
      </c>
      <c r="AB286" s="177">
        <f t="shared" si="426"/>
        <v>1.780733480446661</v>
      </c>
      <c r="AC286" s="177"/>
      <c r="AD286" s="177">
        <f t="shared" si="427"/>
        <v>0.53947368421052622</v>
      </c>
      <c r="AE286" s="555">
        <f t="shared" si="428"/>
        <v>1582.3914336704345</v>
      </c>
      <c r="AF286" s="538">
        <f t="shared" si="429"/>
        <v>0.15482894736842101</v>
      </c>
      <c r="AH286" s="177">
        <f t="shared" si="430"/>
        <v>1.8516401995451028</v>
      </c>
      <c r="AI286" s="177">
        <f t="shared" si="431"/>
        <v>1.8516401995451028</v>
      </c>
      <c r="AJ286" s="177">
        <f t="shared" si="432"/>
        <v>1.9641779255889651</v>
      </c>
      <c r="AL286" s="555">
        <f t="shared" si="433"/>
        <v>700</v>
      </c>
      <c r="AM286" s="469">
        <f t="shared" si="434"/>
        <v>350</v>
      </c>
      <c r="AO286">
        <f t="shared" si="435"/>
        <v>700</v>
      </c>
      <c r="AP286">
        <f t="shared" si="436"/>
        <v>350</v>
      </c>
      <c r="AR286" s="5">
        <f t="shared" si="406"/>
        <v>2.8571428571428572</v>
      </c>
      <c r="AS286" s="5">
        <f t="shared" si="385"/>
        <v>0.51845925587262875</v>
      </c>
      <c r="AT286" s="5">
        <f t="shared" si="386"/>
        <v>2.3386836012702283</v>
      </c>
      <c r="AU286" s="177">
        <f t="shared" si="387"/>
        <v>0.18146073955542005</v>
      </c>
      <c r="CI286" s="571">
        <f t="shared" si="437"/>
        <v>-50</v>
      </c>
    </row>
    <row r="287" spans="5:87" x14ac:dyDescent="0.2">
      <c r="E287" s="174">
        <v>71</v>
      </c>
      <c r="F287" s="221">
        <f t="shared" si="438"/>
        <v>0.71</v>
      </c>
      <c r="G287" s="221">
        <f t="shared" si="407"/>
        <v>0.14199999999999999</v>
      </c>
      <c r="H287" s="221">
        <f t="shared" si="408"/>
        <v>3.55</v>
      </c>
      <c r="I287" s="221">
        <f t="shared" si="409"/>
        <v>0.71</v>
      </c>
      <c r="J287" s="551">
        <f t="shared" si="410"/>
        <v>25</v>
      </c>
      <c r="K287" s="451">
        <f t="shared" si="411"/>
        <v>10.64</v>
      </c>
      <c r="L287" s="451">
        <f t="shared" si="412"/>
        <v>35.64</v>
      </c>
      <c r="M287" s="451"/>
      <c r="N287" s="221">
        <f t="shared" si="413"/>
        <v>0.2985409652076319</v>
      </c>
      <c r="O287" s="176">
        <f t="shared" si="414"/>
        <v>11.475168350168351</v>
      </c>
      <c r="P287" s="176">
        <f t="shared" si="415"/>
        <v>2.7540404040404045</v>
      </c>
      <c r="Q287" s="221">
        <f t="shared" si="416"/>
        <v>2.2950336700336704</v>
      </c>
      <c r="R287" s="221">
        <f t="shared" si="417"/>
        <v>2.2950336700336704</v>
      </c>
      <c r="S287" s="221">
        <f t="shared" si="418"/>
        <v>5</v>
      </c>
      <c r="T287" s="221">
        <f t="shared" si="419"/>
        <v>1.2683909774436088</v>
      </c>
      <c r="U287" s="221">
        <f t="shared" si="420"/>
        <v>0.35514947368421051</v>
      </c>
      <c r="V287" s="221">
        <f t="shared" si="421"/>
        <v>0.83446774831816373</v>
      </c>
      <c r="W287" s="201">
        <f t="shared" si="422"/>
        <v>350</v>
      </c>
      <c r="X287" s="451">
        <f t="shared" si="423"/>
        <v>350</v>
      </c>
      <c r="Z287" s="221">
        <f t="shared" si="424"/>
        <v>3.0463363796697127</v>
      </c>
      <c r="AA287" s="177">
        <f t="shared" si="425"/>
        <v>2.004168670835337</v>
      </c>
      <c r="AB287" s="177">
        <f t="shared" si="426"/>
        <v>1.780733480446661</v>
      </c>
      <c r="AC287" s="177"/>
      <c r="AD287" s="177">
        <f t="shared" si="427"/>
        <v>0.53947368421052622</v>
      </c>
      <c r="AE287" s="555">
        <f t="shared" si="428"/>
        <v>1604.997025580012</v>
      </c>
      <c r="AF287" s="538">
        <f t="shared" si="429"/>
        <v>0.15482894736842101</v>
      </c>
      <c r="AH287" s="177">
        <f t="shared" si="430"/>
        <v>1.8648192996663679</v>
      </c>
      <c r="AI287" s="177">
        <f t="shared" si="431"/>
        <v>1.8648192996663679</v>
      </c>
      <c r="AJ287" s="177">
        <f t="shared" si="432"/>
        <v>1.9739402219750875</v>
      </c>
      <c r="AL287" s="555">
        <f t="shared" si="433"/>
        <v>710</v>
      </c>
      <c r="AM287" s="469">
        <f t="shared" si="434"/>
        <v>350</v>
      </c>
      <c r="AO287">
        <f t="shared" si="435"/>
        <v>710</v>
      </c>
      <c r="AP287">
        <f t="shared" si="436"/>
        <v>350</v>
      </c>
      <c r="AR287" s="5">
        <f t="shared" si="406"/>
        <v>2.8571428571428572</v>
      </c>
      <c r="AS287" s="5">
        <f t="shared" si="385"/>
        <v>0.52214940390658293</v>
      </c>
      <c r="AT287" s="5">
        <f t="shared" si="386"/>
        <v>2.3349934532362742</v>
      </c>
      <c r="AU287" s="177">
        <f t="shared" si="387"/>
        <v>0.18275229136730403</v>
      </c>
      <c r="CI287" s="571">
        <f t="shared" si="437"/>
        <v>-50</v>
      </c>
    </row>
    <row r="288" spans="5:87" x14ac:dyDescent="0.2">
      <c r="E288" s="174">
        <v>72</v>
      </c>
      <c r="F288" s="221">
        <f t="shared" si="438"/>
        <v>0.72</v>
      </c>
      <c r="G288" s="221">
        <f t="shared" si="407"/>
        <v>0.14399999999999999</v>
      </c>
      <c r="H288" s="221">
        <f t="shared" si="408"/>
        <v>3.5999999999999996</v>
      </c>
      <c r="I288" s="221">
        <f t="shared" si="409"/>
        <v>0.72</v>
      </c>
      <c r="J288" s="551">
        <f t="shared" si="410"/>
        <v>25</v>
      </c>
      <c r="K288" s="451">
        <f t="shared" si="411"/>
        <v>10.64</v>
      </c>
      <c r="L288" s="451">
        <f t="shared" si="412"/>
        <v>35.64</v>
      </c>
      <c r="M288" s="451"/>
      <c r="N288" s="221">
        <f t="shared" si="413"/>
        <v>0.2985409652076319</v>
      </c>
      <c r="O288" s="176">
        <f t="shared" si="414"/>
        <v>11.475168350168351</v>
      </c>
      <c r="P288" s="176">
        <f t="shared" si="415"/>
        <v>2.7540404040404045</v>
      </c>
      <c r="Q288" s="221">
        <f t="shared" si="416"/>
        <v>2.2950336700336704</v>
      </c>
      <c r="R288" s="221">
        <f t="shared" si="417"/>
        <v>2.2950336700336704</v>
      </c>
      <c r="S288" s="221">
        <f t="shared" si="418"/>
        <v>5</v>
      </c>
      <c r="T288" s="221">
        <f t="shared" si="419"/>
        <v>1.286255639097744</v>
      </c>
      <c r="U288" s="221">
        <f t="shared" si="420"/>
        <v>0.36015157894736832</v>
      </c>
      <c r="V288" s="221">
        <f t="shared" si="421"/>
        <v>0.8462208151958841</v>
      </c>
      <c r="W288" s="201">
        <f t="shared" si="422"/>
        <v>350</v>
      </c>
      <c r="X288" s="451">
        <f t="shared" si="423"/>
        <v>350</v>
      </c>
      <c r="Z288" s="221">
        <f t="shared" si="424"/>
        <v>3.0463363796697127</v>
      </c>
      <c r="AA288" s="177">
        <f t="shared" si="425"/>
        <v>2.004168670835337</v>
      </c>
      <c r="AB288" s="177">
        <f t="shared" si="426"/>
        <v>1.780733480446661</v>
      </c>
      <c r="AC288" s="177"/>
      <c r="AD288" s="177">
        <f t="shared" si="427"/>
        <v>0.53947368421052622</v>
      </c>
      <c r="AE288" s="555">
        <f t="shared" si="428"/>
        <v>1627.6026174895899</v>
      </c>
      <c r="AF288" s="538">
        <f t="shared" si="429"/>
        <v>0.15482894736842101</v>
      </c>
      <c r="AH288" s="177">
        <f t="shared" si="430"/>
        <v>1.8779059114462837</v>
      </c>
      <c r="AI288" s="177">
        <f t="shared" si="431"/>
        <v>1.8779059114462837</v>
      </c>
      <c r="AJ288" s="177">
        <f t="shared" si="432"/>
        <v>1.9836340084787285</v>
      </c>
      <c r="AL288" s="555">
        <f t="shared" si="433"/>
        <v>720</v>
      </c>
      <c r="AM288" s="469">
        <f t="shared" si="434"/>
        <v>350</v>
      </c>
      <c r="AO288">
        <f t="shared" si="435"/>
        <v>720</v>
      </c>
      <c r="AP288">
        <f t="shared" si="436"/>
        <v>350</v>
      </c>
      <c r="AR288" s="5">
        <f t="shared" si="406"/>
        <v>2.8571428571428572</v>
      </c>
      <c r="AS288" s="5">
        <f t="shared" si="385"/>
        <v>0.52581365520495937</v>
      </c>
      <c r="AT288" s="5">
        <f t="shared" si="386"/>
        <v>2.3313292019378977</v>
      </c>
      <c r="AU288" s="177">
        <f t="shared" si="387"/>
        <v>0.18403477932173579</v>
      </c>
      <c r="CI288" s="571">
        <f t="shared" si="437"/>
        <v>-50</v>
      </c>
    </row>
    <row r="289" spans="5:87" x14ac:dyDescent="0.2">
      <c r="E289" s="174">
        <v>73</v>
      </c>
      <c r="F289" s="221">
        <f t="shared" si="438"/>
        <v>0.73</v>
      </c>
      <c r="G289" s="221">
        <f t="shared" si="407"/>
        <v>0.14599999999999999</v>
      </c>
      <c r="H289" s="221">
        <f t="shared" si="408"/>
        <v>3.65</v>
      </c>
      <c r="I289" s="221">
        <f t="shared" si="409"/>
        <v>0.73</v>
      </c>
      <c r="J289" s="551">
        <f t="shared" si="410"/>
        <v>25</v>
      </c>
      <c r="K289" s="451">
        <f t="shared" si="411"/>
        <v>10.64</v>
      </c>
      <c r="L289" s="451">
        <f t="shared" si="412"/>
        <v>35.64</v>
      </c>
      <c r="M289" s="451"/>
      <c r="N289" s="221">
        <f t="shared" si="413"/>
        <v>0.2985409652076319</v>
      </c>
      <c r="O289" s="176">
        <f t="shared" si="414"/>
        <v>11.475168350168351</v>
      </c>
      <c r="P289" s="176">
        <f t="shared" si="415"/>
        <v>2.7540404040404045</v>
      </c>
      <c r="Q289" s="221">
        <f t="shared" si="416"/>
        <v>2.2950336700336704</v>
      </c>
      <c r="R289" s="221">
        <f t="shared" si="417"/>
        <v>2.2950336700336704</v>
      </c>
      <c r="S289" s="221">
        <f t="shared" si="418"/>
        <v>5</v>
      </c>
      <c r="T289" s="221">
        <f t="shared" si="419"/>
        <v>1.3041203007518796</v>
      </c>
      <c r="U289" s="221">
        <f t="shared" si="420"/>
        <v>0.3651536842105263</v>
      </c>
      <c r="V289" s="221">
        <f t="shared" si="421"/>
        <v>0.85797388207360492</v>
      </c>
      <c r="W289" s="201">
        <f t="shared" si="422"/>
        <v>350</v>
      </c>
      <c r="X289" s="451">
        <f t="shared" si="423"/>
        <v>350</v>
      </c>
      <c r="Z289" s="221">
        <f t="shared" si="424"/>
        <v>3.0463363796697127</v>
      </c>
      <c r="AA289" s="177">
        <f t="shared" si="425"/>
        <v>2.004168670835337</v>
      </c>
      <c r="AB289" s="177">
        <f t="shared" si="426"/>
        <v>1.780733480446661</v>
      </c>
      <c r="AC289" s="177"/>
      <c r="AD289" s="177">
        <f t="shared" si="427"/>
        <v>0.53947368421052622</v>
      </c>
      <c r="AE289" s="555">
        <f t="shared" si="428"/>
        <v>1650.2082093991673</v>
      </c>
      <c r="AF289" s="538">
        <f t="shared" si="429"/>
        <v>0.15482894736842101</v>
      </c>
      <c r="AH289" s="177">
        <f t="shared" si="430"/>
        <v>1.8909019551742052</v>
      </c>
      <c r="AI289" s="177">
        <f t="shared" si="431"/>
        <v>1.8909019551742052</v>
      </c>
      <c r="AJ289" s="177">
        <f t="shared" si="432"/>
        <v>1.9932607075364484</v>
      </c>
      <c r="AL289" s="555">
        <f t="shared" si="433"/>
        <v>730</v>
      </c>
      <c r="AM289" s="469">
        <f t="shared" si="434"/>
        <v>350</v>
      </c>
      <c r="AO289">
        <f t="shared" si="435"/>
        <v>730</v>
      </c>
      <c r="AP289">
        <f t="shared" si="436"/>
        <v>350</v>
      </c>
      <c r="AR289" s="5">
        <f t="shared" si="406"/>
        <v>2.8571428571428572</v>
      </c>
      <c r="AS289" s="5">
        <f t="shared" si="385"/>
        <v>0.52945254744877757</v>
      </c>
      <c r="AT289" s="5">
        <f t="shared" si="386"/>
        <v>2.3276903096940798</v>
      </c>
      <c r="AU289" s="177">
        <f t="shared" si="387"/>
        <v>0.18530839160707213</v>
      </c>
      <c r="CI289" s="571">
        <f t="shared" si="437"/>
        <v>-50</v>
      </c>
    </row>
    <row r="290" spans="5:87" x14ac:dyDescent="0.2">
      <c r="E290" s="174">
        <v>74</v>
      </c>
      <c r="F290" s="221">
        <f t="shared" si="438"/>
        <v>0.74</v>
      </c>
      <c r="G290" s="221">
        <f t="shared" si="407"/>
        <v>0.14799999999999999</v>
      </c>
      <c r="H290" s="221">
        <f t="shared" si="408"/>
        <v>3.7</v>
      </c>
      <c r="I290" s="221">
        <f t="shared" si="409"/>
        <v>0.74</v>
      </c>
      <c r="J290" s="551">
        <f t="shared" si="410"/>
        <v>25</v>
      </c>
      <c r="K290" s="451">
        <f t="shared" si="411"/>
        <v>10.64</v>
      </c>
      <c r="L290" s="451">
        <f t="shared" si="412"/>
        <v>35.64</v>
      </c>
      <c r="M290" s="451"/>
      <c r="N290" s="221">
        <f t="shared" si="413"/>
        <v>0.2985409652076319</v>
      </c>
      <c r="O290" s="176">
        <f t="shared" si="414"/>
        <v>11.475168350168351</v>
      </c>
      <c r="P290" s="176">
        <f t="shared" si="415"/>
        <v>2.7540404040404045</v>
      </c>
      <c r="Q290" s="221">
        <f t="shared" si="416"/>
        <v>2.2950336700336704</v>
      </c>
      <c r="R290" s="221">
        <f t="shared" si="417"/>
        <v>2.2950336700336704</v>
      </c>
      <c r="S290" s="221">
        <f t="shared" si="418"/>
        <v>5</v>
      </c>
      <c r="T290" s="221">
        <f t="shared" si="419"/>
        <v>1.3219849624060149</v>
      </c>
      <c r="U290" s="221">
        <f t="shared" si="420"/>
        <v>0.37015578947368416</v>
      </c>
      <c r="V290" s="221">
        <f t="shared" si="421"/>
        <v>0.86972694895132552</v>
      </c>
      <c r="W290" s="201">
        <f t="shared" si="422"/>
        <v>350</v>
      </c>
      <c r="X290" s="451">
        <f t="shared" si="423"/>
        <v>350</v>
      </c>
      <c r="Z290" s="221">
        <f t="shared" si="424"/>
        <v>3.0463363796697127</v>
      </c>
      <c r="AA290" s="177">
        <f t="shared" si="425"/>
        <v>2.004168670835337</v>
      </c>
      <c r="AB290" s="177">
        <f t="shared" si="426"/>
        <v>1.780733480446661</v>
      </c>
      <c r="AC290" s="177"/>
      <c r="AD290" s="177">
        <f t="shared" si="427"/>
        <v>0.53947368421052622</v>
      </c>
      <c r="AE290" s="555">
        <f t="shared" si="428"/>
        <v>1672.813801308745</v>
      </c>
      <c r="AF290" s="538">
        <f t="shared" si="429"/>
        <v>0.15482894736842101</v>
      </c>
      <c r="AH290" s="177">
        <f t="shared" si="430"/>
        <v>1.9038092855951636</v>
      </c>
      <c r="AI290" s="177">
        <f t="shared" si="431"/>
        <v>1.9038092855951636</v>
      </c>
      <c r="AJ290" s="177">
        <f t="shared" si="432"/>
        <v>2.0028216930334546</v>
      </c>
      <c r="AL290" s="555">
        <f t="shared" si="433"/>
        <v>740</v>
      </c>
      <c r="AM290" s="469">
        <f t="shared" si="434"/>
        <v>350</v>
      </c>
      <c r="AO290">
        <f t="shared" si="435"/>
        <v>740</v>
      </c>
      <c r="AP290">
        <f t="shared" si="436"/>
        <v>350</v>
      </c>
      <c r="AR290" s="5">
        <f t="shared" si="406"/>
        <v>2.8571428571428572</v>
      </c>
      <c r="AS290" s="5">
        <f t="shared" si="385"/>
        <v>0.53306659996664585</v>
      </c>
      <c r="AT290" s="5">
        <f t="shared" si="386"/>
        <v>2.3240762571762112</v>
      </c>
      <c r="AU290" s="177">
        <f t="shared" si="387"/>
        <v>0.18657330998832605</v>
      </c>
      <c r="CI290" s="571">
        <f t="shared" si="437"/>
        <v>-50</v>
      </c>
    </row>
    <row r="291" spans="5:87" x14ac:dyDescent="0.2">
      <c r="E291" s="174">
        <v>75</v>
      </c>
      <c r="F291" s="221">
        <f t="shared" si="438"/>
        <v>0.75</v>
      </c>
      <c r="G291" s="221">
        <f t="shared" si="407"/>
        <v>0.15000000000000002</v>
      </c>
      <c r="H291" s="221">
        <f t="shared" si="408"/>
        <v>3.75</v>
      </c>
      <c r="I291" s="221">
        <f t="shared" si="409"/>
        <v>0.75000000000000011</v>
      </c>
      <c r="J291" s="551">
        <f t="shared" si="410"/>
        <v>25</v>
      </c>
      <c r="K291" s="451">
        <f t="shared" si="411"/>
        <v>10.64</v>
      </c>
      <c r="L291" s="451">
        <f t="shared" si="412"/>
        <v>35.64</v>
      </c>
      <c r="M291" s="451"/>
      <c r="N291" s="221">
        <f t="shared" si="413"/>
        <v>0.2985409652076319</v>
      </c>
      <c r="O291" s="176">
        <f t="shared" si="414"/>
        <v>11.475168350168351</v>
      </c>
      <c r="P291" s="176">
        <f t="shared" si="415"/>
        <v>2.7540404040404045</v>
      </c>
      <c r="Q291" s="221">
        <f t="shared" si="416"/>
        <v>2.2950336700336704</v>
      </c>
      <c r="R291" s="221">
        <f t="shared" si="417"/>
        <v>2.2950336700336704</v>
      </c>
      <c r="S291" s="221">
        <f t="shared" si="418"/>
        <v>5</v>
      </c>
      <c r="T291" s="221">
        <f t="shared" si="419"/>
        <v>1.3398496240601503</v>
      </c>
      <c r="U291" s="221">
        <f t="shared" si="420"/>
        <v>0.37515789473684208</v>
      </c>
      <c r="V291" s="221">
        <f t="shared" si="421"/>
        <v>0.88148001582904634</v>
      </c>
      <c r="W291" s="201">
        <f t="shared" si="422"/>
        <v>350</v>
      </c>
      <c r="X291" s="451">
        <f t="shared" si="423"/>
        <v>350</v>
      </c>
      <c r="Z291" s="221">
        <f t="shared" si="424"/>
        <v>3.0463363796697127</v>
      </c>
      <c r="AA291" s="177">
        <f t="shared" si="425"/>
        <v>2.004168670835337</v>
      </c>
      <c r="AB291" s="177">
        <f t="shared" si="426"/>
        <v>1.780733480446661</v>
      </c>
      <c r="AC291" s="177"/>
      <c r="AD291" s="177">
        <f t="shared" si="427"/>
        <v>0.53947368421052622</v>
      </c>
      <c r="AE291" s="555">
        <f t="shared" si="428"/>
        <v>1695.419393218323</v>
      </c>
      <c r="AF291" s="538">
        <f t="shared" si="429"/>
        <v>0.15482894736842101</v>
      </c>
      <c r="AH291" s="177">
        <f t="shared" si="430"/>
        <v>1.9166296949998196</v>
      </c>
      <c r="AI291" s="177">
        <f t="shared" si="431"/>
        <v>1.9166296949998196</v>
      </c>
      <c r="AJ291" s="177">
        <f t="shared" si="432"/>
        <v>2.0123182925924588</v>
      </c>
      <c r="AL291" s="555">
        <f t="shared" si="433"/>
        <v>750</v>
      </c>
      <c r="AM291" s="469">
        <f t="shared" si="434"/>
        <v>350</v>
      </c>
      <c r="AO291">
        <f t="shared" si="435"/>
        <v>750</v>
      </c>
      <c r="AP291">
        <f t="shared" si="436"/>
        <v>350</v>
      </c>
      <c r="AR291" s="5">
        <f t="shared" si="406"/>
        <v>2.8571428571428572</v>
      </c>
      <c r="AS291" s="5">
        <f t="shared" si="385"/>
        <v>0.53665631459994945</v>
      </c>
      <c r="AT291" s="5">
        <f t="shared" si="386"/>
        <v>2.3204865425429078</v>
      </c>
      <c r="AU291" s="177">
        <f t="shared" si="387"/>
        <v>0.18782971010998231</v>
      </c>
      <c r="CI291" s="571">
        <f t="shared" si="437"/>
        <v>-50</v>
      </c>
    </row>
    <row r="292" spans="5:87" x14ac:dyDescent="0.2">
      <c r="E292" s="174">
        <v>76</v>
      </c>
      <c r="F292" s="221">
        <f t="shared" si="438"/>
        <v>0.76</v>
      </c>
      <c r="G292" s="221">
        <f t="shared" si="407"/>
        <v>0.15200000000000002</v>
      </c>
      <c r="H292" s="221">
        <f t="shared" si="408"/>
        <v>3.8</v>
      </c>
      <c r="I292" s="221">
        <f t="shared" si="409"/>
        <v>0.76000000000000012</v>
      </c>
      <c r="J292" s="551">
        <f t="shared" si="410"/>
        <v>25</v>
      </c>
      <c r="K292" s="451">
        <f t="shared" si="411"/>
        <v>10.64</v>
      </c>
      <c r="L292" s="451">
        <f t="shared" si="412"/>
        <v>35.64</v>
      </c>
      <c r="M292" s="451"/>
      <c r="N292" s="221">
        <f t="shared" si="413"/>
        <v>0.2985409652076319</v>
      </c>
      <c r="O292" s="176">
        <f t="shared" si="414"/>
        <v>11.475168350168351</v>
      </c>
      <c r="P292" s="176">
        <f t="shared" si="415"/>
        <v>2.7540404040404045</v>
      </c>
      <c r="Q292" s="221">
        <f t="shared" si="416"/>
        <v>2.2950336700336704</v>
      </c>
      <c r="R292" s="221">
        <f t="shared" si="417"/>
        <v>2.2950336700336704</v>
      </c>
      <c r="S292" s="221">
        <f t="shared" si="418"/>
        <v>5</v>
      </c>
      <c r="T292" s="221">
        <f t="shared" si="419"/>
        <v>1.3577142857142854</v>
      </c>
      <c r="U292" s="221">
        <f t="shared" si="420"/>
        <v>0.38015999999999989</v>
      </c>
      <c r="V292" s="221">
        <f t="shared" si="421"/>
        <v>0.8932330827067666</v>
      </c>
      <c r="W292" s="201">
        <f t="shared" si="422"/>
        <v>350</v>
      </c>
      <c r="X292" s="451">
        <f t="shared" si="423"/>
        <v>350</v>
      </c>
      <c r="Z292" s="221">
        <f t="shared" si="424"/>
        <v>3.0463363796697127</v>
      </c>
      <c r="AA292" s="177">
        <f t="shared" si="425"/>
        <v>2.004168670835337</v>
      </c>
      <c r="AB292" s="177">
        <f t="shared" si="426"/>
        <v>1.780733480446661</v>
      </c>
      <c r="AC292" s="177"/>
      <c r="AD292" s="177">
        <f t="shared" si="427"/>
        <v>0.53947368421052622</v>
      </c>
      <c r="AE292" s="555">
        <f t="shared" si="428"/>
        <v>1718.0249851279</v>
      </c>
      <c r="AF292" s="538">
        <f t="shared" si="429"/>
        <v>0.15482894736842101</v>
      </c>
      <c r="AH292" s="177">
        <f t="shared" si="430"/>
        <v>1.9293649161296149</v>
      </c>
      <c r="AI292" s="177">
        <f t="shared" si="431"/>
        <v>1.9293649161296149</v>
      </c>
      <c r="AJ292" s="177">
        <f t="shared" si="432"/>
        <v>2.0217517897256405</v>
      </c>
      <c r="AL292" s="555">
        <f t="shared" si="433"/>
        <v>760</v>
      </c>
      <c r="AM292" s="469">
        <f t="shared" si="434"/>
        <v>350</v>
      </c>
      <c r="AO292">
        <f t="shared" si="435"/>
        <v>760</v>
      </c>
      <c r="AP292">
        <f t="shared" si="436"/>
        <v>350</v>
      </c>
      <c r="AR292" s="5">
        <f t="shared" si="406"/>
        <v>2.8571428571428572</v>
      </c>
      <c r="AS292" s="5">
        <f t="shared" si="385"/>
        <v>0.54022217651629212</v>
      </c>
      <c r="AT292" s="5">
        <f t="shared" si="386"/>
        <v>2.316920680626565</v>
      </c>
      <c r="AU292" s="177">
        <f t="shared" si="387"/>
        <v>0.18907776178070224</v>
      </c>
      <c r="CI292" s="571">
        <f t="shared" si="437"/>
        <v>-50</v>
      </c>
    </row>
    <row r="293" spans="5:87" x14ac:dyDescent="0.2">
      <c r="E293" s="174">
        <v>77</v>
      </c>
      <c r="F293" s="221">
        <f t="shared" si="438"/>
        <v>0.77</v>
      </c>
      <c r="G293" s="221">
        <f t="shared" si="407"/>
        <v>0.15400000000000003</v>
      </c>
      <c r="H293" s="221">
        <f t="shared" si="408"/>
        <v>3.85</v>
      </c>
      <c r="I293" s="221">
        <f t="shared" si="409"/>
        <v>0.77000000000000013</v>
      </c>
      <c r="J293" s="551">
        <f t="shared" si="410"/>
        <v>25</v>
      </c>
      <c r="K293" s="451">
        <f t="shared" si="411"/>
        <v>10.64</v>
      </c>
      <c r="L293" s="451">
        <f t="shared" si="412"/>
        <v>35.64</v>
      </c>
      <c r="M293" s="451"/>
      <c r="N293" s="221">
        <f t="shared" si="413"/>
        <v>0.2985409652076319</v>
      </c>
      <c r="O293" s="176">
        <f t="shared" si="414"/>
        <v>11.475168350168351</v>
      </c>
      <c r="P293" s="176">
        <f t="shared" si="415"/>
        <v>2.7540404040404045</v>
      </c>
      <c r="Q293" s="221">
        <f t="shared" si="416"/>
        <v>2.2950336700336704</v>
      </c>
      <c r="R293" s="221">
        <f t="shared" si="417"/>
        <v>2.2950336700336704</v>
      </c>
      <c r="S293" s="221">
        <f t="shared" si="418"/>
        <v>5</v>
      </c>
      <c r="T293" s="221">
        <f t="shared" si="419"/>
        <v>1.375578947368421</v>
      </c>
      <c r="U293" s="221">
        <f t="shared" si="420"/>
        <v>0.38516210526315792</v>
      </c>
      <c r="V293" s="221">
        <f t="shared" si="421"/>
        <v>0.90498614958448753</v>
      </c>
      <c r="W293" s="201">
        <f t="shared" si="422"/>
        <v>350</v>
      </c>
      <c r="X293" s="451">
        <f t="shared" si="423"/>
        <v>350</v>
      </c>
      <c r="Z293" s="221">
        <f t="shared" si="424"/>
        <v>3.0463363796697127</v>
      </c>
      <c r="AA293" s="177">
        <f t="shared" si="425"/>
        <v>2.004168670835337</v>
      </c>
      <c r="AB293" s="177">
        <f t="shared" si="426"/>
        <v>1.780733480446661</v>
      </c>
      <c r="AC293" s="177"/>
      <c r="AD293" s="177">
        <f t="shared" si="427"/>
        <v>0.53947368421052622</v>
      </c>
      <c r="AE293" s="555">
        <f t="shared" si="428"/>
        <v>1740.6305770374779</v>
      </c>
      <c r="AF293" s="538">
        <f t="shared" si="429"/>
        <v>0.15482894736842101</v>
      </c>
      <c r="AH293" s="177">
        <f t="shared" si="430"/>
        <v>1.9420166249104489</v>
      </c>
      <c r="AI293" s="177">
        <f t="shared" si="431"/>
        <v>1.9420166249104489</v>
      </c>
      <c r="AJ293" s="177">
        <f t="shared" si="432"/>
        <v>2.031123425859592</v>
      </c>
      <c r="AL293" s="555">
        <f t="shared" si="433"/>
        <v>770</v>
      </c>
      <c r="AM293" s="469">
        <f t="shared" si="434"/>
        <v>350</v>
      </c>
      <c r="AO293">
        <f t="shared" si="435"/>
        <v>770</v>
      </c>
      <c r="AP293">
        <f t="shared" si="436"/>
        <v>350</v>
      </c>
      <c r="AR293" s="5">
        <f t="shared" si="406"/>
        <v>2.8571428571428572</v>
      </c>
      <c r="AS293" s="5">
        <f t="shared" si="385"/>
        <v>0.54376465497492565</v>
      </c>
      <c r="AT293" s="5">
        <f t="shared" si="386"/>
        <v>2.3133782021679314</v>
      </c>
      <c r="AU293" s="177">
        <f t="shared" si="387"/>
        <v>0.19031762924122397</v>
      </c>
      <c r="CI293" s="571">
        <f t="shared" si="437"/>
        <v>-50</v>
      </c>
    </row>
    <row r="294" spans="5:87" x14ac:dyDescent="0.2">
      <c r="E294" s="174">
        <v>78</v>
      </c>
      <c r="F294" s="221">
        <f t="shared" si="438"/>
        <v>0.78</v>
      </c>
      <c r="G294" s="221">
        <f t="shared" si="407"/>
        <v>0.15600000000000003</v>
      </c>
      <c r="H294" s="221">
        <f t="shared" si="408"/>
        <v>3.9000000000000004</v>
      </c>
      <c r="I294" s="221">
        <f t="shared" si="409"/>
        <v>0.78000000000000014</v>
      </c>
      <c r="J294" s="551">
        <f t="shared" si="410"/>
        <v>25</v>
      </c>
      <c r="K294" s="451">
        <f t="shared" si="411"/>
        <v>10.64</v>
      </c>
      <c r="L294" s="451">
        <f t="shared" si="412"/>
        <v>35.64</v>
      </c>
      <c r="M294" s="451"/>
      <c r="N294" s="221">
        <f t="shared" si="413"/>
        <v>0.2985409652076319</v>
      </c>
      <c r="O294" s="176">
        <f t="shared" si="414"/>
        <v>11.475168350168351</v>
      </c>
      <c r="P294" s="176">
        <f t="shared" si="415"/>
        <v>2.7540404040404045</v>
      </c>
      <c r="Q294" s="221">
        <f t="shared" si="416"/>
        <v>2.2950336700336704</v>
      </c>
      <c r="R294" s="221">
        <f t="shared" si="417"/>
        <v>2.2950336700336704</v>
      </c>
      <c r="S294" s="221">
        <f t="shared" si="418"/>
        <v>5</v>
      </c>
      <c r="T294" s="221">
        <f t="shared" si="419"/>
        <v>1.3934436090225564</v>
      </c>
      <c r="U294" s="221">
        <f t="shared" si="420"/>
        <v>0.39016421052631572</v>
      </c>
      <c r="V294" s="221">
        <f t="shared" si="421"/>
        <v>0.91673921646220813</v>
      </c>
      <c r="W294" s="201">
        <f t="shared" si="422"/>
        <v>350</v>
      </c>
      <c r="X294" s="451">
        <f t="shared" si="423"/>
        <v>350</v>
      </c>
      <c r="Z294" s="221">
        <f t="shared" si="424"/>
        <v>3.0463363796697127</v>
      </c>
      <c r="AA294" s="177">
        <f t="shared" si="425"/>
        <v>2.004168670835337</v>
      </c>
      <c r="AB294" s="177">
        <f t="shared" si="426"/>
        <v>1.780733480446661</v>
      </c>
      <c r="AC294" s="177"/>
      <c r="AD294" s="177">
        <f t="shared" si="427"/>
        <v>0.53947368421052622</v>
      </c>
      <c r="AE294" s="555">
        <f t="shared" si="428"/>
        <v>1763.2361689470556</v>
      </c>
      <c r="AF294" s="538">
        <f t="shared" si="429"/>
        <v>0.15482894736842101</v>
      </c>
      <c r="AH294" s="177">
        <f t="shared" si="430"/>
        <v>1.9545864430270936</v>
      </c>
      <c r="AI294" s="177">
        <f t="shared" si="431"/>
        <v>1.9545864430270936</v>
      </c>
      <c r="AJ294" s="177">
        <f t="shared" si="432"/>
        <v>2.0404344022422918</v>
      </c>
      <c r="AL294" s="555">
        <f t="shared" si="433"/>
        <v>780</v>
      </c>
      <c r="AM294" s="469">
        <f t="shared" si="434"/>
        <v>350</v>
      </c>
      <c r="AO294">
        <f t="shared" si="435"/>
        <v>780</v>
      </c>
      <c r="AP294">
        <f t="shared" si="436"/>
        <v>350</v>
      </c>
      <c r="AR294" s="5">
        <f t="shared" si="406"/>
        <v>2.8571428571428572</v>
      </c>
      <c r="AS294" s="5">
        <f t="shared" si="385"/>
        <v>0.54728420404758626</v>
      </c>
      <c r="AT294" s="5">
        <f t="shared" si="386"/>
        <v>2.3098586530952709</v>
      </c>
      <c r="AU294" s="177">
        <f t="shared" si="387"/>
        <v>0.19154947141665518</v>
      </c>
      <c r="CI294" s="571">
        <f t="shared" si="437"/>
        <v>-50</v>
      </c>
    </row>
    <row r="295" spans="5:87" x14ac:dyDescent="0.2">
      <c r="E295" s="174">
        <v>79</v>
      </c>
      <c r="F295" s="221">
        <f t="shared" si="438"/>
        <v>0.79</v>
      </c>
      <c r="G295" s="221">
        <f t="shared" si="407"/>
        <v>0.15800000000000003</v>
      </c>
      <c r="H295" s="221">
        <f t="shared" si="408"/>
        <v>3.95</v>
      </c>
      <c r="I295" s="221">
        <f t="shared" si="409"/>
        <v>0.79000000000000015</v>
      </c>
      <c r="J295" s="551">
        <f t="shared" si="410"/>
        <v>25</v>
      </c>
      <c r="K295" s="451">
        <f t="shared" si="411"/>
        <v>10.64</v>
      </c>
      <c r="L295" s="451">
        <f t="shared" si="412"/>
        <v>35.64</v>
      </c>
      <c r="M295" s="451"/>
      <c r="N295" s="221">
        <f t="shared" si="413"/>
        <v>0.2985409652076319</v>
      </c>
      <c r="O295" s="176">
        <f t="shared" si="414"/>
        <v>11.475168350168351</v>
      </c>
      <c r="P295" s="176">
        <f t="shared" si="415"/>
        <v>2.7540404040404045</v>
      </c>
      <c r="Q295" s="221">
        <f t="shared" si="416"/>
        <v>2.2950336700336704</v>
      </c>
      <c r="R295" s="221">
        <f t="shared" si="417"/>
        <v>2.2950336700336704</v>
      </c>
      <c r="S295" s="221">
        <f t="shared" si="418"/>
        <v>5</v>
      </c>
      <c r="T295" s="221">
        <f t="shared" si="419"/>
        <v>1.4113082706766915</v>
      </c>
      <c r="U295" s="221">
        <f t="shared" si="420"/>
        <v>0.39516631578947364</v>
      </c>
      <c r="V295" s="221">
        <f t="shared" si="421"/>
        <v>0.9284922833399285</v>
      </c>
      <c r="W295" s="201">
        <f t="shared" si="422"/>
        <v>350</v>
      </c>
      <c r="X295" s="451">
        <f t="shared" si="423"/>
        <v>350</v>
      </c>
      <c r="Z295" s="221">
        <f t="shared" si="424"/>
        <v>3.0463363796697127</v>
      </c>
      <c r="AA295" s="177">
        <f t="shared" si="425"/>
        <v>2.004168670835337</v>
      </c>
      <c r="AB295" s="177">
        <f t="shared" si="426"/>
        <v>1.780733480446661</v>
      </c>
      <c r="AC295" s="177"/>
      <c r="AD295" s="177">
        <f t="shared" si="427"/>
        <v>0.53947368421052622</v>
      </c>
      <c r="AE295" s="555">
        <f t="shared" si="428"/>
        <v>1785.8417608566335</v>
      </c>
      <c r="AF295" s="538">
        <f t="shared" si="429"/>
        <v>0.15482894736842101</v>
      </c>
      <c r="AH295" s="177">
        <f t="shared" si="430"/>
        <v>1.9670759403495435</v>
      </c>
      <c r="AI295" s="177">
        <f t="shared" si="431"/>
        <v>1.9670759403495435</v>
      </c>
      <c r="AJ295" s="177">
        <f t="shared" si="432"/>
        <v>2.0496858817404027</v>
      </c>
      <c r="AL295" s="555">
        <f t="shared" si="433"/>
        <v>790</v>
      </c>
      <c r="AM295" s="469">
        <f t="shared" si="434"/>
        <v>350</v>
      </c>
      <c r="AO295">
        <f t="shared" si="435"/>
        <v>790</v>
      </c>
      <c r="AP295">
        <f t="shared" si="436"/>
        <v>350</v>
      </c>
      <c r="AR295" s="5">
        <f t="shared" si="406"/>
        <v>2.8571428571428572</v>
      </c>
      <c r="AS295" s="5">
        <f t="shared" si="385"/>
        <v>0.55078126329787214</v>
      </c>
      <c r="AT295" s="5">
        <f t="shared" si="386"/>
        <v>2.3063615938449851</v>
      </c>
      <c r="AU295" s="177">
        <f t="shared" si="387"/>
        <v>0.19277344215425524</v>
      </c>
      <c r="CI295" s="571">
        <f t="shared" si="437"/>
        <v>-50</v>
      </c>
    </row>
    <row r="296" spans="5:87" x14ac:dyDescent="0.2">
      <c r="E296" s="174">
        <v>80</v>
      </c>
      <c r="F296" s="221">
        <f t="shared" si="438"/>
        <v>0.8</v>
      </c>
      <c r="G296" s="221">
        <f t="shared" si="407"/>
        <v>0.16000000000000003</v>
      </c>
      <c r="H296" s="221">
        <f t="shared" si="408"/>
        <v>4</v>
      </c>
      <c r="I296" s="221">
        <f t="shared" si="409"/>
        <v>0.80000000000000016</v>
      </c>
      <c r="J296" s="551">
        <f t="shared" si="410"/>
        <v>25</v>
      </c>
      <c r="K296" s="451">
        <f t="shared" si="411"/>
        <v>10.64</v>
      </c>
      <c r="L296" s="451">
        <f t="shared" si="412"/>
        <v>35.64</v>
      </c>
      <c r="M296" s="451"/>
      <c r="N296" s="221">
        <f t="shared" si="413"/>
        <v>0.2985409652076319</v>
      </c>
      <c r="O296" s="176">
        <f t="shared" si="414"/>
        <v>11.475168350168351</v>
      </c>
      <c r="P296" s="176">
        <f t="shared" si="415"/>
        <v>2.7540404040404045</v>
      </c>
      <c r="Q296" s="221">
        <f t="shared" si="416"/>
        <v>2.2950336700336704</v>
      </c>
      <c r="R296" s="221">
        <f t="shared" si="417"/>
        <v>2.2950336700336704</v>
      </c>
      <c r="S296" s="221">
        <f t="shared" si="418"/>
        <v>5</v>
      </c>
      <c r="T296" s="221">
        <f t="shared" si="419"/>
        <v>1.4291729323308269</v>
      </c>
      <c r="U296" s="221">
        <f t="shared" si="420"/>
        <v>0.40016842105263151</v>
      </c>
      <c r="V296" s="221">
        <f t="shared" si="421"/>
        <v>0.9402453502176491</v>
      </c>
      <c r="W296" s="201">
        <f t="shared" si="422"/>
        <v>350</v>
      </c>
      <c r="X296" s="451">
        <f t="shared" si="423"/>
        <v>350</v>
      </c>
      <c r="Z296" s="221">
        <f t="shared" si="424"/>
        <v>3.0463363796697127</v>
      </c>
      <c r="AA296" s="177">
        <f t="shared" si="425"/>
        <v>2.004168670835337</v>
      </c>
      <c r="AB296" s="177">
        <f t="shared" si="426"/>
        <v>1.780733480446661</v>
      </c>
      <c r="AC296" s="177"/>
      <c r="AD296" s="177">
        <f t="shared" si="427"/>
        <v>0.53947368421052622</v>
      </c>
      <c r="AE296" s="555">
        <f t="shared" si="428"/>
        <v>1808.447352766211</v>
      </c>
      <c r="AF296" s="538">
        <f t="shared" si="429"/>
        <v>0.15482894736842101</v>
      </c>
      <c r="AH296" s="177">
        <f t="shared" si="430"/>
        <v>1.9794866372215738</v>
      </c>
      <c r="AI296" s="177">
        <f t="shared" si="431"/>
        <v>1.9794866372215738</v>
      </c>
      <c r="AJ296" s="177">
        <f t="shared" si="432"/>
        <v>2.0588789905344993</v>
      </c>
      <c r="AL296" s="555">
        <f t="shared" si="433"/>
        <v>800</v>
      </c>
      <c r="AM296" s="469">
        <f t="shared" si="434"/>
        <v>350</v>
      </c>
      <c r="AO296">
        <f t="shared" si="435"/>
        <v>800</v>
      </c>
      <c r="AP296">
        <f t="shared" si="436"/>
        <v>350</v>
      </c>
      <c r="AR296" s="5">
        <f t="shared" si="406"/>
        <v>2.8571428571428572</v>
      </c>
      <c r="AS296" s="5">
        <f t="shared" si="385"/>
        <v>0.55425625842204074</v>
      </c>
      <c r="AT296" s="5">
        <f t="shared" si="386"/>
        <v>2.3028865987208165</v>
      </c>
      <c r="AU296" s="177">
        <f t="shared" si="387"/>
        <v>0.19398969044771425</v>
      </c>
      <c r="CI296" s="571">
        <f t="shared" si="437"/>
        <v>-50</v>
      </c>
    </row>
    <row r="297" spans="5:87" x14ac:dyDescent="0.2">
      <c r="E297" s="174">
        <v>81</v>
      </c>
      <c r="F297" s="221">
        <f t="shared" si="438"/>
        <v>0.81</v>
      </c>
      <c r="G297" s="221">
        <f t="shared" si="407"/>
        <v>0.16200000000000003</v>
      </c>
      <c r="H297" s="221">
        <f t="shared" si="408"/>
        <v>4.0500000000000007</v>
      </c>
      <c r="I297" s="221">
        <f t="shared" si="409"/>
        <v>0.81000000000000016</v>
      </c>
      <c r="J297" s="551">
        <f t="shared" si="410"/>
        <v>25</v>
      </c>
      <c r="K297" s="451">
        <f t="shared" si="411"/>
        <v>10.64</v>
      </c>
      <c r="L297" s="451">
        <f t="shared" si="412"/>
        <v>35.64</v>
      </c>
      <c r="M297" s="451"/>
      <c r="N297" s="221">
        <f t="shared" si="413"/>
        <v>0.2985409652076319</v>
      </c>
      <c r="O297" s="176">
        <f t="shared" si="414"/>
        <v>11.475168350168351</v>
      </c>
      <c r="P297" s="176">
        <f t="shared" si="415"/>
        <v>2.7540404040404045</v>
      </c>
      <c r="Q297" s="221">
        <f t="shared" si="416"/>
        <v>2.2950336700336704</v>
      </c>
      <c r="R297" s="221">
        <f t="shared" si="417"/>
        <v>2.2950336700336704</v>
      </c>
      <c r="S297" s="221">
        <f t="shared" si="418"/>
        <v>5</v>
      </c>
      <c r="T297" s="221">
        <f t="shared" si="419"/>
        <v>1.4470375939849627</v>
      </c>
      <c r="U297" s="221">
        <f t="shared" si="420"/>
        <v>0.40517052631578959</v>
      </c>
      <c r="V297" s="221">
        <f t="shared" si="421"/>
        <v>0.95199841709537025</v>
      </c>
      <c r="W297" s="201">
        <f t="shared" si="422"/>
        <v>350</v>
      </c>
      <c r="X297" s="451">
        <f t="shared" si="423"/>
        <v>350</v>
      </c>
      <c r="Z297" s="221">
        <f t="shared" si="424"/>
        <v>3.0463363796697127</v>
      </c>
      <c r="AA297" s="177">
        <f t="shared" si="425"/>
        <v>2.004168670835337</v>
      </c>
      <c r="AB297" s="177">
        <f t="shared" si="426"/>
        <v>1.780733480446661</v>
      </c>
      <c r="AC297" s="177"/>
      <c r="AD297" s="177">
        <f t="shared" si="427"/>
        <v>0.53947368421052622</v>
      </c>
      <c r="AE297" s="555">
        <f t="shared" si="428"/>
        <v>1831.0529446757887</v>
      </c>
      <c r="AF297" s="538">
        <f t="shared" si="429"/>
        <v>0.15482894736842101</v>
      </c>
      <c r="AH297" s="177">
        <f t="shared" si="430"/>
        <v>1.9918200066209575</v>
      </c>
      <c r="AI297" s="177">
        <f t="shared" si="431"/>
        <v>1.9918200066209575</v>
      </c>
      <c r="AJ297" s="177">
        <f t="shared" si="432"/>
        <v>2.0680148197192274</v>
      </c>
      <c r="AL297" s="555">
        <f t="shared" si="433"/>
        <v>810</v>
      </c>
      <c r="AM297" s="469">
        <f t="shared" si="434"/>
        <v>350</v>
      </c>
      <c r="AO297">
        <f t="shared" si="435"/>
        <v>810</v>
      </c>
      <c r="AP297">
        <f t="shared" si="436"/>
        <v>350</v>
      </c>
      <c r="AR297" s="5">
        <f t="shared" si="406"/>
        <v>2.8571428571428572</v>
      </c>
      <c r="AS297" s="5">
        <f t="shared" si="385"/>
        <v>0.5577096018538682</v>
      </c>
      <c r="AT297" s="5">
        <f t="shared" si="386"/>
        <v>2.2994332552889891</v>
      </c>
      <c r="AU297" s="177">
        <f t="shared" si="387"/>
        <v>0.19519836064885387</v>
      </c>
      <c r="CI297" s="571">
        <f t="shared" si="437"/>
        <v>-50</v>
      </c>
    </row>
    <row r="298" spans="5:87" x14ac:dyDescent="0.2">
      <c r="E298" s="174">
        <v>82</v>
      </c>
      <c r="F298" s="221">
        <f t="shared" si="438"/>
        <v>0.82</v>
      </c>
      <c r="G298" s="221">
        <f t="shared" si="407"/>
        <v>0.16400000000000001</v>
      </c>
      <c r="H298" s="221">
        <f t="shared" si="408"/>
        <v>4.0999999999999996</v>
      </c>
      <c r="I298" s="221">
        <f t="shared" si="409"/>
        <v>0.82000000000000006</v>
      </c>
      <c r="J298" s="551">
        <f t="shared" si="410"/>
        <v>25</v>
      </c>
      <c r="K298" s="451">
        <f t="shared" si="411"/>
        <v>10.64</v>
      </c>
      <c r="L298" s="451">
        <f t="shared" si="412"/>
        <v>35.64</v>
      </c>
      <c r="M298" s="451"/>
      <c r="N298" s="221">
        <f t="shared" si="413"/>
        <v>0.2985409652076319</v>
      </c>
      <c r="O298" s="176">
        <f t="shared" si="414"/>
        <v>11.475168350168351</v>
      </c>
      <c r="P298" s="176">
        <f t="shared" si="415"/>
        <v>2.7540404040404045</v>
      </c>
      <c r="Q298" s="221">
        <f t="shared" si="416"/>
        <v>2.2950336700336704</v>
      </c>
      <c r="R298" s="221">
        <f t="shared" si="417"/>
        <v>2.2950336700336704</v>
      </c>
      <c r="S298" s="221">
        <f t="shared" si="418"/>
        <v>5</v>
      </c>
      <c r="T298" s="221">
        <f t="shared" si="419"/>
        <v>1.4649022556390976</v>
      </c>
      <c r="U298" s="221">
        <f t="shared" si="420"/>
        <v>0.41017263157894734</v>
      </c>
      <c r="V298" s="221">
        <f t="shared" si="421"/>
        <v>0.96375148397309041</v>
      </c>
      <c r="W298" s="201">
        <f t="shared" si="422"/>
        <v>350</v>
      </c>
      <c r="X298" s="451">
        <f t="shared" si="423"/>
        <v>350</v>
      </c>
      <c r="Z298" s="221">
        <f t="shared" si="424"/>
        <v>3.0463363796697127</v>
      </c>
      <c r="AA298" s="177">
        <f t="shared" si="425"/>
        <v>2.004168670835337</v>
      </c>
      <c r="AB298" s="177">
        <f t="shared" si="426"/>
        <v>1.780733480446661</v>
      </c>
      <c r="AC298" s="177"/>
      <c r="AD298" s="177">
        <f t="shared" si="427"/>
        <v>0.53947368421052622</v>
      </c>
      <c r="AE298" s="555">
        <f t="shared" si="428"/>
        <v>1853.6585365853662</v>
      </c>
      <c r="AF298" s="538">
        <f t="shared" si="429"/>
        <v>0.15482894736842101</v>
      </c>
      <c r="AH298" s="177">
        <f t="shared" si="430"/>
        <v>2.0040774762000204</v>
      </c>
      <c r="AI298" s="177">
        <f t="shared" si="431"/>
        <v>2.0040774762000204</v>
      </c>
      <c r="AJ298" s="177">
        <f t="shared" si="432"/>
        <v>2.0770944268148299</v>
      </c>
      <c r="AL298" s="555">
        <f t="shared" si="433"/>
        <v>820</v>
      </c>
      <c r="AM298" s="469">
        <f t="shared" si="434"/>
        <v>350</v>
      </c>
      <c r="AO298">
        <f t="shared" si="435"/>
        <v>820</v>
      </c>
      <c r="AP298">
        <f t="shared" si="436"/>
        <v>350</v>
      </c>
      <c r="AR298" s="5">
        <f t="shared" si="406"/>
        <v>2.8571428571428572</v>
      </c>
      <c r="AS298" s="5">
        <f t="shared" si="385"/>
        <v>0.56114169333600572</v>
      </c>
      <c r="AT298" s="5">
        <f t="shared" si="386"/>
        <v>2.2960011638068516</v>
      </c>
      <c r="AU298" s="177">
        <f t="shared" si="387"/>
        <v>0.19639959266760199</v>
      </c>
      <c r="CI298" s="571">
        <f t="shared" si="437"/>
        <v>-50</v>
      </c>
    </row>
    <row r="299" spans="5:87" x14ac:dyDescent="0.2">
      <c r="E299" s="174">
        <v>83</v>
      </c>
      <c r="F299" s="221">
        <f t="shared" si="438"/>
        <v>0.83</v>
      </c>
      <c r="G299" s="221">
        <f t="shared" si="407"/>
        <v>0.16600000000000001</v>
      </c>
      <c r="H299" s="221">
        <f t="shared" si="408"/>
        <v>4.1499999999999995</v>
      </c>
      <c r="I299" s="221">
        <f t="shared" si="409"/>
        <v>0.83000000000000007</v>
      </c>
      <c r="J299" s="551">
        <f t="shared" si="410"/>
        <v>25</v>
      </c>
      <c r="K299" s="451">
        <f t="shared" si="411"/>
        <v>10.64</v>
      </c>
      <c r="L299" s="451">
        <f t="shared" si="412"/>
        <v>35.64</v>
      </c>
      <c r="M299" s="451"/>
      <c r="N299" s="221">
        <f t="shared" si="413"/>
        <v>0.2985409652076319</v>
      </c>
      <c r="O299" s="176">
        <f t="shared" si="414"/>
        <v>11.475168350168351</v>
      </c>
      <c r="P299" s="176">
        <f t="shared" si="415"/>
        <v>2.7540404040404045</v>
      </c>
      <c r="Q299" s="221">
        <f t="shared" si="416"/>
        <v>2.2950336700336704</v>
      </c>
      <c r="R299" s="221">
        <f t="shared" si="417"/>
        <v>2.2950336700336704</v>
      </c>
      <c r="S299" s="221">
        <f t="shared" si="418"/>
        <v>5</v>
      </c>
      <c r="T299" s="221">
        <f t="shared" si="419"/>
        <v>1.4827669172932327</v>
      </c>
      <c r="U299" s="221">
        <f t="shared" si="420"/>
        <v>0.41517473684210515</v>
      </c>
      <c r="V299" s="221">
        <f t="shared" si="421"/>
        <v>0.97550455085081089</v>
      </c>
      <c r="W299" s="201">
        <f t="shared" si="422"/>
        <v>350</v>
      </c>
      <c r="X299" s="451">
        <f t="shared" si="423"/>
        <v>350</v>
      </c>
      <c r="Z299" s="221">
        <f t="shared" si="424"/>
        <v>3.0463363796697127</v>
      </c>
      <c r="AA299" s="177">
        <f t="shared" si="425"/>
        <v>2.004168670835337</v>
      </c>
      <c r="AB299" s="177">
        <f t="shared" si="426"/>
        <v>1.780733480446661</v>
      </c>
      <c r="AC299" s="177"/>
      <c r="AD299" s="177">
        <f t="shared" si="427"/>
        <v>0.53947368421052622</v>
      </c>
      <c r="AE299" s="555">
        <f t="shared" si="428"/>
        <v>1876.2641284949436</v>
      </c>
      <c r="AF299" s="538">
        <f t="shared" si="429"/>
        <v>0.15482894736842101</v>
      </c>
      <c r="AH299" s="177">
        <f t="shared" si="430"/>
        <v>2.0162604302145541</v>
      </c>
      <c r="AI299" s="177">
        <f t="shared" si="431"/>
        <v>2.0162604302145541</v>
      </c>
      <c r="AJ299" s="177">
        <f t="shared" si="432"/>
        <v>2.0861188371959662</v>
      </c>
      <c r="AL299" s="555">
        <f t="shared" si="433"/>
        <v>830</v>
      </c>
      <c r="AM299" s="469">
        <f t="shared" si="434"/>
        <v>350</v>
      </c>
      <c r="AO299">
        <f t="shared" si="435"/>
        <v>830</v>
      </c>
      <c r="AP299">
        <f t="shared" si="436"/>
        <v>350</v>
      </c>
      <c r="AR299" s="5">
        <f t="shared" si="406"/>
        <v>2.8571428571428572</v>
      </c>
      <c r="AS299" s="5">
        <f t="shared" si="385"/>
        <v>0.5645529204600751</v>
      </c>
      <c r="AT299" s="5">
        <f t="shared" si="386"/>
        <v>2.292589936682782</v>
      </c>
      <c r="AU299" s="177">
        <f t="shared" si="387"/>
        <v>0.19759352216102627</v>
      </c>
      <c r="CI299" s="571">
        <f t="shared" si="437"/>
        <v>-50</v>
      </c>
    </row>
    <row r="300" spans="5:87" x14ac:dyDescent="0.2">
      <c r="E300" s="174">
        <v>84</v>
      </c>
      <c r="F300" s="221">
        <f t="shared" si="438"/>
        <v>0.84</v>
      </c>
      <c r="G300" s="221">
        <f t="shared" si="407"/>
        <v>0.16800000000000001</v>
      </c>
      <c r="H300" s="221">
        <f t="shared" si="408"/>
        <v>4.2</v>
      </c>
      <c r="I300" s="221">
        <f t="shared" si="409"/>
        <v>0.84000000000000008</v>
      </c>
      <c r="J300" s="551">
        <f t="shared" si="410"/>
        <v>25</v>
      </c>
      <c r="K300" s="451">
        <f t="shared" si="411"/>
        <v>10.64</v>
      </c>
      <c r="L300" s="451">
        <f t="shared" si="412"/>
        <v>35.64</v>
      </c>
      <c r="M300" s="451"/>
      <c r="N300" s="221">
        <f t="shared" si="413"/>
        <v>0.2985409652076319</v>
      </c>
      <c r="O300" s="176">
        <f t="shared" si="414"/>
        <v>11.475168350168351</v>
      </c>
      <c r="P300" s="176">
        <f t="shared" si="415"/>
        <v>2.7540404040404045</v>
      </c>
      <c r="Q300" s="221">
        <f t="shared" si="416"/>
        <v>2.2950336700336704</v>
      </c>
      <c r="R300" s="221">
        <f t="shared" si="417"/>
        <v>2.2950336700336704</v>
      </c>
      <c r="S300" s="221">
        <f t="shared" si="418"/>
        <v>5</v>
      </c>
      <c r="T300" s="221">
        <f t="shared" si="419"/>
        <v>1.5006315789473683</v>
      </c>
      <c r="U300" s="221">
        <f t="shared" si="420"/>
        <v>0.42017684210526307</v>
      </c>
      <c r="V300" s="221">
        <f t="shared" si="421"/>
        <v>0.98725761772853171</v>
      </c>
      <c r="W300" s="201">
        <f t="shared" si="422"/>
        <v>350</v>
      </c>
      <c r="X300" s="451">
        <f t="shared" si="423"/>
        <v>350</v>
      </c>
      <c r="Z300" s="221">
        <f t="shared" si="424"/>
        <v>3.0463363796697127</v>
      </c>
      <c r="AA300" s="177">
        <f t="shared" si="425"/>
        <v>2.004168670835337</v>
      </c>
      <c r="AB300" s="177">
        <f t="shared" si="426"/>
        <v>1.780733480446661</v>
      </c>
      <c r="AC300" s="177"/>
      <c r="AD300" s="177">
        <f t="shared" si="427"/>
        <v>0.53947368421052622</v>
      </c>
      <c r="AE300" s="555">
        <f t="shared" si="428"/>
        <v>1898.8697204045213</v>
      </c>
      <c r="AF300" s="538">
        <f t="shared" si="429"/>
        <v>0.15482894736842101</v>
      </c>
      <c r="AH300" s="177">
        <f t="shared" si="430"/>
        <v>2.0283702113484399</v>
      </c>
      <c r="AI300" s="177">
        <f t="shared" si="431"/>
        <v>2.0283702113484399</v>
      </c>
      <c r="AJ300" s="177">
        <f t="shared" si="432"/>
        <v>2.0950890454432889</v>
      </c>
      <c r="AL300" s="555">
        <f t="shared" si="433"/>
        <v>840</v>
      </c>
      <c r="AM300" s="469">
        <f t="shared" si="434"/>
        <v>350</v>
      </c>
      <c r="AO300">
        <f t="shared" si="435"/>
        <v>840</v>
      </c>
      <c r="AP300">
        <f t="shared" si="436"/>
        <v>350</v>
      </c>
      <c r="AR300" s="5">
        <f t="shared" si="406"/>
        <v>2.8571428571428572</v>
      </c>
      <c r="AS300" s="5">
        <f t="shared" si="385"/>
        <v>0.56794365917756318</v>
      </c>
      <c r="AT300" s="5">
        <f t="shared" si="386"/>
        <v>2.2891991979652939</v>
      </c>
      <c r="AU300" s="177">
        <f t="shared" si="387"/>
        <v>0.19878028071214709</v>
      </c>
      <c r="CI300" s="571">
        <f t="shared" si="437"/>
        <v>-50</v>
      </c>
    </row>
    <row r="301" spans="5:87" x14ac:dyDescent="0.2">
      <c r="E301" s="174">
        <v>85</v>
      </c>
      <c r="F301" s="221">
        <f t="shared" si="438"/>
        <v>0.85</v>
      </c>
      <c r="G301" s="221">
        <f t="shared" si="407"/>
        <v>0.17</v>
      </c>
      <c r="H301" s="221">
        <f t="shared" si="408"/>
        <v>4.25</v>
      </c>
      <c r="I301" s="221">
        <f t="shared" si="409"/>
        <v>0.85000000000000009</v>
      </c>
      <c r="J301" s="551">
        <f t="shared" si="410"/>
        <v>25</v>
      </c>
      <c r="K301" s="451">
        <f t="shared" si="411"/>
        <v>10.64</v>
      </c>
      <c r="L301" s="451">
        <f t="shared" si="412"/>
        <v>35.64</v>
      </c>
      <c r="M301" s="451"/>
      <c r="N301" s="221">
        <f t="shared" si="413"/>
        <v>0.2985409652076319</v>
      </c>
      <c r="O301" s="176">
        <f t="shared" si="414"/>
        <v>11.475168350168351</v>
      </c>
      <c r="P301" s="176">
        <f t="shared" si="415"/>
        <v>2.7540404040404045</v>
      </c>
      <c r="Q301" s="221">
        <f t="shared" si="416"/>
        <v>2.2950336700336704</v>
      </c>
      <c r="R301" s="221">
        <f t="shared" si="417"/>
        <v>2.2950336700336704</v>
      </c>
      <c r="S301" s="221">
        <f t="shared" si="418"/>
        <v>5</v>
      </c>
      <c r="T301" s="221">
        <f t="shared" si="419"/>
        <v>1.5184962406015035</v>
      </c>
      <c r="U301" s="221">
        <f t="shared" si="420"/>
        <v>0.42517894736842099</v>
      </c>
      <c r="V301" s="221">
        <f t="shared" si="421"/>
        <v>0.99901068460625231</v>
      </c>
      <c r="W301" s="201">
        <f t="shared" si="422"/>
        <v>350</v>
      </c>
      <c r="X301" s="451">
        <f t="shared" si="423"/>
        <v>350</v>
      </c>
      <c r="Z301" s="221">
        <f t="shared" si="424"/>
        <v>3.0463363796697127</v>
      </c>
      <c r="AA301" s="177">
        <f t="shared" si="425"/>
        <v>2.004168670835337</v>
      </c>
      <c r="AB301" s="177">
        <f t="shared" si="426"/>
        <v>1.780733480446661</v>
      </c>
      <c r="AC301" s="177"/>
      <c r="AD301" s="177">
        <f t="shared" si="427"/>
        <v>0.53947368421052622</v>
      </c>
      <c r="AE301" s="555">
        <f t="shared" si="428"/>
        <v>1921.4753123140988</v>
      </c>
      <c r="AF301" s="538">
        <f t="shared" si="429"/>
        <v>0.15482894736842101</v>
      </c>
      <c r="AH301" s="177">
        <f t="shared" si="430"/>
        <v>2.0404081224408142</v>
      </c>
      <c r="AI301" s="177">
        <f t="shared" si="431"/>
        <v>2.0404081224408142</v>
      </c>
      <c r="AJ301" s="177">
        <f t="shared" si="432"/>
        <v>2.1040060166228254</v>
      </c>
      <c r="AL301" s="555">
        <f t="shared" si="433"/>
        <v>850</v>
      </c>
      <c r="AM301" s="469">
        <f t="shared" si="434"/>
        <v>350</v>
      </c>
      <c r="AO301">
        <f t="shared" si="435"/>
        <v>850</v>
      </c>
      <c r="AP301">
        <f t="shared" si="436"/>
        <v>350</v>
      </c>
      <c r="AR301" s="5">
        <f t="shared" si="406"/>
        <v>2.8571428571428572</v>
      </c>
      <c r="AS301" s="5">
        <f t="shared" si="385"/>
        <v>0.57131427428342796</v>
      </c>
      <c r="AT301" s="5">
        <f t="shared" si="386"/>
        <v>2.2858285828594291</v>
      </c>
      <c r="AU301" s="177">
        <f t="shared" si="387"/>
        <v>0.19995999599919978</v>
      </c>
      <c r="CI301" s="571">
        <f t="shared" si="437"/>
        <v>-50</v>
      </c>
    </row>
    <row r="302" spans="5:87" x14ac:dyDescent="0.2">
      <c r="E302" s="174">
        <v>86</v>
      </c>
      <c r="F302" s="221">
        <f t="shared" si="438"/>
        <v>0.86</v>
      </c>
      <c r="G302" s="221">
        <f t="shared" si="407"/>
        <v>0.17200000000000001</v>
      </c>
      <c r="H302" s="221">
        <f t="shared" si="408"/>
        <v>4.3</v>
      </c>
      <c r="I302" s="221">
        <f t="shared" si="409"/>
        <v>0.8600000000000001</v>
      </c>
      <c r="J302" s="551">
        <f t="shared" si="410"/>
        <v>25</v>
      </c>
      <c r="K302" s="451">
        <f t="shared" si="411"/>
        <v>10.64</v>
      </c>
      <c r="L302" s="451">
        <f t="shared" si="412"/>
        <v>35.64</v>
      </c>
      <c r="M302" s="451"/>
      <c r="N302" s="221">
        <f t="shared" si="413"/>
        <v>0.2985409652076319</v>
      </c>
      <c r="O302" s="176">
        <f t="shared" si="414"/>
        <v>11.475168350168351</v>
      </c>
      <c r="P302" s="176">
        <f t="shared" si="415"/>
        <v>2.7540404040404045</v>
      </c>
      <c r="Q302" s="221">
        <f t="shared" si="416"/>
        <v>2.2950336700336704</v>
      </c>
      <c r="R302" s="221">
        <f t="shared" si="417"/>
        <v>2.2950336700336704</v>
      </c>
      <c r="S302" s="221">
        <f t="shared" si="418"/>
        <v>5</v>
      </c>
      <c r="T302" s="221">
        <f t="shared" si="419"/>
        <v>1.536360902255639</v>
      </c>
      <c r="U302" s="221">
        <f t="shared" si="420"/>
        <v>0.43018105263157891</v>
      </c>
      <c r="V302" s="221">
        <f t="shared" si="421"/>
        <v>1.0107637514839729</v>
      </c>
      <c r="W302" s="201">
        <f t="shared" si="422"/>
        <v>350</v>
      </c>
      <c r="X302" s="451">
        <f t="shared" si="423"/>
        <v>350</v>
      </c>
      <c r="Z302" s="221">
        <f t="shared" si="424"/>
        <v>3.0463363796697127</v>
      </c>
      <c r="AA302" s="177">
        <f t="shared" si="425"/>
        <v>2.004168670835337</v>
      </c>
      <c r="AB302" s="177">
        <f t="shared" si="426"/>
        <v>1.780733480446661</v>
      </c>
      <c r="AC302" s="177"/>
      <c r="AD302" s="177">
        <f t="shared" si="427"/>
        <v>0.53947368421052622</v>
      </c>
      <c r="AE302" s="555">
        <f t="shared" si="428"/>
        <v>1944.0809042236767</v>
      </c>
      <c r="AF302" s="538">
        <f t="shared" si="429"/>
        <v>0.15482894736842101</v>
      </c>
      <c r="AH302" s="177">
        <f t="shared" si="430"/>
        <v>2.0523754281220539</v>
      </c>
      <c r="AI302" s="177">
        <f t="shared" si="431"/>
        <v>2.0523754281220539</v>
      </c>
      <c r="AJ302" s="177">
        <f t="shared" si="432"/>
        <v>2.1128706874978178</v>
      </c>
      <c r="AL302" s="555">
        <f t="shared" si="433"/>
        <v>860</v>
      </c>
      <c r="AM302" s="469">
        <f t="shared" si="434"/>
        <v>350</v>
      </c>
      <c r="AO302">
        <f t="shared" si="435"/>
        <v>860</v>
      </c>
      <c r="AP302">
        <f t="shared" si="436"/>
        <v>350</v>
      </c>
      <c r="AR302" s="5">
        <f t="shared" si="406"/>
        <v>2.8571428571428572</v>
      </c>
      <c r="AS302" s="5">
        <f t="shared" si="385"/>
        <v>0.57466511987417512</v>
      </c>
      <c r="AT302" s="5">
        <f t="shared" si="386"/>
        <v>2.2824777372686822</v>
      </c>
      <c r="AU302" s="177">
        <f t="shared" si="387"/>
        <v>0.20113279195596129</v>
      </c>
      <c r="CI302" s="571">
        <f t="shared" si="437"/>
        <v>-50</v>
      </c>
    </row>
    <row r="303" spans="5:87" x14ac:dyDescent="0.2">
      <c r="E303" s="174">
        <v>87</v>
      </c>
      <c r="F303" s="221">
        <f t="shared" si="438"/>
        <v>0.87</v>
      </c>
      <c r="G303" s="221">
        <f t="shared" si="407"/>
        <v>0.17400000000000002</v>
      </c>
      <c r="H303" s="221">
        <f t="shared" si="408"/>
        <v>4.3499999999999996</v>
      </c>
      <c r="I303" s="221">
        <f t="shared" si="409"/>
        <v>0.87000000000000011</v>
      </c>
      <c r="J303" s="551">
        <f t="shared" si="410"/>
        <v>25</v>
      </c>
      <c r="K303" s="451">
        <f t="shared" si="411"/>
        <v>10.64</v>
      </c>
      <c r="L303" s="451">
        <f t="shared" si="412"/>
        <v>35.64</v>
      </c>
      <c r="M303" s="451"/>
      <c r="N303" s="221">
        <f t="shared" si="413"/>
        <v>0.2985409652076319</v>
      </c>
      <c r="O303" s="176">
        <f t="shared" si="414"/>
        <v>11.475168350168351</v>
      </c>
      <c r="P303" s="176">
        <f t="shared" si="415"/>
        <v>2.7540404040404045</v>
      </c>
      <c r="Q303" s="221">
        <f t="shared" si="416"/>
        <v>2.2950336700336704</v>
      </c>
      <c r="R303" s="221">
        <f t="shared" si="417"/>
        <v>2.2950336700336704</v>
      </c>
      <c r="S303" s="221">
        <f t="shared" si="418"/>
        <v>5</v>
      </c>
      <c r="T303" s="221">
        <f t="shared" si="419"/>
        <v>1.5542255639097742</v>
      </c>
      <c r="U303" s="221">
        <f t="shared" si="420"/>
        <v>0.43518315789473677</v>
      </c>
      <c r="V303" s="221">
        <f t="shared" si="421"/>
        <v>1.0225168183616935</v>
      </c>
      <c r="W303" s="201">
        <f t="shared" si="422"/>
        <v>350</v>
      </c>
      <c r="X303" s="451">
        <f t="shared" si="423"/>
        <v>350</v>
      </c>
      <c r="Z303" s="221">
        <f t="shared" si="424"/>
        <v>3.0463363796697127</v>
      </c>
      <c r="AA303" s="177">
        <f t="shared" si="425"/>
        <v>2.004168670835337</v>
      </c>
      <c r="AB303" s="177">
        <f t="shared" si="426"/>
        <v>1.780733480446661</v>
      </c>
      <c r="AC303" s="177"/>
      <c r="AD303" s="177">
        <f t="shared" si="427"/>
        <v>0.53947368421052622</v>
      </c>
      <c r="AE303" s="555">
        <f t="shared" si="428"/>
        <v>1966.6864961332544</v>
      </c>
      <c r="AF303" s="538">
        <f t="shared" si="429"/>
        <v>0.15482894736842101</v>
      </c>
      <c r="AH303" s="177">
        <f t="shared" si="430"/>
        <v>2.0642733563643936</v>
      </c>
      <c r="AI303" s="177">
        <f t="shared" si="431"/>
        <v>2.0642733563643936</v>
      </c>
      <c r="AJ303" s="177">
        <f t="shared" si="432"/>
        <v>2.1216839676773285</v>
      </c>
      <c r="AL303" s="555">
        <f t="shared" si="433"/>
        <v>870</v>
      </c>
      <c r="AM303" s="469">
        <f t="shared" si="434"/>
        <v>350</v>
      </c>
      <c r="AO303">
        <f t="shared" si="435"/>
        <v>870</v>
      </c>
      <c r="AP303">
        <f t="shared" si="436"/>
        <v>350</v>
      </c>
      <c r="AR303" s="5">
        <f t="shared" si="406"/>
        <v>2.8571428571428572</v>
      </c>
      <c r="AS303" s="5">
        <f t="shared" si="385"/>
        <v>0.57799653978203025</v>
      </c>
      <c r="AT303" s="5">
        <f t="shared" si="386"/>
        <v>2.2791463173608268</v>
      </c>
      <c r="AU303" s="177">
        <f t="shared" si="387"/>
        <v>0.20229878892371059</v>
      </c>
      <c r="CI303" s="571">
        <f t="shared" si="437"/>
        <v>-50</v>
      </c>
    </row>
    <row r="304" spans="5:87" x14ac:dyDescent="0.2">
      <c r="E304" s="174">
        <v>88</v>
      </c>
      <c r="F304" s="221">
        <f t="shared" si="438"/>
        <v>0.88</v>
      </c>
      <c r="G304" s="221">
        <f t="shared" si="407"/>
        <v>0.17600000000000002</v>
      </c>
      <c r="H304" s="221">
        <f t="shared" si="408"/>
        <v>4.4000000000000004</v>
      </c>
      <c r="I304" s="221">
        <f t="shared" si="409"/>
        <v>0.88000000000000012</v>
      </c>
      <c r="J304" s="551">
        <f t="shared" si="410"/>
        <v>25</v>
      </c>
      <c r="K304" s="451">
        <f t="shared" si="411"/>
        <v>10.64</v>
      </c>
      <c r="L304" s="451">
        <f t="shared" si="412"/>
        <v>35.64</v>
      </c>
      <c r="M304" s="451"/>
      <c r="N304" s="221">
        <f t="shared" si="413"/>
        <v>0.2985409652076319</v>
      </c>
      <c r="O304" s="176">
        <f t="shared" si="414"/>
        <v>11.475168350168351</v>
      </c>
      <c r="P304" s="176">
        <f t="shared" si="415"/>
        <v>2.7540404040404045</v>
      </c>
      <c r="Q304" s="221">
        <f t="shared" si="416"/>
        <v>2.2950336700336704</v>
      </c>
      <c r="R304" s="221">
        <f t="shared" si="417"/>
        <v>2.2950336700336704</v>
      </c>
      <c r="S304" s="221">
        <f t="shared" si="418"/>
        <v>5</v>
      </c>
      <c r="T304" s="221">
        <f t="shared" si="419"/>
        <v>1.5720902255639098</v>
      </c>
      <c r="U304" s="221">
        <f t="shared" si="420"/>
        <v>0.44018526315789475</v>
      </c>
      <c r="V304" s="221">
        <f t="shared" si="421"/>
        <v>1.0342698852394141</v>
      </c>
      <c r="W304" s="201">
        <f t="shared" si="422"/>
        <v>350</v>
      </c>
      <c r="X304" s="451">
        <f t="shared" si="423"/>
        <v>350</v>
      </c>
      <c r="Z304" s="221">
        <f t="shared" si="424"/>
        <v>3.0463363796697127</v>
      </c>
      <c r="AA304" s="177">
        <f t="shared" si="425"/>
        <v>2.004168670835337</v>
      </c>
      <c r="AB304" s="177">
        <f t="shared" si="426"/>
        <v>1.780733480446661</v>
      </c>
      <c r="AC304" s="177"/>
      <c r="AD304" s="177">
        <f t="shared" si="427"/>
        <v>0.53947368421052622</v>
      </c>
      <c r="AE304" s="555">
        <f t="shared" si="428"/>
        <v>1989.2920880428319</v>
      </c>
      <c r="AF304" s="538">
        <f t="shared" si="429"/>
        <v>0.15482894736842101</v>
      </c>
      <c r="AH304" s="177">
        <f t="shared" si="430"/>
        <v>2.0761030999525656</v>
      </c>
      <c r="AI304" s="177">
        <f t="shared" si="431"/>
        <v>2.0761030999525656</v>
      </c>
      <c r="AJ304" s="177">
        <f t="shared" si="432"/>
        <v>2.130446740705604</v>
      </c>
      <c r="AL304" s="555">
        <f t="shared" si="433"/>
        <v>880</v>
      </c>
      <c r="AM304" s="469">
        <f t="shared" si="434"/>
        <v>350</v>
      </c>
      <c r="AO304">
        <f t="shared" si="435"/>
        <v>880</v>
      </c>
      <c r="AP304">
        <f t="shared" si="436"/>
        <v>350</v>
      </c>
      <c r="AR304" s="5">
        <f t="shared" si="406"/>
        <v>2.8571428571428572</v>
      </c>
      <c r="AS304" s="5">
        <f t="shared" si="385"/>
        <v>0.58130886798671833</v>
      </c>
      <c r="AT304" s="5">
        <f t="shared" si="386"/>
        <v>2.2758339891561388</v>
      </c>
      <c r="AU304" s="177">
        <f t="shared" si="387"/>
        <v>0.2034581037953514</v>
      </c>
      <c r="CI304" s="571">
        <f t="shared" si="437"/>
        <v>-50</v>
      </c>
    </row>
    <row r="305" spans="4:87" x14ac:dyDescent="0.2">
      <c r="E305" s="174">
        <v>89</v>
      </c>
      <c r="F305" s="221">
        <f t="shared" si="438"/>
        <v>0.89</v>
      </c>
      <c r="G305" s="221">
        <f t="shared" si="407"/>
        <v>0.17800000000000002</v>
      </c>
      <c r="H305" s="221">
        <f t="shared" si="408"/>
        <v>4.45</v>
      </c>
      <c r="I305" s="221">
        <f t="shared" si="409"/>
        <v>0.89000000000000012</v>
      </c>
      <c r="J305" s="551">
        <f t="shared" si="410"/>
        <v>25</v>
      </c>
      <c r="K305" s="451">
        <f t="shared" si="411"/>
        <v>10.64</v>
      </c>
      <c r="L305" s="451">
        <f t="shared" si="412"/>
        <v>35.64</v>
      </c>
      <c r="M305" s="451"/>
      <c r="N305" s="221">
        <f t="shared" si="413"/>
        <v>0.2985409652076319</v>
      </c>
      <c r="O305" s="176">
        <f t="shared" si="414"/>
        <v>11.475168350168351</v>
      </c>
      <c r="P305" s="176">
        <f t="shared" si="415"/>
        <v>2.7540404040404045</v>
      </c>
      <c r="Q305" s="221">
        <f t="shared" si="416"/>
        <v>2.2950336700336704</v>
      </c>
      <c r="R305" s="221">
        <f t="shared" si="417"/>
        <v>2.2950336700336704</v>
      </c>
      <c r="S305" s="221">
        <f t="shared" si="418"/>
        <v>5</v>
      </c>
      <c r="T305" s="221">
        <f t="shared" si="419"/>
        <v>1.5899548872180449</v>
      </c>
      <c r="U305" s="221">
        <f t="shared" si="420"/>
        <v>0.44518736842105255</v>
      </c>
      <c r="V305" s="221">
        <f t="shared" si="421"/>
        <v>1.0460229521171347</v>
      </c>
      <c r="W305" s="201">
        <f t="shared" si="422"/>
        <v>350</v>
      </c>
      <c r="X305" s="451">
        <f t="shared" si="423"/>
        <v>350</v>
      </c>
      <c r="Z305" s="221">
        <f t="shared" si="424"/>
        <v>3.0463363796697127</v>
      </c>
      <c r="AA305" s="177">
        <f t="shared" si="425"/>
        <v>2.004168670835337</v>
      </c>
      <c r="AB305" s="177">
        <f t="shared" si="426"/>
        <v>1.780733480446661</v>
      </c>
      <c r="AC305" s="177"/>
      <c r="AD305" s="177">
        <f t="shared" si="427"/>
        <v>0.53947368421052622</v>
      </c>
      <c r="AE305" s="555">
        <f t="shared" si="428"/>
        <v>2011.8976799524094</v>
      </c>
      <c r="AF305" s="538">
        <f t="shared" si="429"/>
        <v>0.15482894736842101</v>
      </c>
      <c r="AH305" s="177">
        <f t="shared" si="430"/>
        <v>2.0878658178794409</v>
      </c>
      <c r="AI305" s="177">
        <f t="shared" si="431"/>
        <v>2.0878658178794409</v>
      </c>
      <c r="AJ305" s="177">
        <f t="shared" si="432"/>
        <v>2.1391598650958823</v>
      </c>
      <c r="AL305" s="555">
        <f t="shared" si="433"/>
        <v>890</v>
      </c>
      <c r="AM305" s="469">
        <f t="shared" si="434"/>
        <v>350</v>
      </c>
      <c r="AO305">
        <f t="shared" si="435"/>
        <v>890</v>
      </c>
      <c r="AP305">
        <f t="shared" si="436"/>
        <v>350</v>
      </c>
      <c r="AR305" s="5">
        <f t="shared" si="406"/>
        <v>2.8571428571428572</v>
      </c>
      <c r="AS305" s="5">
        <f t="shared" si="385"/>
        <v>0.58460242900624348</v>
      </c>
      <c r="AT305" s="5">
        <f t="shared" si="386"/>
        <v>2.2725404281366135</v>
      </c>
      <c r="AU305" s="177">
        <f t="shared" si="387"/>
        <v>0.20461085015218522</v>
      </c>
      <c r="CI305" s="571">
        <f t="shared" si="437"/>
        <v>-50</v>
      </c>
    </row>
    <row r="306" spans="4:87" x14ac:dyDescent="0.2">
      <c r="E306" s="174">
        <v>90</v>
      </c>
      <c r="F306" s="221">
        <f t="shared" si="438"/>
        <v>0.9</v>
      </c>
      <c r="G306" s="221">
        <f t="shared" si="407"/>
        <v>0.18000000000000002</v>
      </c>
      <c r="H306" s="221">
        <f t="shared" si="408"/>
        <v>4.5</v>
      </c>
      <c r="I306" s="221">
        <f t="shared" si="409"/>
        <v>0.90000000000000013</v>
      </c>
      <c r="J306" s="551">
        <f t="shared" si="410"/>
        <v>25</v>
      </c>
      <c r="K306" s="451">
        <f t="shared" si="411"/>
        <v>10.64</v>
      </c>
      <c r="L306" s="451">
        <f t="shared" si="412"/>
        <v>35.64</v>
      </c>
      <c r="M306" s="451"/>
      <c r="N306" s="221">
        <f t="shared" si="413"/>
        <v>0.2985409652076319</v>
      </c>
      <c r="O306" s="176">
        <f t="shared" si="414"/>
        <v>11.475168350168351</v>
      </c>
      <c r="P306" s="176">
        <f t="shared" si="415"/>
        <v>2.7540404040404045</v>
      </c>
      <c r="Q306" s="221">
        <f t="shared" si="416"/>
        <v>2.2950336700336704</v>
      </c>
      <c r="R306" s="221">
        <f t="shared" si="417"/>
        <v>2.2950336700336704</v>
      </c>
      <c r="S306" s="221">
        <f t="shared" si="418"/>
        <v>5</v>
      </c>
      <c r="T306" s="221">
        <f t="shared" si="419"/>
        <v>1.6078195488721803</v>
      </c>
      <c r="U306" s="221">
        <f t="shared" si="420"/>
        <v>0.45018947368421042</v>
      </c>
      <c r="V306" s="221">
        <f t="shared" si="421"/>
        <v>1.0577760189948553</v>
      </c>
      <c r="W306" s="201">
        <f t="shared" si="422"/>
        <v>350</v>
      </c>
      <c r="X306" s="451">
        <f t="shared" si="423"/>
        <v>350</v>
      </c>
      <c r="Z306" s="221">
        <f t="shared" si="424"/>
        <v>3.0463363796697127</v>
      </c>
      <c r="AA306" s="177">
        <f t="shared" si="425"/>
        <v>2.004168670835337</v>
      </c>
      <c r="AB306" s="177">
        <f t="shared" si="426"/>
        <v>1.780733480446661</v>
      </c>
      <c r="AC306" s="177"/>
      <c r="AD306" s="177">
        <f t="shared" si="427"/>
        <v>0.53947368421052622</v>
      </c>
      <c r="AE306" s="555">
        <f t="shared" si="428"/>
        <v>2034.5032718619873</v>
      </c>
      <c r="AF306" s="538">
        <f t="shared" si="429"/>
        <v>0.15482894736842101</v>
      </c>
      <c r="AH306" s="177">
        <f t="shared" si="430"/>
        <v>2.0995626366712954</v>
      </c>
      <c r="AI306" s="177">
        <f t="shared" si="431"/>
        <v>2.0995626366712954</v>
      </c>
      <c r="AJ306" s="177">
        <f t="shared" si="432"/>
        <v>2.1478241753120706</v>
      </c>
      <c r="AL306" s="555">
        <f t="shared" si="433"/>
        <v>900</v>
      </c>
      <c r="AM306" s="469">
        <f t="shared" si="434"/>
        <v>350</v>
      </c>
      <c r="AO306">
        <f t="shared" si="435"/>
        <v>900</v>
      </c>
      <c r="AP306">
        <f t="shared" si="436"/>
        <v>350</v>
      </c>
      <c r="AR306" s="5">
        <f t="shared" si="406"/>
        <v>2.8571428571428572</v>
      </c>
      <c r="AS306" s="5">
        <f t="shared" si="385"/>
        <v>0.58787753826796274</v>
      </c>
      <c r="AT306" s="5">
        <f t="shared" si="386"/>
        <v>2.2692653188748944</v>
      </c>
      <c r="AU306" s="177">
        <f t="shared" si="387"/>
        <v>0.20575713839378695</v>
      </c>
      <c r="CI306" s="571">
        <f t="shared" si="437"/>
        <v>-50</v>
      </c>
    </row>
    <row r="307" spans="4:87" x14ac:dyDescent="0.2">
      <c r="E307" s="174">
        <v>91</v>
      </c>
      <c r="F307" s="221">
        <f t="shared" si="438"/>
        <v>0.91</v>
      </c>
      <c r="G307" s="221">
        <f t="shared" si="407"/>
        <v>0.18200000000000002</v>
      </c>
      <c r="H307" s="221">
        <f t="shared" si="408"/>
        <v>4.55</v>
      </c>
      <c r="I307" s="221">
        <f t="shared" si="409"/>
        <v>0.91000000000000014</v>
      </c>
      <c r="J307" s="551">
        <f t="shared" si="410"/>
        <v>25</v>
      </c>
      <c r="K307" s="451">
        <f t="shared" si="411"/>
        <v>10.64</v>
      </c>
      <c r="L307" s="451">
        <f t="shared" si="412"/>
        <v>35.64</v>
      </c>
      <c r="M307" s="451"/>
      <c r="N307" s="221">
        <f t="shared" si="413"/>
        <v>0.2985409652076319</v>
      </c>
      <c r="O307" s="176">
        <f t="shared" si="414"/>
        <v>11.475168350168351</v>
      </c>
      <c r="P307" s="176">
        <f t="shared" si="415"/>
        <v>2.7540404040404045</v>
      </c>
      <c r="Q307" s="221">
        <f t="shared" si="416"/>
        <v>2.2950336700336704</v>
      </c>
      <c r="R307" s="221">
        <f t="shared" si="417"/>
        <v>2.2950336700336704</v>
      </c>
      <c r="S307" s="221">
        <f t="shared" si="418"/>
        <v>5</v>
      </c>
      <c r="T307" s="221">
        <f t="shared" si="419"/>
        <v>1.6256842105263156</v>
      </c>
      <c r="U307" s="221">
        <f t="shared" si="420"/>
        <v>0.45519157894736839</v>
      </c>
      <c r="V307" s="221">
        <f t="shared" si="421"/>
        <v>1.0695290858725761</v>
      </c>
      <c r="W307" s="201">
        <f t="shared" si="422"/>
        <v>350</v>
      </c>
      <c r="X307" s="451">
        <f t="shared" si="423"/>
        <v>350</v>
      </c>
      <c r="Z307" s="221">
        <f t="shared" si="424"/>
        <v>3.0463363796697127</v>
      </c>
      <c r="AA307" s="177">
        <f t="shared" si="425"/>
        <v>2.004168670835337</v>
      </c>
      <c r="AB307" s="177">
        <f t="shared" si="426"/>
        <v>1.780733480446661</v>
      </c>
      <c r="AC307" s="177"/>
      <c r="AD307" s="177">
        <f t="shared" si="427"/>
        <v>0.53947368421052622</v>
      </c>
      <c r="AE307" s="555">
        <f t="shared" si="428"/>
        <v>2057.1088637715652</v>
      </c>
      <c r="AF307" s="538">
        <f t="shared" si="429"/>
        <v>0.15482894736842101</v>
      </c>
      <c r="AH307" s="177">
        <f t="shared" si="430"/>
        <v>2.1111946516469904</v>
      </c>
      <c r="AI307" s="177">
        <f t="shared" si="431"/>
        <v>2.1111946516469904</v>
      </c>
      <c r="AJ307" s="177">
        <f t="shared" si="432"/>
        <v>2.1564404827014743</v>
      </c>
      <c r="AL307" s="555">
        <f t="shared" si="433"/>
        <v>910</v>
      </c>
      <c r="AM307" s="469">
        <f t="shared" si="434"/>
        <v>350</v>
      </c>
      <c r="AO307">
        <f t="shared" si="435"/>
        <v>910</v>
      </c>
      <c r="AP307">
        <f t="shared" si="436"/>
        <v>350</v>
      </c>
      <c r="AR307" s="5">
        <f t="shared" si="406"/>
        <v>2.8571428571428572</v>
      </c>
      <c r="AS307" s="5">
        <f t="shared" ref="AS307:AS316" si="439">L*AI307/J307*1000000</f>
        <v>0.59113450246115729</v>
      </c>
      <c r="AT307" s="5">
        <f t="shared" ref="AT307:AT316" si="440">AR307-AS307</f>
        <v>2.2660083546816998</v>
      </c>
      <c r="AU307" s="177">
        <f t="shared" ref="AU307:AU316" si="441">AS307/AR307</f>
        <v>0.20689707586140504</v>
      </c>
      <c r="CI307" s="571">
        <f t="shared" si="437"/>
        <v>-50</v>
      </c>
    </row>
    <row r="308" spans="4:87" x14ac:dyDescent="0.2">
      <c r="E308" s="174">
        <v>92</v>
      </c>
      <c r="F308" s="221">
        <f t="shared" si="438"/>
        <v>0.92</v>
      </c>
      <c r="G308" s="221">
        <f t="shared" si="407"/>
        <v>0.18400000000000002</v>
      </c>
      <c r="H308" s="221">
        <f t="shared" si="408"/>
        <v>4.6000000000000005</v>
      </c>
      <c r="I308" s="221">
        <f t="shared" si="409"/>
        <v>0.92000000000000015</v>
      </c>
      <c r="J308" s="551">
        <f t="shared" si="410"/>
        <v>25</v>
      </c>
      <c r="K308" s="451">
        <f t="shared" si="411"/>
        <v>10.64</v>
      </c>
      <c r="L308" s="451">
        <f t="shared" si="412"/>
        <v>35.64</v>
      </c>
      <c r="M308" s="451"/>
      <c r="N308" s="221">
        <f t="shared" si="413"/>
        <v>0.2985409652076319</v>
      </c>
      <c r="O308" s="176">
        <f t="shared" si="414"/>
        <v>11.475168350168351</v>
      </c>
      <c r="P308" s="176">
        <f t="shared" si="415"/>
        <v>2.7540404040404045</v>
      </c>
      <c r="Q308" s="221">
        <f t="shared" si="416"/>
        <v>2.2950336700336704</v>
      </c>
      <c r="R308" s="221">
        <f t="shared" si="417"/>
        <v>2.2950336700336704</v>
      </c>
      <c r="S308" s="221">
        <f t="shared" si="418"/>
        <v>5</v>
      </c>
      <c r="T308" s="221">
        <f t="shared" si="419"/>
        <v>1.643548872180451</v>
      </c>
      <c r="U308" s="221">
        <f t="shared" si="420"/>
        <v>0.46019368421052625</v>
      </c>
      <c r="V308" s="221">
        <f t="shared" si="421"/>
        <v>1.0812821527502967</v>
      </c>
      <c r="W308" s="201">
        <f t="shared" si="422"/>
        <v>350</v>
      </c>
      <c r="X308" s="451">
        <f t="shared" si="423"/>
        <v>350</v>
      </c>
      <c r="Z308" s="221">
        <f t="shared" si="424"/>
        <v>3.0463363796697127</v>
      </c>
      <c r="AA308" s="177">
        <f t="shared" si="425"/>
        <v>2.004168670835337</v>
      </c>
      <c r="AB308" s="177">
        <f t="shared" si="426"/>
        <v>1.780733480446661</v>
      </c>
      <c r="AC308" s="177"/>
      <c r="AD308" s="177">
        <f t="shared" si="427"/>
        <v>0.53947368421052622</v>
      </c>
      <c r="AE308" s="555">
        <f t="shared" si="428"/>
        <v>2079.7144556811427</v>
      </c>
      <c r="AF308" s="538">
        <f t="shared" si="429"/>
        <v>0.15482894736842101</v>
      </c>
      <c r="AH308" s="177">
        <f t="shared" si="430"/>
        <v>2.1227629281150526</v>
      </c>
      <c r="AI308" s="177">
        <f t="shared" si="431"/>
        <v>2.1227629281150526</v>
      </c>
      <c r="AJ308" s="177">
        <f t="shared" si="432"/>
        <v>2.1650095763815207</v>
      </c>
      <c r="AL308" s="555">
        <f t="shared" si="433"/>
        <v>920</v>
      </c>
      <c r="AM308" s="469">
        <f t="shared" si="434"/>
        <v>350</v>
      </c>
      <c r="AO308">
        <f t="shared" si="435"/>
        <v>920</v>
      </c>
      <c r="AP308">
        <f t="shared" si="436"/>
        <v>350</v>
      </c>
      <c r="AR308" s="5">
        <f t="shared" si="406"/>
        <v>2.8571428571428572</v>
      </c>
      <c r="AS308" s="5">
        <f t="shared" si="439"/>
        <v>0.59437361987221471</v>
      </c>
      <c r="AT308" s="5">
        <f t="shared" si="440"/>
        <v>2.2627692372706427</v>
      </c>
      <c r="AU308" s="177">
        <f t="shared" si="441"/>
        <v>0.20803076695527514</v>
      </c>
      <c r="CI308" s="571">
        <f t="shared" si="437"/>
        <v>-50</v>
      </c>
    </row>
    <row r="309" spans="4:87" x14ac:dyDescent="0.2">
      <c r="E309" s="174">
        <v>93</v>
      </c>
      <c r="F309" s="221">
        <f t="shared" si="438"/>
        <v>0.93</v>
      </c>
      <c r="G309" s="221">
        <f t="shared" si="407"/>
        <v>0.18600000000000003</v>
      </c>
      <c r="H309" s="221">
        <f t="shared" si="408"/>
        <v>4.6500000000000004</v>
      </c>
      <c r="I309" s="221">
        <f t="shared" si="409"/>
        <v>0.93000000000000016</v>
      </c>
      <c r="J309" s="551">
        <f t="shared" si="410"/>
        <v>25</v>
      </c>
      <c r="K309" s="451">
        <f t="shared" si="411"/>
        <v>10.64</v>
      </c>
      <c r="L309" s="451">
        <f t="shared" si="412"/>
        <v>35.64</v>
      </c>
      <c r="M309" s="451"/>
      <c r="N309" s="221">
        <f t="shared" si="413"/>
        <v>0.2985409652076319</v>
      </c>
      <c r="O309" s="176">
        <f t="shared" si="414"/>
        <v>11.475168350168351</v>
      </c>
      <c r="P309" s="176">
        <f t="shared" si="415"/>
        <v>2.7540404040404045</v>
      </c>
      <c r="Q309" s="221">
        <f t="shared" si="416"/>
        <v>2.2950336700336704</v>
      </c>
      <c r="R309" s="221">
        <f t="shared" si="417"/>
        <v>2.2950336700336704</v>
      </c>
      <c r="S309" s="221">
        <f t="shared" si="418"/>
        <v>5</v>
      </c>
      <c r="T309" s="221">
        <f t="shared" si="419"/>
        <v>1.6614135338345863</v>
      </c>
      <c r="U309" s="221">
        <f t="shared" si="420"/>
        <v>0.46519578947368423</v>
      </c>
      <c r="V309" s="221">
        <f t="shared" si="421"/>
        <v>1.0930352196280173</v>
      </c>
      <c r="W309" s="201">
        <f t="shared" si="422"/>
        <v>350</v>
      </c>
      <c r="X309" s="451">
        <f t="shared" si="423"/>
        <v>350</v>
      </c>
      <c r="Z309" s="221">
        <f t="shared" si="424"/>
        <v>3.0463363796697127</v>
      </c>
      <c r="AA309" s="177">
        <f t="shared" si="425"/>
        <v>2.004168670835337</v>
      </c>
      <c r="AB309" s="177">
        <f t="shared" si="426"/>
        <v>1.780733480446661</v>
      </c>
      <c r="AC309" s="177"/>
      <c r="AD309" s="177">
        <f t="shared" si="427"/>
        <v>0.53947368421052622</v>
      </c>
      <c r="AE309" s="555">
        <f t="shared" si="428"/>
        <v>2102.3200475907206</v>
      </c>
      <c r="AF309" s="538">
        <f t="shared" si="429"/>
        <v>0.15482894736842101</v>
      </c>
      <c r="AH309" s="177">
        <f t="shared" si="430"/>
        <v>2.134268502512354</v>
      </c>
      <c r="AI309" s="177">
        <f t="shared" si="431"/>
        <v>2.134268502512354</v>
      </c>
      <c r="AJ309" s="177">
        <f t="shared" si="432"/>
        <v>2.1735322240832251</v>
      </c>
      <c r="AL309" s="555">
        <f t="shared" si="433"/>
        <v>930</v>
      </c>
      <c r="AM309" s="469">
        <f t="shared" si="434"/>
        <v>350</v>
      </c>
      <c r="AO309">
        <f t="shared" si="435"/>
        <v>930</v>
      </c>
      <c r="AP309">
        <f t="shared" si="436"/>
        <v>350</v>
      </c>
      <c r="AR309" s="5">
        <f t="shared" si="406"/>
        <v>2.8571428571428572</v>
      </c>
      <c r="AS309" s="5">
        <f t="shared" si="439"/>
        <v>0.59759518070345907</v>
      </c>
      <c r="AT309" s="5">
        <f t="shared" si="440"/>
        <v>2.2595476764393982</v>
      </c>
      <c r="AU309" s="177">
        <f t="shared" si="441"/>
        <v>0.20915831324621068</v>
      </c>
      <c r="CI309" s="571">
        <f t="shared" si="437"/>
        <v>-50</v>
      </c>
    </row>
    <row r="310" spans="4:87" x14ac:dyDescent="0.2">
      <c r="E310" s="174">
        <v>94</v>
      </c>
      <c r="F310" s="221">
        <f t="shared" si="438"/>
        <v>0.94</v>
      </c>
      <c r="G310" s="221">
        <f t="shared" si="407"/>
        <v>0.188</v>
      </c>
      <c r="H310" s="221">
        <f t="shared" si="408"/>
        <v>4.6999999999999993</v>
      </c>
      <c r="I310" s="221">
        <f t="shared" si="409"/>
        <v>0.94</v>
      </c>
      <c r="J310" s="551">
        <f t="shared" si="410"/>
        <v>25</v>
      </c>
      <c r="K310" s="451">
        <f t="shared" si="411"/>
        <v>10.64</v>
      </c>
      <c r="L310" s="451">
        <f t="shared" si="412"/>
        <v>35.64</v>
      </c>
      <c r="M310" s="451"/>
      <c r="N310" s="221">
        <f t="shared" si="413"/>
        <v>0.2985409652076319</v>
      </c>
      <c r="O310" s="176">
        <f t="shared" si="414"/>
        <v>11.475168350168351</v>
      </c>
      <c r="P310" s="176">
        <f t="shared" si="415"/>
        <v>2.7540404040404045</v>
      </c>
      <c r="Q310" s="221">
        <f t="shared" si="416"/>
        <v>2.2950336700336704</v>
      </c>
      <c r="R310" s="221">
        <f t="shared" si="417"/>
        <v>2.2950336700336704</v>
      </c>
      <c r="S310" s="221">
        <f t="shared" si="418"/>
        <v>5</v>
      </c>
      <c r="T310" s="221">
        <f t="shared" si="419"/>
        <v>1.6792781954887213</v>
      </c>
      <c r="U310" s="221">
        <f t="shared" si="420"/>
        <v>0.47019789473684193</v>
      </c>
      <c r="V310" s="221">
        <f t="shared" si="421"/>
        <v>1.1047882865057377</v>
      </c>
      <c r="W310" s="201">
        <f t="shared" si="422"/>
        <v>350</v>
      </c>
      <c r="X310" s="451">
        <f t="shared" si="423"/>
        <v>350</v>
      </c>
      <c r="Z310" s="221">
        <f t="shared" si="424"/>
        <v>3.0463363796697127</v>
      </c>
      <c r="AA310" s="177">
        <f t="shared" si="425"/>
        <v>2.004168670835337</v>
      </c>
      <c r="AB310" s="177">
        <f t="shared" si="426"/>
        <v>1.780733480446661</v>
      </c>
      <c r="AC310" s="177"/>
      <c r="AD310" s="177">
        <f t="shared" si="427"/>
        <v>0.53947368421052622</v>
      </c>
      <c r="AE310" s="555">
        <f t="shared" si="428"/>
        <v>2124.9256395002976</v>
      </c>
      <c r="AF310" s="538">
        <f t="shared" si="429"/>
        <v>0.15482894736842101</v>
      </c>
      <c r="AH310" s="177">
        <f t="shared" si="430"/>
        <v>2.145712383487838</v>
      </c>
      <c r="AI310" s="177">
        <f t="shared" si="431"/>
        <v>2.145712383487838</v>
      </c>
      <c r="AJ310" s="177">
        <f t="shared" si="432"/>
        <v>2.1820091729539541</v>
      </c>
      <c r="AL310" s="555">
        <f t="shared" si="433"/>
        <v>940</v>
      </c>
      <c r="AM310" s="469">
        <f t="shared" si="434"/>
        <v>350</v>
      </c>
      <c r="AO310">
        <f t="shared" si="435"/>
        <v>940</v>
      </c>
      <c r="AP310">
        <f t="shared" si="436"/>
        <v>350</v>
      </c>
      <c r="AR310" s="5">
        <f t="shared" si="406"/>
        <v>2.8571428571428572</v>
      </c>
      <c r="AS310" s="5">
        <f t="shared" si="439"/>
        <v>0.60079946737659462</v>
      </c>
      <c r="AT310" s="5">
        <f t="shared" si="440"/>
        <v>2.2563433897662626</v>
      </c>
      <c r="AU310" s="177">
        <f t="shared" si="441"/>
        <v>0.21027981358180811</v>
      </c>
      <c r="CI310" s="571">
        <f t="shared" si="437"/>
        <v>-50</v>
      </c>
    </row>
    <row r="311" spans="4:87" x14ac:dyDescent="0.2">
      <c r="E311" s="174">
        <v>95</v>
      </c>
      <c r="F311" s="221">
        <f t="shared" si="438"/>
        <v>0.95</v>
      </c>
      <c r="G311" s="221">
        <f t="shared" si="407"/>
        <v>0.19</v>
      </c>
      <c r="H311" s="221">
        <f t="shared" si="408"/>
        <v>4.75</v>
      </c>
      <c r="I311" s="221">
        <f t="shared" si="409"/>
        <v>0.95</v>
      </c>
      <c r="J311" s="551">
        <f t="shared" si="410"/>
        <v>25</v>
      </c>
      <c r="K311" s="451">
        <f t="shared" si="411"/>
        <v>10.64</v>
      </c>
      <c r="L311" s="451">
        <f t="shared" si="412"/>
        <v>35.64</v>
      </c>
      <c r="M311" s="451"/>
      <c r="N311" s="221">
        <f t="shared" si="413"/>
        <v>0.2985409652076319</v>
      </c>
      <c r="O311" s="176">
        <f t="shared" si="414"/>
        <v>11.475168350168351</v>
      </c>
      <c r="P311" s="176">
        <f t="shared" si="415"/>
        <v>2.7540404040404045</v>
      </c>
      <c r="Q311" s="221">
        <f t="shared" si="416"/>
        <v>2.2950336700336704</v>
      </c>
      <c r="R311" s="221">
        <f t="shared" si="417"/>
        <v>2.2950336700336704</v>
      </c>
      <c r="S311" s="221">
        <f t="shared" si="418"/>
        <v>5</v>
      </c>
      <c r="T311" s="221">
        <f t="shared" si="419"/>
        <v>1.6971428571428571</v>
      </c>
      <c r="U311" s="221">
        <f t="shared" si="420"/>
        <v>0.47519999999999996</v>
      </c>
      <c r="V311" s="221">
        <f t="shared" si="421"/>
        <v>1.1165413533834585</v>
      </c>
      <c r="W311" s="201">
        <f t="shared" si="422"/>
        <v>350</v>
      </c>
      <c r="X311" s="451">
        <f t="shared" si="423"/>
        <v>350</v>
      </c>
      <c r="Z311" s="221">
        <f t="shared" si="424"/>
        <v>3.0463363796697127</v>
      </c>
      <c r="AA311" s="177">
        <f t="shared" si="425"/>
        <v>2.004168670835337</v>
      </c>
      <c r="AB311" s="177">
        <f t="shared" si="426"/>
        <v>1.780733480446661</v>
      </c>
      <c r="AC311" s="177"/>
      <c r="AD311" s="177">
        <f t="shared" si="427"/>
        <v>0.53947368421052622</v>
      </c>
      <c r="AE311" s="555">
        <f t="shared" si="428"/>
        <v>2147.5312314098751</v>
      </c>
      <c r="AF311" s="538">
        <f t="shared" si="429"/>
        <v>0.15482894736842101</v>
      </c>
      <c r="AH311" s="177">
        <f t="shared" si="430"/>
        <v>2.1570955529344999</v>
      </c>
      <c r="AI311" s="177">
        <f t="shared" si="431"/>
        <v>2.1570955529344999</v>
      </c>
      <c r="AJ311" s="177">
        <f t="shared" si="432"/>
        <v>2.1904411503218517</v>
      </c>
      <c r="AL311" s="555">
        <f t="shared" si="433"/>
        <v>950</v>
      </c>
      <c r="AM311" s="469">
        <f t="shared" si="434"/>
        <v>350</v>
      </c>
      <c r="AO311">
        <f t="shared" si="435"/>
        <v>950</v>
      </c>
      <c r="AP311">
        <f t="shared" si="436"/>
        <v>350</v>
      </c>
      <c r="AR311" s="5">
        <f t="shared" si="406"/>
        <v>2.8571428571428572</v>
      </c>
      <c r="AS311" s="5">
        <f t="shared" si="439"/>
        <v>0.60398675482165998</v>
      </c>
      <c r="AT311" s="5">
        <f t="shared" si="440"/>
        <v>2.2531561023211975</v>
      </c>
      <c r="AU311" s="177">
        <f t="shared" si="441"/>
        <v>0.21139536418758098</v>
      </c>
      <c r="CI311" s="571">
        <f t="shared" si="437"/>
        <v>-50</v>
      </c>
    </row>
    <row r="312" spans="4:87" x14ac:dyDescent="0.2">
      <c r="E312" s="174">
        <v>96</v>
      </c>
      <c r="F312" s="221">
        <f t="shared" si="438"/>
        <v>0.96</v>
      </c>
      <c r="G312" s="221">
        <f t="shared" si="407"/>
        <v>0.192</v>
      </c>
      <c r="H312" s="221">
        <f t="shared" si="408"/>
        <v>4.8</v>
      </c>
      <c r="I312" s="221">
        <f t="shared" si="409"/>
        <v>0.96</v>
      </c>
      <c r="J312" s="551">
        <f t="shared" si="410"/>
        <v>25</v>
      </c>
      <c r="K312" s="451">
        <f t="shared" si="411"/>
        <v>10.64</v>
      </c>
      <c r="L312" s="451">
        <f t="shared" si="412"/>
        <v>35.64</v>
      </c>
      <c r="M312" s="451"/>
      <c r="N312" s="221">
        <f t="shared" si="413"/>
        <v>0.2985409652076319</v>
      </c>
      <c r="O312" s="176">
        <f t="shared" ref="O312:O316" si="442">N312*J312*Isw_max*0.5*Efficiency*Pout/(Pout+Pout2)</f>
        <v>11.475168350168351</v>
      </c>
      <c r="P312" s="176">
        <f t="shared" si="415"/>
        <v>2.7540404040404045</v>
      </c>
      <c r="Q312" s="221">
        <f t="shared" si="416"/>
        <v>2.2950336700336704</v>
      </c>
      <c r="R312" s="221">
        <f t="shared" si="417"/>
        <v>2.2950336700336704</v>
      </c>
      <c r="S312" s="221">
        <f t="shared" si="418"/>
        <v>5</v>
      </c>
      <c r="T312" s="221">
        <f t="shared" si="419"/>
        <v>1.7150075187969922</v>
      </c>
      <c r="U312" s="221">
        <f t="shared" si="420"/>
        <v>0.48020210526315776</v>
      </c>
      <c r="V312" s="221">
        <f t="shared" si="421"/>
        <v>1.1282944202611789</v>
      </c>
      <c r="W312" s="201">
        <f t="shared" si="422"/>
        <v>350</v>
      </c>
      <c r="X312" s="451">
        <f t="shared" si="423"/>
        <v>350</v>
      </c>
      <c r="Z312" s="221">
        <f t="shared" si="424"/>
        <v>3.0463363796697127</v>
      </c>
      <c r="AA312" s="177">
        <f t="shared" si="425"/>
        <v>2.004168670835337</v>
      </c>
      <c r="AB312" s="177">
        <f t="shared" ref="AB312:AB316" si="443">0.5*AA312*Z312*Nps*W312/1000*(Pout/(Pout+Pout2))</f>
        <v>1.780733480446661</v>
      </c>
      <c r="AC312" s="177"/>
      <c r="AD312" s="177">
        <f t="shared" si="427"/>
        <v>0.53947368421052622</v>
      </c>
      <c r="AE312" s="555">
        <f t="shared" ref="AE312:AE316" si="444">MAX(10, F312/(0.5*AD312/1000000*Isw_min*Nps)/1000*Pout_total/Pout)</f>
        <v>2170.136823319453</v>
      </c>
      <c r="AF312" s="538">
        <f t="shared" si="429"/>
        <v>0.15482894736842101</v>
      </c>
      <c r="AH312" s="177">
        <f t="shared" si="430"/>
        <v>2.1684189669726028</v>
      </c>
      <c r="AI312" s="177">
        <f t="shared" ref="AI312:AI316" si="445">MAX(IF(F312&gt;AB312,T312,AH312),Isw_min)</f>
        <v>2.1684189669726028</v>
      </c>
      <c r="AJ312" s="177">
        <f t="shared" ref="AJ312:AJ316" si="446">IF(F312&gt;AF312, (AI312-Isw_min)/1.08*0.8+1.2, AE312*0.2/350+1)</f>
        <v>2.1988288644241503</v>
      </c>
      <c r="AL312" s="555">
        <f t="shared" si="433"/>
        <v>960</v>
      </c>
      <c r="AM312" s="469">
        <f t="shared" si="434"/>
        <v>350</v>
      </c>
      <c r="AO312">
        <f t="shared" si="435"/>
        <v>960</v>
      </c>
      <c r="AP312">
        <f t="shared" si="436"/>
        <v>350</v>
      </c>
      <c r="AR312" s="5">
        <f t="shared" si="406"/>
        <v>2.8571428571428572</v>
      </c>
      <c r="AS312" s="5">
        <f t="shared" si="439"/>
        <v>0.60715731075232882</v>
      </c>
      <c r="AT312" s="5">
        <f t="shared" si="440"/>
        <v>2.2499855463905285</v>
      </c>
      <c r="AU312" s="177">
        <f t="shared" si="441"/>
        <v>0.21250505876331507</v>
      </c>
      <c r="CI312" s="571">
        <f t="shared" si="437"/>
        <v>-50</v>
      </c>
    </row>
    <row r="313" spans="4:87" x14ac:dyDescent="0.2">
      <c r="E313" s="174">
        <v>97</v>
      </c>
      <c r="F313" s="221">
        <f t="shared" ref="F313:F316" si="447">IF(PLOT_TYPE=1, E313/100*Iout_max, min_I*EXP(O313*rr/100))</f>
        <v>0.97</v>
      </c>
      <c r="G313" s="221">
        <f t="shared" si="407"/>
        <v>0.19400000000000001</v>
      </c>
      <c r="H313" s="221">
        <f t="shared" si="408"/>
        <v>4.8499999999999996</v>
      </c>
      <c r="I313" s="221">
        <f t="shared" si="409"/>
        <v>0.97</v>
      </c>
      <c r="J313" s="551">
        <f t="shared" si="410"/>
        <v>25</v>
      </c>
      <c r="K313" s="451">
        <f t="shared" si="411"/>
        <v>10.64</v>
      </c>
      <c r="L313" s="451">
        <f t="shared" si="412"/>
        <v>35.64</v>
      </c>
      <c r="M313" s="451"/>
      <c r="N313" s="221">
        <f t="shared" si="413"/>
        <v>0.2985409652076319</v>
      </c>
      <c r="O313" s="176">
        <f t="shared" si="442"/>
        <v>11.475168350168351</v>
      </c>
      <c r="P313" s="176">
        <f t="shared" si="415"/>
        <v>2.7540404040404045</v>
      </c>
      <c r="Q313" s="221">
        <f t="shared" si="416"/>
        <v>2.2950336700336704</v>
      </c>
      <c r="R313" s="221">
        <f t="shared" si="417"/>
        <v>2.2950336700336704</v>
      </c>
      <c r="S313" s="221">
        <f t="shared" si="418"/>
        <v>5</v>
      </c>
      <c r="T313" s="221">
        <f t="shared" si="419"/>
        <v>1.7328721804511273</v>
      </c>
      <c r="U313" s="221">
        <f t="shared" si="420"/>
        <v>0.48520421052631563</v>
      </c>
      <c r="V313" s="221">
        <f t="shared" si="421"/>
        <v>1.1400474871388995</v>
      </c>
      <c r="W313" s="201">
        <f t="shared" si="422"/>
        <v>350</v>
      </c>
      <c r="X313" s="451">
        <f t="shared" si="423"/>
        <v>350</v>
      </c>
      <c r="Z313" s="221">
        <f t="shared" si="424"/>
        <v>3.0463363796697127</v>
      </c>
      <c r="AA313" s="177">
        <f t="shared" si="425"/>
        <v>2.004168670835337</v>
      </c>
      <c r="AB313" s="177">
        <f t="shared" si="443"/>
        <v>1.780733480446661</v>
      </c>
      <c r="AC313" s="177"/>
      <c r="AD313" s="177">
        <f t="shared" si="427"/>
        <v>0.53947368421052622</v>
      </c>
      <c r="AE313" s="555">
        <f t="shared" si="444"/>
        <v>2192.7424152290309</v>
      </c>
      <c r="AF313" s="538">
        <f t="shared" si="429"/>
        <v>0.15482894736842101</v>
      </c>
      <c r="AH313" s="177">
        <f t="shared" si="430"/>
        <v>2.1796835568869315</v>
      </c>
      <c r="AI313" s="177">
        <f t="shared" si="445"/>
        <v>2.1796835568869315</v>
      </c>
      <c r="AJ313" s="177">
        <f t="shared" si="446"/>
        <v>2.2071730051014309</v>
      </c>
      <c r="AL313" s="555">
        <f t="shared" si="433"/>
        <v>970</v>
      </c>
      <c r="AM313" s="469">
        <f t="shared" si="434"/>
        <v>350</v>
      </c>
      <c r="AO313">
        <f t="shared" si="435"/>
        <v>970</v>
      </c>
      <c r="AP313">
        <f t="shared" si="436"/>
        <v>350</v>
      </c>
      <c r="AR313" s="5">
        <f t="shared" si="406"/>
        <v>2.8571428571428572</v>
      </c>
      <c r="AS313" s="5">
        <f t="shared" si="439"/>
        <v>0.61031139592834083</v>
      </c>
      <c r="AT313" s="5">
        <f t="shared" si="440"/>
        <v>2.2468314612145166</v>
      </c>
      <c r="AU313" s="177">
        <f t="shared" si="441"/>
        <v>0.21360898857491928</v>
      </c>
      <c r="CI313" s="571">
        <f t="shared" si="437"/>
        <v>-50</v>
      </c>
    </row>
    <row r="314" spans="4:87" x14ac:dyDescent="0.2">
      <c r="E314" s="174">
        <v>98</v>
      </c>
      <c r="F314" s="221">
        <f t="shared" si="447"/>
        <v>0.98</v>
      </c>
      <c r="G314" s="221">
        <f t="shared" si="407"/>
        <v>0.19600000000000001</v>
      </c>
      <c r="H314" s="221">
        <f t="shared" si="408"/>
        <v>4.9000000000000004</v>
      </c>
      <c r="I314" s="221">
        <f t="shared" si="409"/>
        <v>0.98</v>
      </c>
      <c r="J314" s="551">
        <f t="shared" si="410"/>
        <v>25</v>
      </c>
      <c r="K314" s="451">
        <f t="shared" si="411"/>
        <v>10.64</v>
      </c>
      <c r="L314" s="451">
        <f t="shared" si="412"/>
        <v>35.64</v>
      </c>
      <c r="M314" s="451"/>
      <c r="N314" s="221">
        <f t="shared" si="413"/>
        <v>0.2985409652076319</v>
      </c>
      <c r="O314" s="176">
        <f t="shared" si="442"/>
        <v>11.475168350168351</v>
      </c>
      <c r="P314" s="176">
        <f t="shared" si="415"/>
        <v>2.7540404040404045</v>
      </c>
      <c r="Q314" s="221">
        <f t="shared" si="416"/>
        <v>2.2950336700336704</v>
      </c>
      <c r="R314" s="221">
        <f t="shared" si="417"/>
        <v>2.2950336700336704</v>
      </c>
      <c r="S314" s="221">
        <f t="shared" si="418"/>
        <v>5</v>
      </c>
      <c r="T314" s="221">
        <f t="shared" si="419"/>
        <v>1.7507368421052631</v>
      </c>
      <c r="U314" s="221">
        <f t="shared" si="420"/>
        <v>0.49020631578947371</v>
      </c>
      <c r="V314" s="221">
        <f t="shared" si="421"/>
        <v>1.1518005540166203</v>
      </c>
      <c r="W314" s="201">
        <f t="shared" si="422"/>
        <v>350</v>
      </c>
      <c r="X314" s="451">
        <f t="shared" si="423"/>
        <v>350</v>
      </c>
      <c r="Z314" s="221">
        <f t="shared" si="424"/>
        <v>3.0463363796697127</v>
      </c>
      <c r="AA314" s="177">
        <f t="shared" si="425"/>
        <v>2.004168670835337</v>
      </c>
      <c r="AB314" s="177">
        <f t="shared" si="443"/>
        <v>1.780733480446661</v>
      </c>
      <c r="AC314" s="177"/>
      <c r="AD314" s="177">
        <f t="shared" si="427"/>
        <v>0.53947368421052622</v>
      </c>
      <c r="AE314" s="555">
        <f t="shared" si="444"/>
        <v>2215.3480071386084</v>
      </c>
      <c r="AF314" s="538">
        <f t="shared" si="429"/>
        <v>0.15482894736842101</v>
      </c>
      <c r="AH314" s="177">
        <f t="shared" si="430"/>
        <v>2.1908902300206647</v>
      </c>
      <c r="AI314" s="177">
        <f t="shared" si="445"/>
        <v>2.1908902300206647</v>
      </c>
      <c r="AJ314" s="177">
        <f t="shared" si="446"/>
        <v>2.2154742444597515</v>
      </c>
      <c r="AL314" s="555">
        <f t="shared" si="433"/>
        <v>980</v>
      </c>
      <c r="AM314" s="469">
        <f t="shared" si="434"/>
        <v>350</v>
      </c>
      <c r="AO314">
        <f t="shared" si="435"/>
        <v>980</v>
      </c>
      <c r="AP314">
        <f t="shared" si="436"/>
        <v>350</v>
      </c>
      <c r="AR314" s="5">
        <f t="shared" si="406"/>
        <v>2.8571428571428572</v>
      </c>
      <c r="AS314" s="5">
        <f t="shared" si="439"/>
        <v>0.61344926440578618</v>
      </c>
      <c r="AT314" s="5">
        <f t="shared" si="440"/>
        <v>2.2436935927370709</v>
      </c>
      <c r="AU314" s="177">
        <f t="shared" si="441"/>
        <v>0.21470724254202517</v>
      </c>
      <c r="CI314" s="571">
        <f t="shared" si="437"/>
        <v>-50</v>
      </c>
    </row>
    <row r="315" spans="4:87" x14ac:dyDescent="0.2">
      <c r="E315" s="174">
        <v>99</v>
      </c>
      <c r="F315" s="221">
        <f t="shared" si="447"/>
        <v>0.99</v>
      </c>
      <c r="G315" s="221">
        <f t="shared" si="407"/>
        <v>0.19800000000000001</v>
      </c>
      <c r="H315" s="221">
        <f t="shared" si="408"/>
        <v>4.95</v>
      </c>
      <c r="I315" s="221">
        <f t="shared" si="409"/>
        <v>0.99</v>
      </c>
      <c r="J315" s="551">
        <f t="shared" si="410"/>
        <v>25</v>
      </c>
      <c r="K315" s="451">
        <f t="shared" si="411"/>
        <v>10.64</v>
      </c>
      <c r="L315" s="451">
        <f t="shared" si="412"/>
        <v>35.64</v>
      </c>
      <c r="M315" s="451"/>
      <c r="N315" s="221">
        <f t="shared" si="413"/>
        <v>0.2985409652076319</v>
      </c>
      <c r="O315" s="176">
        <f t="shared" si="442"/>
        <v>11.475168350168351</v>
      </c>
      <c r="P315" s="176">
        <f t="shared" si="415"/>
        <v>2.7540404040404045</v>
      </c>
      <c r="Q315" s="221">
        <f t="shared" si="416"/>
        <v>2.2950336700336704</v>
      </c>
      <c r="R315" s="221">
        <f t="shared" si="417"/>
        <v>2.2950336700336704</v>
      </c>
      <c r="S315" s="221">
        <f t="shared" si="418"/>
        <v>5</v>
      </c>
      <c r="T315" s="221">
        <f t="shared" si="419"/>
        <v>1.7686015037593983</v>
      </c>
      <c r="U315" s="221">
        <f t="shared" si="420"/>
        <v>0.49520842105263152</v>
      </c>
      <c r="V315" s="221">
        <f t="shared" si="421"/>
        <v>1.1635536208943409</v>
      </c>
      <c r="W315" s="201">
        <f t="shared" si="422"/>
        <v>350</v>
      </c>
      <c r="X315" s="451">
        <f t="shared" si="423"/>
        <v>350</v>
      </c>
      <c r="Z315" s="221">
        <f t="shared" si="424"/>
        <v>3.0463363796697127</v>
      </c>
      <c r="AA315" s="177">
        <f t="shared" si="425"/>
        <v>2.004168670835337</v>
      </c>
      <c r="AB315" s="177">
        <f t="shared" si="443"/>
        <v>1.780733480446661</v>
      </c>
      <c r="AC315" s="177"/>
      <c r="AD315" s="177">
        <f t="shared" si="427"/>
        <v>0.53947368421052622</v>
      </c>
      <c r="AE315" s="555">
        <f t="shared" si="444"/>
        <v>2237.9535990481859</v>
      </c>
      <c r="AF315" s="538">
        <f t="shared" si="429"/>
        <v>0.15482894736842101</v>
      </c>
      <c r="AH315" s="177">
        <f t="shared" si="430"/>
        <v>2.2020398706283077</v>
      </c>
      <c r="AI315" s="177">
        <f t="shared" si="445"/>
        <v>2.2020398706283077</v>
      </c>
      <c r="AJ315" s="177">
        <f t="shared" si="446"/>
        <v>2.2237332375024503</v>
      </c>
      <c r="AL315" s="555">
        <f t="shared" si="433"/>
        <v>990</v>
      </c>
      <c r="AM315" s="469">
        <f t="shared" si="434"/>
        <v>350</v>
      </c>
      <c r="AO315">
        <f t="shared" si="435"/>
        <v>990</v>
      </c>
      <c r="AP315">
        <f t="shared" si="436"/>
        <v>350</v>
      </c>
      <c r="AR315" s="5">
        <f t="shared" si="406"/>
        <v>2.8571428571428572</v>
      </c>
      <c r="AS315" s="5">
        <f t="shared" si="439"/>
        <v>0.61657116377592613</v>
      </c>
      <c r="AT315" s="5">
        <f t="shared" si="440"/>
        <v>2.2405716933669311</v>
      </c>
      <c r="AU315" s="177">
        <f t="shared" si="441"/>
        <v>0.21579990732157414</v>
      </c>
      <c r="CI315" s="571">
        <f t="shared" si="437"/>
        <v>-50</v>
      </c>
    </row>
    <row r="316" spans="4:87" x14ac:dyDescent="0.2">
      <c r="E316" s="174">
        <v>100</v>
      </c>
      <c r="F316" s="221">
        <f t="shared" si="447"/>
        <v>1</v>
      </c>
      <c r="G316" s="221">
        <f t="shared" si="407"/>
        <v>0.2</v>
      </c>
      <c r="H316" s="221">
        <f t="shared" si="408"/>
        <v>5</v>
      </c>
      <c r="I316" s="221">
        <f t="shared" si="409"/>
        <v>1</v>
      </c>
      <c r="J316" s="551">
        <f t="shared" si="410"/>
        <v>25</v>
      </c>
      <c r="K316" s="451">
        <f t="shared" si="411"/>
        <v>10.64</v>
      </c>
      <c r="L316" s="451">
        <f t="shared" si="412"/>
        <v>35.64</v>
      </c>
      <c r="M316" s="451"/>
      <c r="N316" s="221">
        <f t="shared" si="413"/>
        <v>0.2985409652076319</v>
      </c>
      <c r="O316" s="176">
        <f t="shared" si="442"/>
        <v>11.475168350168351</v>
      </c>
      <c r="P316" s="176">
        <f t="shared" si="415"/>
        <v>2.7540404040404045</v>
      </c>
      <c r="Q316" s="221">
        <f t="shared" si="416"/>
        <v>2.2950336700336704</v>
      </c>
      <c r="R316" s="221">
        <f t="shared" si="417"/>
        <v>2.2950336700336704</v>
      </c>
      <c r="S316" s="221">
        <f t="shared" si="418"/>
        <v>5</v>
      </c>
      <c r="T316" s="221">
        <f t="shared" si="419"/>
        <v>1.7864661654135336</v>
      </c>
      <c r="U316" s="221">
        <f t="shared" si="420"/>
        <v>0.50021052631578944</v>
      </c>
      <c r="V316" s="221">
        <f t="shared" si="421"/>
        <v>1.1753066877720615</v>
      </c>
      <c r="W316" s="201">
        <f t="shared" si="422"/>
        <v>350</v>
      </c>
      <c r="X316" s="451">
        <f t="shared" si="423"/>
        <v>350</v>
      </c>
      <c r="Z316" s="221">
        <f t="shared" si="424"/>
        <v>3.0463363796697127</v>
      </c>
      <c r="AA316" s="177">
        <f t="shared" si="425"/>
        <v>2.004168670835337</v>
      </c>
      <c r="AB316" s="177">
        <f t="shared" si="443"/>
        <v>1.780733480446661</v>
      </c>
      <c r="AC316" s="177"/>
      <c r="AD316" s="177">
        <f t="shared" si="427"/>
        <v>0.53947368421052622</v>
      </c>
      <c r="AE316" s="555">
        <f t="shared" si="444"/>
        <v>2260.5591909577638</v>
      </c>
      <c r="AF316" s="538">
        <f t="shared" si="429"/>
        <v>0.15482894736842101</v>
      </c>
      <c r="AH316" s="177">
        <f t="shared" si="430"/>
        <v>2.2131333406899523</v>
      </c>
      <c r="AI316" s="177">
        <f t="shared" si="445"/>
        <v>2.2131333406899523</v>
      </c>
      <c r="AJ316" s="177">
        <f t="shared" si="446"/>
        <v>2.2319506227332981</v>
      </c>
      <c r="AL316" s="555">
        <f t="shared" si="433"/>
        <v>1000</v>
      </c>
      <c r="AM316" s="469">
        <f t="shared" si="434"/>
        <v>350</v>
      </c>
      <c r="AO316">
        <f t="shared" si="435"/>
        <v>1000</v>
      </c>
      <c r="AP316">
        <f t="shared" si="436"/>
        <v>350</v>
      </c>
      <c r="AR316" s="5">
        <f t="shared" si="406"/>
        <v>2.8571428571428572</v>
      </c>
      <c r="AS316" s="5">
        <f t="shared" si="439"/>
        <v>0.6196773353931867</v>
      </c>
      <c r="AT316" s="5">
        <f t="shared" si="440"/>
        <v>2.2374655217496704</v>
      </c>
      <c r="AU316" s="177">
        <f t="shared" si="441"/>
        <v>0.21688706738761535</v>
      </c>
      <c r="CI316" s="571">
        <f t="shared" si="437"/>
        <v>-50</v>
      </c>
    </row>
    <row r="317" spans="4:87" x14ac:dyDescent="0.2">
      <c r="E317" s="174"/>
      <c r="F317" s="221"/>
      <c r="G317" s="221"/>
    </row>
    <row r="319" spans="4:87" x14ac:dyDescent="0.2">
      <c r="D319" s="77" t="s">
        <v>824</v>
      </c>
    </row>
    <row r="320" spans="4:87" x14ac:dyDescent="0.2">
      <c r="E320" s="77" t="s">
        <v>840</v>
      </c>
      <c r="K320" s="77"/>
      <c r="L320" s="77" t="s">
        <v>844</v>
      </c>
    </row>
    <row r="321" spans="5:16" x14ac:dyDescent="0.2">
      <c r="F321" s="77" t="s">
        <v>841</v>
      </c>
      <c r="G321" s="77" t="s">
        <v>842</v>
      </c>
      <c r="M321" s="77" t="s">
        <v>845</v>
      </c>
      <c r="N321" s="77" t="s">
        <v>846</v>
      </c>
    </row>
    <row r="322" spans="5:16" x14ac:dyDescent="0.2">
      <c r="F322">
        <f>'LM(2)518x PSR flyback converter'!E57</f>
        <v>5.0000000000000001E-3</v>
      </c>
      <c r="G322" s="771">
        <f>F322*Vout</f>
        <v>2.5000000000000001E-2</v>
      </c>
      <c r="M322">
        <f>'LM(2)518x PSR flyback converter'!L57</f>
        <v>-5.0000000000000001E-3</v>
      </c>
      <c r="N322" s="771">
        <f>M322*'LM(2)518x PSR flyback converter'!E12</f>
        <v>-2.5000000000000001E-2</v>
      </c>
    </row>
    <row r="323" spans="5:16" x14ac:dyDescent="0.2">
      <c r="E323" t="s">
        <v>832</v>
      </c>
      <c r="L323" t="s">
        <v>832</v>
      </c>
    </row>
    <row r="324" spans="5:16" x14ac:dyDescent="0.2">
      <c r="F324" t="s">
        <v>833</v>
      </c>
      <c r="G324" t="s">
        <v>834</v>
      </c>
      <c r="H324" t="s">
        <v>835</v>
      </c>
      <c r="I324" s="77" t="s">
        <v>676</v>
      </c>
      <c r="M324" t="s">
        <v>833</v>
      </c>
      <c r="N324" t="s">
        <v>834</v>
      </c>
      <c r="O324" t="s">
        <v>835</v>
      </c>
      <c r="P324" s="77" t="s">
        <v>676</v>
      </c>
    </row>
    <row r="325" spans="5:16" x14ac:dyDescent="0.2">
      <c r="F325" s="770">
        <v>1.9999999999999999E-7</v>
      </c>
      <c r="G325">
        <f>VIN_max</f>
        <v>25</v>
      </c>
      <c r="H325">
        <f>15000</f>
        <v>15000</v>
      </c>
      <c r="I325">
        <f>L*0.9</f>
        <v>6.2999999999999998E-6</v>
      </c>
      <c r="M325" s="770">
        <v>1.9999999999999999E-7</v>
      </c>
      <c r="N325">
        <f>VIN_max</f>
        <v>25</v>
      </c>
      <c r="O325">
        <f>15000</f>
        <v>15000</v>
      </c>
      <c r="P325">
        <f>L*0.9</f>
        <v>6.2999999999999998E-6</v>
      </c>
    </row>
    <row r="326" spans="5:16" x14ac:dyDescent="0.2">
      <c r="G326" s="77" t="s">
        <v>836</v>
      </c>
      <c r="N326" s="77" t="s">
        <v>836</v>
      </c>
    </row>
    <row r="327" spans="5:16" x14ac:dyDescent="0.2">
      <c r="G327" s="771">
        <f>0.5*(G325/I325*F325)^2*H325*I325</f>
        <v>2.976190476190476E-2</v>
      </c>
      <c r="N327" s="771">
        <f>0.5*(N325/P325*M325)^2*O325*P325</f>
        <v>2.976190476190476E-2</v>
      </c>
    </row>
    <row r="328" spans="5:16" x14ac:dyDescent="0.2">
      <c r="E328" s="77" t="s">
        <v>843</v>
      </c>
      <c r="K328" s="77"/>
      <c r="L328" s="77" t="s">
        <v>847</v>
      </c>
    </row>
    <row r="329" spans="5:16" x14ac:dyDescent="0.2">
      <c r="G329" t="str">
        <f>IF(G322+N322&lt;G327, "Yes", IF(G322&lt;G327, "Yes", "No"))</f>
        <v>Yes</v>
      </c>
      <c r="H329">
        <f>(Vout*1.05)^2/(G327-G322)</f>
        <v>5788.1250000000036</v>
      </c>
      <c r="N329" t="str">
        <f>IF(G322+N322&lt;N327, "Yes", IF(N322&lt;N327, "Yes", "No"))</f>
        <v>Yes</v>
      </c>
      <c r="O329">
        <f>(Vout2*1.05)^2/(N327-N322)</f>
        <v>503.31521739130437</v>
      </c>
    </row>
    <row r="332" spans="5:16" x14ac:dyDescent="0.2">
      <c r="E332" s="77"/>
    </row>
    <row r="333" spans="5:16" x14ac:dyDescent="0.2">
      <c r="F333" s="77"/>
      <c r="G333" s="77"/>
    </row>
    <row r="334" spans="5:16" x14ac:dyDescent="0.2">
      <c r="G334" s="771"/>
    </row>
    <row r="336" spans="5:16" x14ac:dyDescent="0.2">
      <c r="I336" s="77"/>
    </row>
    <row r="337" spans="5:7" x14ac:dyDescent="0.2">
      <c r="F337" s="770"/>
    </row>
    <row r="338" spans="5:7" x14ac:dyDescent="0.2">
      <c r="G338" s="77"/>
    </row>
    <row r="339" spans="5:7" x14ac:dyDescent="0.2">
      <c r="G339" s="771"/>
    </row>
    <row r="340" spans="5:7" x14ac:dyDescent="0.2">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4" t="s">
        <v>428</v>
      </c>
      <c r="D4" s="225"/>
      <c r="E4" s="226"/>
      <c r="F4" s="850" t="s">
        <v>189</v>
      </c>
      <c r="G4" s="851"/>
      <c r="H4" s="850"/>
      <c r="I4" s="850"/>
      <c r="J4" s="850"/>
      <c r="K4" s="851"/>
      <c r="L4" s="851"/>
      <c r="M4" s="851"/>
      <c r="N4" s="850"/>
      <c r="O4" s="853"/>
      <c r="P4" s="543"/>
      <c r="Q4" s="543"/>
      <c r="R4" s="543"/>
      <c r="S4" s="543"/>
    </row>
    <row r="5" spans="3:19" ht="45" customHeight="1" thickBot="1" x14ac:dyDescent="0.25">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
      <c r="C6" s="174">
        <v>0.1</v>
      </c>
      <c r="D6" s="539">
        <f>VIN_min</f>
        <v>23</v>
      </c>
      <c r="E6" s="451">
        <f t="shared" ref="E6:E37" si="0">(Vout+Vfwd1)*Nps</f>
        <v>10.64</v>
      </c>
      <c r="F6" s="221">
        <f t="shared" ref="F6:F37" si="1">(Vout+Vfwd1)*Nps/((Vout+Vfwd1)*Nps+D6)</f>
        <v>0.31629013079667062</v>
      </c>
      <c r="G6" s="176">
        <f t="shared" ref="G6:G37" si="2">F6*D6*Isw_max*0.5*Efficiency</f>
        <v>13.421771700356718</v>
      </c>
      <c r="H6" s="221">
        <f t="shared" ref="H6:H37" si="3">G6/Vout</f>
        <v>2.6843543400713434</v>
      </c>
      <c r="I6" s="451">
        <f t="shared" ref="I6:I37" si="4">(Vout+Vfwd1)*Nps+D6</f>
        <v>33.64</v>
      </c>
      <c r="J6" s="176">
        <f t="shared" ref="J6:J37" si="5">MIN(2*Vout*Iout/(Efficiency*D6*F6), 1.35)</f>
        <v>1.35</v>
      </c>
      <c r="K6" s="176">
        <f t="shared" ref="K6:K37" si="6">L*J6/D6*1000000</f>
        <v>0.41086956521739137</v>
      </c>
      <c r="L6" s="176">
        <f t="shared" ref="L6:L37" si="7">L*J6/((Vout+Vfwd1)*Nps)*1000000</f>
        <v>0.88815789473684215</v>
      </c>
      <c r="M6" s="451">
        <f>MIN(1/(K6+L6)*1000, 350)</f>
        <v>350</v>
      </c>
      <c r="N6" s="201">
        <f t="shared" ref="N6:N37" si="8">IF(1/((350000*L)*(1/D6+1/E6))&gt;Isw_min, 350, 0.001/((Isw_min*L)*(1/D6+1/E6)))</f>
        <v>350</v>
      </c>
      <c r="O6" s="221">
        <f t="shared" ref="O6:O37" si="9">1/((N6*1000*L)*(1/D6+1/E6))</f>
        <v>2.9692542891116021</v>
      </c>
      <c r="P6" s="177">
        <f t="shared" ref="P6:P37" si="10">L*O6/E6*1000000</f>
        <v>1.9534567691523697</v>
      </c>
      <c r="Q6" s="177">
        <f t="shared" ref="Q6:Q37" si="11">0.5*P6*O6*Nps*N6/1000</f>
        <v>2.0301084616399181</v>
      </c>
      <c r="R6" s="177">
        <f t="shared" ref="R6:R37" si="12">L*Isw_min/E6*1000000</f>
        <v>0.53947368421052622</v>
      </c>
    </row>
    <row r="7" spans="3:19" x14ac:dyDescent="0.2">
      <c r="C7" s="174">
        <v>1</v>
      </c>
      <c r="D7" s="5">
        <f t="shared" ref="D7:D38" si="13">C7/100*(VIN_max-VIN_min)+VIN_min</f>
        <v>23.02</v>
      </c>
      <c r="E7" s="451">
        <f t="shared" si="0"/>
        <v>10.64</v>
      </c>
      <c r="F7" s="221">
        <f t="shared" si="1"/>
        <v>0.3161021984551397</v>
      </c>
      <c r="G7" s="176">
        <f t="shared" si="2"/>
        <v>13.425460962566847</v>
      </c>
      <c r="H7" s="221">
        <f t="shared" si="3"/>
        <v>2.6850921925133693</v>
      </c>
      <c r="I7" s="451">
        <f t="shared" si="4"/>
        <v>33.659999999999997</v>
      </c>
      <c r="J7" s="176">
        <f t="shared" si="5"/>
        <v>1.35</v>
      </c>
      <c r="K7" s="176">
        <f t="shared" si="6"/>
        <v>0.41051259774109472</v>
      </c>
      <c r="L7" s="176">
        <f t="shared" si="7"/>
        <v>0.88815789473684215</v>
      </c>
      <c r="M7" s="451">
        <f t="shared" ref="M7:M70" si="14">MIN(1/(K7+L7)*1000, 350)</f>
        <v>350</v>
      </c>
      <c r="N7" s="201">
        <f t="shared" si="8"/>
        <v>350</v>
      </c>
      <c r="O7" s="221">
        <f t="shared" si="9"/>
        <v>2.9700704524233936</v>
      </c>
      <c r="P7" s="177">
        <f t="shared" si="10"/>
        <v>1.953993718699601</v>
      </c>
      <c r="Q7" s="177">
        <f t="shared" si="11"/>
        <v>2.0312246528457076</v>
      </c>
      <c r="R7" s="177">
        <f t="shared" si="12"/>
        <v>0.53947368421052622</v>
      </c>
    </row>
    <row r="8" spans="3:19" x14ac:dyDescent="0.2">
      <c r="C8" s="174">
        <v>2</v>
      </c>
      <c r="D8" s="5">
        <f t="shared" si="13"/>
        <v>23.04</v>
      </c>
      <c r="E8" s="451">
        <f t="shared" si="0"/>
        <v>10.64</v>
      </c>
      <c r="F8" s="221">
        <f t="shared" si="1"/>
        <v>0.31591448931116389</v>
      </c>
      <c r="G8" s="176">
        <f t="shared" si="2"/>
        <v>13.429145843230403</v>
      </c>
      <c r="H8" s="221">
        <f t="shared" si="3"/>
        <v>2.6858291686460807</v>
      </c>
      <c r="I8" s="451">
        <f t="shared" si="4"/>
        <v>33.68</v>
      </c>
      <c r="J8" s="176">
        <f t="shared" si="5"/>
        <v>1.35</v>
      </c>
      <c r="K8" s="176">
        <f t="shared" si="6"/>
        <v>0.41015625000000006</v>
      </c>
      <c r="L8" s="176">
        <f t="shared" si="7"/>
        <v>0.88815789473684215</v>
      </c>
      <c r="M8" s="451">
        <f t="shared" si="14"/>
        <v>350</v>
      </c>
      <c r="N8" s="201">
        <f t="shared" si="8"/>
        <v>350</v>
      </c>
      <c r="O8" s="221">
        <f t="shared" si="9"/>
        <v>2.9708856464200886</v>
      </c>
      <c r="P8" s="177">
        <f t="shared" si="10"/>
        <v>1.9545300305395317</v>
      </c>
      <c r="Q8" s="177">
        <f t="shared" si="11"/>
        <v>2.0323398246294193</v>
      </c>
      <c r="R8" s="177">
        <f t="shared" si="12"/>
        <v>0.53947368421052622</v>
      </c>
    </row>
    <row r="9" spans="3:19" x14ac:dyDescent="0.2">
      <c r="C9" s="174">
        <v>3</v>
      </c>
      <c r="D9" s="5">
        <f t="shared" si="13"/>
        <v>23.06</v>
      </c>
      <c r="E9" s="451">
        <f t="shared" si="0"/>
        <v>10.64</v>
      </c>
      <c r="F9" s="221">
        <f t="shared" si="1"/>
        <v>0.31572700296735906</v>
      </c>
      <c r="G9" s="176">
        <f t="shared" si="2"/>
        <v>13.432826350148368</v>
      </c>
      <c r="H9" s="221">
        <f t="shared" si="3"/>
        <v>2.6865652700296736</v>
      </c>
      <c r="I9" s="451">
        <f t="shared" si="4"/>
        <v>33.700000000000003</v>
      </c>
      <c r="J9" s="176">
        <f t="shared" si="5"/>
        <v>1.35</v>
      </c>
      <c r="K9" s="176">
        <f t="shared" si="6"/>
        <v>0.40980052038161324</v>
      </c>
      <c r="L9" s="176">
        <f t="shared" si="7"/>
        <v>0.88815789473684215</v>
      </c>
      <c r="M9" s="451">
        <f t="shared" si="14"/>
        <v>350</v>
      </c>
      <c r="N9" s="201">
        <f t="shared" si="8"/>
        <v>350</v>
      </c>
      <c r="O9" s="221">
        <f t="shared" si="9"/>
        <v>2.9716998728274695</v>
      </c>
      <c r="P9" s="177">
        <f t="shared" si="10"/>
        <v>1.9550657058075456</v>
      </c>
      <c r="Q9" s="177">
        <f t="shared" si="11"/>
        <v>2.0334539782611705</v>
      </c>
      <c r="R9" s="177">
        <f t="shared" si="12"/>
        <v>0.53947368421052622</v>
      </c>
    </row>
    <row r="10" spans="3:19" x14ac:dyDescent="0.2">
      <c r="C10" s="174">
        <v>4</v>
      </c>
      <c r="D10" s="5">
        <f t="shared" si="13"/>
        <v>23.08</v>
      </c>
      <c r="E10" s="451">
        <f t="shared" si="0"/>
        <v>10.64</v>
      </c>
      <c r="F10" s="221">
        <f t="shared" si="1"/>
        <v>0.31553973902728355</v>
      </c>
      <c r="G10" s="176">
        <f t="shared" si="2"/>
        <v>13.436502491103203</v>
      </c>
      <c r="H10" s="221">
        <f t="shared" si="3"/>
        <v>2.6873004982206408</v>
      </c>
      <c r="I10" s="451">
        <f t="shared" si="4"/>
        <v>33.72</v>
      </c>
      <c r="J10" s="176">
        <f t="shared" si="5"/>
        <v>1.35</v>
      </c>
      <c r="K10" s="176">
        <f t="shared" si="6"/>
        <v>0.40944540727902956</v>
      </c>
      <c r="L10" s="176">
        <f t="shared" si="7"/>
        <v>0.88815789473684215</v>
      </c>
      <c r="M10" s="451">
        <f t="shared" si="14"/>
        <v>350</v>
      </c>
      <c r="N10" s="201">
        <f t="shared" si="8"/>
        <v>350</v>
      </c>
      <c r="O10" s="221">
        <f t="shared" si="9"/>
        <v>2.9725131333672259</v>
      </c>
      <c r="P10" s="177">
        <f t="shared" si="10"/>
        <v>1.9556007456363327</v>
      </c>
      <c r="Q10" s="177">
        <f t="shared" si="11"/>
        <v>2.0345671150093585</v>
      </c>
      <c r="R10" s="177">
        <f t="shared" si="12"/>
        <v>0.53947368421052622</v>
      </c>
    </row>
    <row r="11" spans="3:19" x14ac:dyDescent="0.2">
      <c r="C11" s="174">
        <v>5</v>
      </c>
      <c r="D11" s="5">
        <f t="shared" si="13"/>
        <v>23.1</v>
      </c>
      <c r="E11" s="451">
        <f t="shared" si="0"/>
        <v>10.64</v>
      </c>
      <c r="F11" s="221">
        <f t="shared" si="1"/>
        <v>0.31535269709543567</v>
      </c>
      <c r="G11" s="176">
        <f t="shared" si="2"/>
        <v>13.44017427385892</v>
      </c>
      <c r="H11" s="221">
        <f t="shared" si="3"/>
        <v>2.6880348547717841</v>
      </c>
      <c r="I11" s="451">
        <f t="shared" si="4"/>
        <v>33.74</v>
      </c>
      <c r="J11" s="176">
        <f t="shared" si="5"/>
        <v>1.35</v>
      </c>
      <c r="K11" s="176">
        <f t="shared" si="6"/>
        <v>0.40909090909090912</v>
      </c>
      <c r="L11" s="176">
        <f t="shared" si="7"/>
        <v>0.88815789473684215</v>
      </c>
      <c r="M11" s="451">
        <f t="shared" si="14"/>
        <v>350</v>
      </c>
      <c r="N11" s="201">
        <f t="shared" si="8"/>
        <v>350</v>
      </c>
      <c r="O11" s="221">
        <f t="shared" si="9"/>
        <v>2.9733254297569651</v>
      </c>
      <c r="P11" s="177">
        <f t="shared" si="10"/>
        <v>1.956135151155898</v>
      </c>
      <c r="Q11" s="177">
        <f t="shared" si="11"/>
        <v>2.0356792361406604</v>
      </c>
      <c r="R11" s="177">
        <f t="shared" si="12"/>
        <v>0.53947368421052622</v>
      </c>
    </row>
    <row r="12" spans="3:19" x14ac:dyDescent="0.2">
      <c r="C12" s="174">
        <v>6</v>
      </c>
      <c r="D12" s="5">
        <f t="shared" si="13"/>
        <v>23.12</v>
      </c>
      <c r="E12" s="451">
        <f t="shared" si="0"/>
        <v>10.64</v>
      </c>
      <c r="F12" s="221">
        <f t="shared" si="1"/>
        <v>0.31516587677725116</v>
      </c>
      <c r="G12" s="176">
        <f t="shared" si="2"/>
        <v>13.443841706161136</v>
      </c>
      <c r="H12" s="221">
        <f t="shared" si="3"/>
        <v>2.688768341232227</v>
      </c>
      <c r="I12" s="451">
        <f t="shared" si="4"/>
        <v>33.760000000000005</v>
      </c>
      <c r="J12" s="176">
        <f t="shared" si="5"/>
        <v>1.35</v>
      </c>
      <c r="K12" s="176">
        <f t="shared" si="6"/>
        <v>0.4087370242214533</v>
      </c>
      <c r="L12" s="176">
        <f t="shared" si="7"/>
        <v>0.88815789473684215</v>
      </c>
      <c r="M12" s="451">
        <f t="shared" si="14"/>
        <v>350</v>
      </c>
      <c r="N12" s="201">
        <f t="shared" si="8"/>
        <v>350</v>
      </c>
      <c r="O12" s="221">
        <f t="shared" si="9"/>
        <v>2.9741367637102236</v>
      </c>
      <c r="P12" s="177">
        <f t="shared" si="10"/>
        <v>1.9566689234935681</v>
      </c>
      <c r="Q12" s="177">
        <f t="shared" si="11"/>
        <v>2.0367903429200349</v>
      </c>
      <c r="R12" s="177">
        <f t="shared" si="12"/>
        <v>0.53947368421052622</v>
      </c>
    </row>
    <row r="13" spans="3:19" x14ac:dyDescent="0.2">
      <c r="C13" s="174">
        <v>7</v>
      </c>
      <c r="D13" s="5">
        <f t="shared" si="13"/>
        <v>23.14</v>
      </c>
      <c r="E13" s="451">
        <f t="shared" si="0"/>
        <v>10.64</v>
      </c>
      <c r="F13" s="221">
        <f t="shared" si="1"/>
        <v>0.31497927767910006</v>
      </c>
      <c r="G13" s="176">
        <f t="shared" si="2"/>
        <v>13.447504795737121</v>
      </c>
      <c r="H13" s="221">
        <f t="shared" si="3"/>
        <v>2.6895009591474244</v>
      </c>
      <c r="I13" s="451">
        <f t="shared" si="4"/>
        <v>33.78</v>
      </c>
      <c r="J13" s="176">
        <f t="shared" si="5"/>
        <v>1.35</v>
      </c>
      <c r="K13" s="176">
        <f t="shared" si="6"/>
        <v>0.40838375108038033</v>
      </c>
      <c r="L13" s="176">
        <f t="shared" si="7"/>
        <v>0.88815789473684215</v>
      </c>
      <c r="M13" s="451">
        <f t="shared" si="14"/>
        <v>350</v>
      </c>
      <c r="N13" s="201">
        <f t="shared" si="8"/>
        <v>350</v>
      </c>
      <c r="O13" s="221">
        <f t="shared" si="9"/>
        <v>2.9749471369364797</v>
      </c>
      <c r="P13" s="177">
        <f t="shared" si="10"/>
        <v>1.9572020637739997</v>
      </c>
      <c r="Q13" s="177">
        <f t="shared" si="11"/>
        <v>2.0379004366107205</v>
      </c>
      <c r="R13" s="177">
        <f t="shared" si="12"/>
        <v>0.53947368421052622</v>
      </c>
    </row>
    <row r="14" spans="3:19" s="77" customFormat="1" x14ac:dyDescent="0.2">
      <c r="C14" s="193">
        <v>8</v>
      </c>
      <c r="D14" s="544">
        <f t="shared" si="13"/>
        <v>23.16</v>
      </c>
      <c r="E14" s="545">
        <f t="shared" si="0"/>
        <v>10.64</v>
      </c>
      <c r="F14" s="333">
        <f t="shared" si="1"/>
        <v>0.31479289940828409</v>
      </c>
      <c r="G14" s="546">
        <f t="shared" si="2"/>
        <v>13.45116355029586</v>
      </c>
      <c r="H14" s="333">
        <f t="shared" si="3"/>
        <v>2.6902327100591719</v>
      </c>
      <c r="I14" s="545">
        <f t="shared" si="4"/>
        <v>33.799999999999997</v>
      </c>
      <c r="J14" s="176">
        <f t="shared" si="5"/>
        <v>1.35</v>
      </c>
      <c r="K14" s="546">
        <f t="shared" si="6"/>
        <v>0.40803108808290162</v>
      </c>
      <c r="L14" s="546">
        <f t="shared" si="7"/>
        <v>0.88815789473684215</v>
      </c>
      <c r="M14" s="545">
        <f t="shared" si="14"/>
        <v>350</v>
      </c>
      <c r="N14" s="547">
        <f t="shared" si="8"/>
        <v>350</v>
      </c>
      <c r="O14" s="333">
        <f t="shared" si="9"/>
        <v>2.9757565511411666</v>
      </c>
      <c r="P14" s="177">
        <f t="shared" si="10"/>
        <v>1.9577345731191884</v>
      </c>
      <c r="Q14" s="548">
        <f t="shared" si="11"/>
        <v>2.0390095184742427</v>
      </c>
      <c r="R14" s="177">
        <f t="shared" si="12"/>
        <v>0.53947368421052622</v>
      </c>
    </row>
    <row r="15" spans="3:19" x14ac:dyDescent="0.2">
      <c r="C15" s="174">
        <v>9</v>
      </c>
      <c r="D15" s="5">
        <f t="shared" si="13"/>
        <v>23.18</v>
      </c>
      <c r="E15" s="451">
        <f t="shared" si="0"/>
        <v>10.64</v>
      </c>
      <c r="F15" s="221">
        <f t="shared" si="1"/>
        <v>0.3146067415730337</v>
      </c>
      <c r="G15" s="176">
        <f t="shared" si="2"/>
        <v>13.454817977528089</v>
      </c>
      <c r="H15" s="221">
        <f t="shared" si="3"/>
        <v>2.6909635955056177</v>
      </c>
      <c r="I15" s="451">
        <f t="shared" si="4"/>
        <v>33.82</v>
      </c>
      <c r="J15" s="176">
        <f t="shared" si="5"/>
        <v>1.35</v>
      </c>
      <c r="K15" s="176">
        <f t="shared" si="6"/>
        <v>0.4076790336496981</v>
      </c>
      <c r="L15" s="176">
        <f t="shared" si="7"/>
        <v>0.88815789473684215</v>
      </c>
      <c r="M15" s="451">
        <f t="shared" si="14"/>
        <v>350</v>
      </c>
      <c r="N15" s="201">
        <f t="shared" si="8"/>
        <v>350</v>
      </c>
      <c r="O15" s="221">
        <f t="shared" si="9"/>
        <v>2.9765650080256818</v>
      </c>
      <c r="P15" s="177">
        <f t="shared" si="10"/>
        <v>1.9582664526484748</v>
      </c>
      <c r="Q15" s="177">
        <f t="shared" si="11"/>
        <v>2.0401175897704107</v>
      </c>
      <c r="R15" s="177">
        <f t="shared" si="12"/>
        <v>0.53947368421052622</v>
      </c>
    </row>
    <row r="16" spans="3:19" x14ac:dyDescent="0.2">
      <c r="C16" s="174">
        <v>10</v>
      </c>
      <c r="D16" s="5">
        <f t="shared" si="13"/>
        <v>23.2</v>
      </c>
      <c r="E16" s="451">
        <f t="shared" si="0"/>
        <v>10.64</v>
      </c>
      <c r="F16" s="221">
        <f t="shared" si="1"/>
        <v>0.31442080378250592</v>
      </c>
      <c r="G16" s="176">
        <f t="shared" si="2"/>
        <v>13.458468085106382</v>
      </c>
      <c r="H16" s="221">
        <f t="shared" si="3"/>
        <v>2.6916936170212766</v>
      </c>
      <c r="I16" s="451">
        <f t="shared" si="4"/>
        <v>33.840000000000003</v>
      </c>
      <c r="J16" s="176">
        <f t="shared" si="5"/>
        <v>1.35</v>
      </c>
      <c r="K16" s="176">
        <f t="shared" si="6"/>
        <v>0.40732758620689657</v>
      </c>
      <c r="L16" s="176">
        <f t="shared" si="7"/>
        <v>0.88815789473684215</v>
      </c>
      <c r="M16" s="451">
        <f t="shared" si="14"/>
        <v>350</v>
      </c>
      <c r="N16" s="201">
        <f t="shared" si="8"/>
        <v>350</v>
      </c>
      <c r="O16" s="221">
        <f t="shared" si="9"/>
        <v>2.9773725092874028</v>
      </c>
      <c r="P16" s="177">
        <f t="shared" si="10"/>
        <v>1.9587977034785542</v>
      </c>
      <c r="Q16" s="177">
        <f t="shared" si="11"/>
        <v>2.0412246517573207</v>
      </c>
      <c r="R16" s="177">
        <f t="shared" si="12"/>
        <v>0.53947368421052622</v>
      </c>
    </row>
    <row r="17" spans="3:18" x14ac:dyDescent="0.2">
      <c r="C17" s="174">
        <v>11</v>
      </c>
      <c r="D17" s="5">
        <f t="shared" si="13"/>
        <v>23.22</v>
      </c>
      <c r="E17" s="451">
        <f t="shared" si="0"/>
        <v>10.64</v>
      </c>
      <c r="F17" s="221">
        <f t="shared" si="1"/>
        <v>0.31423508564678088</v>
      </c>
      <c r="G17" s="176">
        <f t="shared" si="2"/>
        <v>13.462113880685171</v>
      </c>
      <c r="H17" s="221">
        <f t="shared" si="3"/>
        <v>2.6924227761370343</v>
      </c>
      <c r="I17" s="451">
        <f t="shared" si="4"/>
        <v>33.86</v>
      </c>
      <c r="J17" s="176">
        <f t="shared" si="5"/>
        <v>1.35</v>
      </c>
      <c r="K17" s="176">
        <f t="shared" si="6"/>
        <v>0.40697674418604657</v>
      </c>
      <c r="L17" s="176">
        <f t="shared" si="7"/>
        <v>0.88815789473684215</v>
      </c>
      <c r="M17" s="451">
        <f t="shared" si="14"/>
        <v>350</v>
      </c>
      <c r="N17" s="201">
        <f t="shared" si="8"/>
        <v>350</v>
      </c>
      <c r="O17" s="221">
        <f t="shared" si="9"/>
        <v>2.9781790566196942</v>
      </c>
      <c r="P17" s="177">
        <f t="shared" si="10"/>
        <v>1.9593283267234831</v>
      </c>
      <c r="Q17" s="177">
        <f t="shared" si="11"/>
        <v>2.0423307056913553</v>
      </c>
      <c r="R17" s="177">
        <f t="shared" si="12"/>
        <v>0.53947368421052622</v>
      </c>
    </row>
    <row r="18" spans="3:18" x14ac:dyDescent="0.2">
      <c r="C18" s="174">
        <v>12</v>
      </c>
      <c r="D18" s="5">
        <f t="shared" si="13"/>
        <v>23.24</v>
      </c>
      <c r="E18" s="451">
        <f t="shared" si="0"/>
        <v>10.64</v>
      </c>
      <c r="F18" s="221">
        <f t="shared" si="1"/>
        <v>0.31404958677685957</v>
      </c>
      <c r="G18" s="176">
        <f t="shared" si="2"/>
        <v>13.465755371900826</v>
      </c>
      <c r="H18" s="221">
        <f t="shared" si="3"/>
        <v>2.6931510743801654</v>
      </c>
      <c r="I18" s="451">
        <f t="shared" si="4"/>
        <v>33.879999999999995</v>
      </c>
      <c r="J18" s="176">
        <f t="shared" si="5"/>
        <v>1.35</v>
      </c>
      <c r="K18" s="176">
        <f t="shared" si="6"/>
        <v>0.40662650602409645</v>
      </c>
      <c r="L18" s="176">
        <f t="shared" si="7"/>
        <v>0.88815789473684215</v>
      </c>
      <c r="M18" s="451">
        <f t="shared" si="14"/>
        <v>350</v>
      </c>
      <c r="N18" s="201">
        <f t="shared" si="8"/>
        <v>350</v>
      </c>
      <c r="O18" s="221">
        <f t="shared" si="9"/>
        <v>2.9789846517119241</v>
      </c>
      <c r="P18" s="177">
        <f t="shared" si="10"/>
        <v>1.9598583234946865</v>
      </c>
      <c r="Q18" s="177">
        <f t="shared" si="11"/>
        <v>2.0434357528271869</v>
      </c>
      <c r="R18" s="177">
        <f t="shared" si="12"/>
        <v>0.53947368421052622</v>
      </c>
    </row>
    <row r="19" spans="3:18" x14ac:dyDescent="0.2">
      <c r="C19" s="174">
        <v>13</v>
      </c>
      <c r="D19" s="5">
        <f t="shared" si="13"/>
        <v>23.26</v>
      </c>
      <c r="E19" s="451">
        <f t="shared" si="0"/>
        <v>10.64</v>
      </c>
      <c r="F19" s="221">
        <f t="shared" si="1"/>
        <v>0.31386430678466071</v>
      </c>
      <c r="G19" s="176">
        <f t="shared" si="2"/>
        <v>13.469392566371679</v>
      </c>
      <c r="H19" s="221">
        <f t="shared" si="3"/>
        <v>2.6938785132743357</v>
      </c>
      <c r="I19" s="451">
        <f t="shared" si="4"/>
        <v>33.900000000000006</v>
      </c>
      <c r="J19" s="176">
        <f t="shared" si="5"/>
        <v>1.35</v>
      </c>
      <c r="K19" s="176">
        <f t="shared" si="6"/>
        <v>0.40627687016337061</v>
      </c>
      <c r="L19" s="176">
        <f t="shared" si="7"/>
        <v>0.88815789473684215</v>
      </c>
      <c r="M19" s="451">
        <f t="shared" si="14"/>
        <v>350</v>
      </c>
      <c r="N19" s="201">
        <f t="shared" si="8"/>
        <v>350</v>
      </c>
      <c r="O19" s="221">
        <f t="shared" si="9"/>
        <v>2.9797892962494732</v>
      </c>
      <c r="P19" s="177">
        <f t="shared" si="10"/>
        <v>1.9603876949009691</v>
      </c>
      <c r="Q19" s="177">
        <f t="shared" si="11"/>
        <v>2.0445397944177799</v>
      </c>
      <c r="R19" s="177">
        <f t="shared" si="12"/>
        <v>0.53947368421052622</v>
      </c>
    </row>
    <row r="20" spans="3:18" x14ac:dyDescent="0.2">
      <c r="C20" s="174">
        <v>14</v>
      </c>
      <c r="D20" s="5">
        <f t="shared" si="13"/>
        <v>23.28</v>
      </c>
      <c r="E20" s="451">
        <f t="shared" si="0"/>
        <v>10.64</v>
      </c>
      <c r="F20" s="221">
        <f t="shared" si="1"/>
        <v>0.31367924528301888</v>
      </c>
      <c r="G20" s="176">
        <f t="shared" si="2"/>
        <v>13.473025471698115</v>
      </c>
      <c r="H20" s="221">
        <f t="shared" si="3"/>
        <v>2.6946050943396229</v>
      </c>
      <c r="I20" s="451">
        <f t="shared" si="4"/>
        <v>33.92</v>
      </c>
      <c r="J20" s="176">
        <f t="shared" si="5"/>
        <v>1.35</v>
      </c>
      <c r="K20" s="176">
        <f t="shared" si="6"/>
        <v>0.40592783505154639</v>
      </c>
      <c r="L20" s="176">
        <f t="shared" si="7"/>
        <v>0.88815789473684215</v>
      </c>
      <c r="M20" s="451">
        <f t="shared" si="14"/>
        <v>350</v>
      </c>
      <c r="N20" s="201">
        <f t="shared" si="8"/>
        <v>350</v>
      </c>
      <c r="O20" s="221">
        <f t="shared" si="9"/>
        <v>2.9805929919137468</v>
      </c>
      <c r="P20" s="177">
        <f t="shared" si="10"/>
        <v>1.9609164420485174</v>
      </c>
      <c r="Q20" s="177">
        <f t="shared" si="11"/>
        <v>2.0456428317143875</v>
      </c>
      <c r="R20" s="177">
        <f t="shared" si="12"/>
        <v>0.53947368421052622</v>
      </c>
    </row>
    <row r="21" spans="3:18" x14ac:dyDescent="0.2">
      <c r="C21" s="174">
        <v>15</v>
      </c>
      <c r="D21" s="5">
        <f t="shared" si="13"/>
        <v>23.3</v>
      </c>
      <c r="E21" s="451">
        <f t="shared" si="0"/>
        <v>10.64</v>
      </c>
      <c r="F21" s="221">
        <f t="shared" si="1"/>
        <v>0.31349440188568067</v>
      </c>
      <c r="G21" s="176">
        <f t="shared" si="2"/>
        <v>13.476654095462584</v>
      </c>
      <c r="H21" s="221">
        <f t="shared" si="3"/>
        <v>2.6953308190925167</v>
      </c>
      <c r="I21" s="451">
        <f t="shared" si="4"/>
        <v>33.94</v>
      </c>
      <c r="J21" s="176">
        <f t="shared" si="5"/>
        <v>1.35</v>
      </c>
      <c r="K21" s="176">
        <f t="shared" si="6"/>
        <v>0.40557939914163094</v>
      </c>
      <c r="L21" s="176">
        <f t="shared" si="7"/>
        <v>0.88815789473684215</v>
      </c>
      <c r="M21" s="451">
        <f t="shared" si="14"/>
        <v>350</v>
      </c>
      <c r="N21" s="201">
        <f t="shared" si="8"/>
        <v>350</v>
      </c>
      <c r="O21" s="221">
        <f t="shared" si="9"/>
        <v>2.9813957403821871</v>
      </c>
      <c r="P21" s="177">
        <f t="shared" si="10"/>
        <v>1.9614445660409126</v>
      </c>
      <c r="Q21" s="177">
        <f t="shared" si="11"/>
        <v>2.0467448659665575</v>
      </c>
      <c r="R21" s="177">
        <f t="shared" si="12"/>
        <v>0.53947368421052622</v>
      </c>
    </row>
    <row r="22" spans="3:18" s="3" customFormat="1" x14ac:dyDescent="0.2">
      <c r="C22" s="337">
        <v>16</v>
      </c>
      <c r="D22" s="540">
        <f t="shared" si="13"/>
        <v>23.32</v>
      </c>
      <c r="E22" s="541">
        <f t="shared" si="0"/>
        <v>10.64</v>
      </c>
      <c r="F22" s="542">
        <f t="shared" si="1"/>
        <v>0.31330977620730271</v>
      </c>
      <c r="G22" s="336">
        <f t="shared" si="2"/>
        <v>13.480278445229681</v>
      </c>
      <c r="H22" s="542">
        <f t="shared" si="3"/>
        <v>2.6960556890459362</v>
      </c>
      <c r="I22" s="541">
        <f t="shared" si="4"/>
        <v>33.96</v>
      </c>
      <c r="J22" s="176">
        <f t="shared" si="5"/>
        <v>1.35</v>
      </c>
      <c r="K22" s="336">
        <f t="shared" si="6"/>
        <v>0.40523156089193829</v>
      </c>
      <c r="L22" s="336">
        <f t="shared" si="7"/>
        <v>0.88815789473684215</v>
      </c>
      <c r="M22" s="541">
        <f t="shared" si="14"/>
        <v>350</v>
      </c>
      <c r="N22" s="339">
        <f t="shared" si="8"/>
        <v>350</v>
      </c>
      <c r="O22" s="542">
        <f t="shared" si="9"/>
        <v>2.9821975433282852</v>
      </c>
      <c r="P22" s="177">
        <f t="shared" si="10"/>
        <v>1.961972067979135</v>
      </c>
      <c r="Q22" s="549">
        <f t="shared" si="11"/>
        <v>2.0478458984221324</v>
      </c>
      <c r="R22" s="177">
        <f t="shared" si="12"/>
        <v>0.53947368421052622</v>
      </c>
    </row>
    <row r="23" spans="3:18" x14ac:dyDescent="0.2">
      <c r="C23" s="174">
        <v>17</v>
      </c>
      <c r="D23" s="5">
        <f t="shared" si="13"/>
        <v>23.34</v>
      </c>
      <c r="E23" s="451">
        <f t="shared" si="0"/>
        <v>10.64</v>
      </c>
      <c r="F23" s="221">
        <f t="shared" si="1"/>
        <v>0.31312536786344908</v>
      </c>
      <c r="G23" s="176">
        <f t="shared" si="2"/>
        <v>13.483898528546202</v>
      </c>
      <c r="H23" s="221">
        <f t="shared" si="3"/>
        <v>2.6967797057092406</v>
      </c>
      <c r="I23" s="451">
        <f t="shared" si="4"/>
        <v>33.980000000000004</v>
      </c>
      <c r="J23" s="176">
        <f t="shared" si="5"/>
        <v>1.35</v>
      </c>
      <c r="K23" s="176">
        <f t="shared" si="6"/>
        <v>0.4048843187660669</v>
      </c>
      <c r="L23" s="176">
        <f t="shared" si="7"/>
        <v>0.88815789473684215</v>
      </c>
      <c r="M23" s="451">
        <f t="shared" si="14"/>
        <v>350</v>
      </c>
      <c r="N23" s="201">
        <f t="shared" si="8"/>
        <v>350</v>
      </c>
      <c r="O23" s="221">
        <f t="shared" si="9"/>
        <v>2.9829984024215923</v>
      </c>
      <c r="P23" s="177">
        <f t="shared" si="10"/>
        <v>1.9624989489615741</v>
      </c>
      <c r="Q23" s="177">
        <f t="shared" si="11"/>
        <v>2.0489459303272501</v>
      </c>
      <c r="R23" s="177">
        <f t="shared" si="12"/>
        <v>0.53947368421052622</v>
      </c>
    </row>
    <row r="24" spans="3:18" x14ac:dyDescent="0.2">
      <c r="C24" s="174">
        <v>18</v>
      </c>
      <c r="D24" s="5">
        <f t="shared" si="13"/>
        <v>23.36</v>
      </c>
      <c r="E24" s="451">
        <f t="shared" si="0"/>
        <v>10.64</v>
      </c>
      <c r="F24" s="221">
        <f t="shared" si="1"/>
        <v>0.31294117647058828</v>
      </c>
      <c r="G24" s="176">
        <f t="shared" si="2"/>
        <v>13.487514352941178</v>
      </c>
      <c r="H24" s="221">
        <f t="shared" si="3"/>
        <v>2.6975028705882353</v>
      </c>
      <c r="I24" s="451">
        <f t="shared" si="4"/>
        <v>34</v>
      </c>
      <c r="J24" s="176">
        <f t="shared" si="5"/>
        <v>1.35</v>
      </c>
      <c r="K24" s="176">
        <f t="shared" si="6"/>
        <v>0.40453767123287676</v>
      </c>
      <c r="L24" s="176">
        <f t="shared" si="7"/>
        <v>0.88815789473684215</v>
      </c>
      <c r="M24" s="451">
        <f t="shared" si="14"/>
        <v>350</v>
      </c>
      <c r="N24" s="201">
        <f t="shared" si="8"/>
        <v>350</v>
      </c>
      <c r="O24" s="221">
        <f t="shared" si="9"/>
        <v>2.9837983193277311</v>
      </c>
      <c r="P24" s="177">
        <f t="shared" si="10"/>
        <v>1.9630252100840331</v>
      </c>
      <c r="Q24" s="177">
        <f t="shared" si="11"/>
        <v>2.0500449629263464</v>
      </c>
      <c r="R24" s="177">
        <f t="shared" si="12"/>
        <v>0.53947368421052622</v>
      </c>
    </row>
    <row r="25" spans="3:18" x14ac:dyDescent="0.2">
      <c r="C25" s="174">
        <v>19</v>
      </c>
      <c r="D25" s="5">
        <f t="shared" si="13"/>
        <v>23.38</v>
      </c>
      <c r="E25" s="451">
        <f t="shared" si="0"/>
        <v>10.64</v>
      </c>
      <c r="F25" s="221">
        <f t="shared" si="1"/>
        <v>0.31275720164609061</v>
      </c>
      <c r="G25" s="176">
        <f t="shared" si="2"/>
        <v>13.491125925925926</v>
      </c>
      <c r="H25" s="221">
        <f t="shared" si="3"/>
        <v>2.6982251851851853</v>
      </c>
      <c r="I25" s="451">
        <f t="shared" si="4"/>
        <v>34.019999999999996</v>
      </c>
      <c r="J25" s="176">
        <f t="shared" si="5"/>
        <v>1.35</v>
      </c>
      <c r="K25" s="176">
        <f t="shared" si="6"/>
        <v>0.40419161676646714</v>
      </c>
      <c r="L25" s="176">
        <f t="shared" si="7"/>
        <v>0.88815789473684215</v>
      </c>
      <c r="M25" s="451">
        <f t="shared" si="14"/>
        <v>350</v>
      </c>
      <c r="N25" s="201">
        <f t="shared" si="8"/>
        <v>350</v>
      </c>
      <c r="O25" s="221">
        <f t="shared" si="9"/>
        <v>2.984597295708407</v>
      </c>
      <c r="P25" s="177">
        <f t="shared" si="10"/>
        <v>1.9635508524397411</v>
      </c>
      <c r="Q25" s="177">
        <f t="shared" si="11"/>
        <v>2.051142997462156</v>
      </c>
      <c r="R25" s="177">
        <f t="shared" si="12"/>
        <v>0.53947368421052622</v>
      </c>
    </row>
    <row r="26" spans="3:18" x14ac:dyDescent="0.2">
      <c r="C26" s="174">
        <v>20</v>
      </c>
      <c r="D26" s="5">
        <f t="shared" si="13"/>
        <v>23.4</v>
      </c>
      <c r="E26" s="451">
        <f t="shared" si="0"/>
        <v>10.64</v>
      </c>
      <c r="F26" s="221">
        <f t="shared" si="1"/>
        <v>0.31257344300822565</v>
      </c>
      <c r="G26" s="176">
        <f t="shared" si="2"/>
        <v>13.494733254994124</v>
      </c>
      <c r="H26" s="221">
        <f t="shared" si="3"/>
        <v>2.6989466509988249</v>
      </c>
      <c r="I26" s="451">
        <f t="shared" si="4"/>
        <v>34.04</v>
      </c>
      <c r="J26" s="176">
        <f t="shared" si="5"/>
        <v>1.35</v>
      </c>
      <c r="K26" s="176">
        <f t="shared" si="6"/>
        <v>0.40384615384615391</v>
      </c>
      <c r="L26" s="176">
        <f t="shared" si="7"/>
        <v>0.88815789473684215</v>
      </c>
      <c r="M26" s="451">
        <f t="shared" si="14"/>
        <v>350</v>
      </c>
      <c r="N26" s="201">
        <f t="shared" si="8"/>
        <v>350</v>
      </c>
      <c r="O26" s="221">
        <f t="shared" si="9"/>
        <v>2.9853953332214207</v>
      </c>
      <c r="P26" s="177">
        <f t="shared" si="10"/>
        <v>1.9640758771193554</v>
      </c>
      <c r="Q26" s="177">
        <f t="shared" si="11"/>
        <v>2.0522400351757124</v>
      </c>
      <c r="R26" s="177">
        <f t="shared" si="12"/>
        <v>0.53947368421052622</v>
      </c>
    </row>
    <row r="27" spans="3:18" x14ac:dyDescent="0.2">
      <c r="C27" s="174">
        <v>21</v>
      </c>
      <c r="D27" s="5">
        <f t="shared" si="13"/>
        <v>23.42</v>
      </c>
      <c r="E27" s="451">
        <f t="shared" si="0"/>
        <v>10.64</v>
      </c>
      <c r="F27" s="221">
        <f t="shared" si="1"/>
        <v>0.3123899001761597</v>
      </c>
      <c r="G27" s="176">
        <f t="shared" si="2"/>
        <v>13.498336347621844</v>
      </c>
      <c r="H27" s="221">
        <f t="shared" si="3"/>
        <v>2.6996672695243689</v>
      </c>
      <c r="I27" s="451">
        <f t="shared" si="4"/>
        <v>34.06</v>
      </c>
      <c r="J27" s="176">
        <f t="shared" si="5"/>
        <v>1.35</v>
      </c>
      <c r="K27" s="176">
        <f t="shared" si="6"/>
        <v>0.40350128095644749</v>
      </c>
      <c r="L27" s="176">
        <f t="shared" si="7"/>
        <v>0.88815789473684215</v>
      </c>
      <c r="M27" s="451">
        <f t="shared" si="14"/>
        <v>350</v>
      </c>
      <c r="N27" s="201">
        <f t="shared" si="8"/>
        <v>350</v>
      </c>
      <c r="O27" s="221">
        <f t="shared" si="9"/>
        <v>2.986192433520678</v>
      </c>
      <c r="P27" s="177">
        <f t="shared" si="10"/>
        <v>1.9646002852109721</v>
      </c>
      <c r="Q27" s="177">
        <f t="shared" si="11"/>
        <v>2.05333607730635</v>
      </c>
      <c r="R27" s="177">
        <f t="shared" si="12"/>
        <v>0.53947368421052622</v>
      </c>
    </row>
    <row r="28" spans="3:18" x14ac:dyDescent="0.2">
      <c r="C28" s="174">
        <v>22</v>
      </c>
      <c r="D28" s="5">
        <f t="shared" si="13"/>
        <v>23.44</v>
      </c>
      <c r="E28" s="451">
        <f t="shared" si="0"/>
        <v>10.64</v>
      </c>
      <c r="F28" s="221">
        <f t="shared" si="1"/>
        <v>0.31220657276995306</v>
      </c>
      <c r="G28" s="176">
        <f t="shared" si="2"/>
        <v>13.501935211267606</v>
      </c>
      <c r="H28" s="221">
        <f t="shared" si="3"/>
        <v>2.7003870422535212</v>
      </c>
      <c r="I28" s="451">
        <f t="shared" si="4"/>
        <v>34.08</v>
      </c>
      <c r="J28" s="176">
        <f t="shared" si="5"/>
        <v>1.35</v>
      </c>
      <c r="K28" s="176">
        <f t="shared" si="6"/>
        <v>0.40315699658703075</v>
      </c>
      <c r="L28" s="176">
        <f t="shared" si="7"/>
        <v>0.88815789473684215</v>
      </c>
      <c r="M28" s="451">
        <f t="shared" si="14"/>
        <v>350</v>
      </c>
      <c r="N28" s="201">
        <f t="shared" si="8"/>
        <v>350</v>
      </c>
      <c r="O28" s="221">
        <f t="shared" si="9"/>
        <v>2.9869885982562039</v>
      </c>
      <c r="P28" s="177">
        <f t="shared" si="10"/>
        <v>1.965124077800134</v>
      </c>
      <c r="Q28" s="177">
        <f t="shared" si="11"/>
        <v>2.0544311250917082</v>
      </c>
      <c r="R28" s="177">
        <f t="shared" si="12"/>
        <v>0.53947368421052622</v>
      </c>
    </row>
    <row r="29" spans="3:18" x14ac:dyDescent="0.2">
      <c r="C29" s="174">
        <v>23</v>
      </c>
      <c r="D29" s="5">
        <f t="shared" si="13"/>
        <v>23.46</v>
      </c>
      <c r="E29" s="451">
        <f t="shared" si="0"/>
        <v>10.64</v>
      </c>
      <c r="F29" s="221">
        <f t="shared" si="1"/>
        <v>0.31202346041055717</v>
      </c>
      <c r="G29" s="176">
        <f t="shared" si="2"/>
        <v>13.505529853372433</v>
      </c>
      <c r="H29" s="221">
        <f t="shared" si="3"/>
        <v>2.7011059706744867</v>
      </c>
      <c r="I29" s="451">
        <f t="shared" si="4"/>
        <v>34.1</v>
      </c>
      <c r="J29" s="176">
        <f t="shared" si="5"/>
        <v>1.35</v>
      </c>
      <c r="K29" s="176">
        <f t="shared" si="6"/>
        <v>0.40281329923273657</v>
      </c>
      <c r="L29" s="176">
        <f t="shared" si="7"/>
        <v>0.88815789473684215</v>
      </c>
      <c r="M29" s="451">
        <f t="shared" si="14"/>
        <v>350</v>
      </c>
      <c r="N29" s="201">
        <f t="shared" si="8"/>
        <v>350</v>
      </c>
      <c r="O29" s="221">
        <f t="shared" si="9"/>
        <v>2.9877838290741519</v>
      </c>
      <c r="P29" s="177">
        <f t="shared" si="10"/>
        <v>1.9656472559698366</v>
      </c>
      <c r="Q29" s="177">
        <f t="shared" si="11"/>
        <v>2.0555251797677303</v>
      </c>
      <c r="R29" s="177">
        <f t="shared" si="12"/>
        <v>0.53947368421052622</v>
      </c>
    </row>
    <row r="30" spans="3:18" x14ac:dyDescent="0.2">
      <c r="C30" s="174">
        <v>24</v>
      </c>
      <c r="D30" s="5">
        <f t="shared" si="13"/>
        <v>23.48</v>
      </c>
      <c r="E30" s="451">
        <f t="shared" si="0"/>
        <v>10.64</v>
      </c>
      <c r="F30" s="221">
        <f t="shared" si="1"/>
        <v>0.31184056271981242</v>
      </c>
      <c r="G30" s="176">
        <f t="shared" si="2"/>
        <v>13.509120281359904</v>
      </c>
      <c r="H30" s="221">
        <f t="shared" si="3"/>
        <v>2.7018240562719806</v>
      </c>
      <c r="I30" s="451">
        <f t="shared" si="4"/>
        <v>34.120000000000005</v>
      </c>
      <c r="J30" s="176">
        <f t="shared" si="5"/>
        <v>1.35</v>
      </c>
      <c r="K30" s="176">
        <f t="shared" si="6"/>
        <v>0.40247018739352647</v>
      </c>
      <c r="L30" s="176">
        <f t="shared" si="7"/>
        <v>0.88815789473684215</v>
      </c>
      <c r="M30" s="451">
        <f t="shared" si="14"/>
        <v>350</v>
      </c>
      <c r="N30" s="201">
        <f t="shared" si="8"/>
        <v>350</v>
      </c>
      <c r="O30" s="221">
        <f t="shared" si="9"/>
        <v>2.988578127616814</v>
      </c>
      <c r="P30" s="177">
        <f t="shared" si="10"/>
        <v>1.9661698208005352</v>
      </c>
      <c r="Q30" s="177">
        <f t="shared" si="11"/>
        <v>2.0566182425686623</v>
      </c>
      <c r="R30" s="177">
        <f t="shared" si="12"/>
        <v>0.53947368421052622</v>
      </c>
    </row>
    <row r="31" spans="3:18" x14ac:dyDescent="0.2">
      <c r="C31" s="174">
        <v>25</v>
      </c>
      <c r="D31" s="5">
        <f t="shared" si="13"/>
        <v>23.5</v>
      </c>
      <c r="E31" s="451">
        <f t="shared" si="0"/>
        <v>10.64</v>
      </c>
      <c r="F31" s="221">
        <f t="shared" si="1"/>
        <v>0.31165787932044525</v>
      </c>
      <c r="G31" s="176">
        <f t="shared" si="2"/>
        <v>13.512706502636204</v>
      </c>
      <c r="H31" s="221">
        <f t="shared" si="3"/>
        <v>2.702541300527241</v>
      </c>
      <c r="I31" s="451">
        <f t="shared" si="4"/>
        <v>34.14</v>
      </c>
      <c r="J31" s="176">
        <f t="shared" si="5"/>
        <v>1.35</v>
      </c>
      <c r="K31" s="176">
        <f t="shared" si="6"/>
        <v>0.40212765957446811</v>
      </c>
      <c r="L31" s="176">
        <f t="shared" si="7"/>
        <v>0.88815789473684215</v>
      </c>
      <c r="M31" s="451">
        <f t="shared" si="14"/>
        <v>350</v>
      </c>
      <c r="N31" s="201">
        <f t="shared" si="8"/>
        <v>350</v>
      </c>
      <c r="O31" s="221">
        <f t="shared" si="9"/>
        <v>2.9893714955226374</v>
      </c>
      <c r="P31" s="177">
        <f t="shared" si="10"/>
        <v>1.9666917733701563</v>
      </c>
      <c r="Q31" s="177">
        <f t="shared" si="11"/>
        <v>2.0577103147270641</v>
      </c>
      <c r="R31" s="177">
        <f t="shared" si="12"/>
        <v>0.53947368421052622</v>
      </c>
    </row>
    <row r="32" spans="3:18" x14ac:dyDescent="0.2">
      <c r="C32" s="174">
        <v>26</v>
      </c>
      <c r="D32" s="5">
        <f t="shared" si="13"/>
        <v>23.52</v>
      </c>
      <c r="E32" s="451">
        <f t="shared" si="0"/>
        <v>10.64</v>
      </c>
      <c r="F32" s="221">
        <f t="shared" si="1"/>
        <v>0.31147540983606564</v>
      </c>
      <c r="G32" s="176">
        <f t="shared" si="2"/>
        <v>13.516288524590166</v>
      </c>
      <c r="H32" s="221">
        <f t="shared" si="3"/>
        <v>2.7032577049180331</v>
      </c>
      <c r="I32" s="451">
        <f t="shared" si="4"/>
        <v>34.159999999999997</v>
      </c>
      <c r="J32" s="176">
        <f t="shared" si="5"/>
        <v>1.35</v>
      </c>
      <c r="K32" s="176">
        <f t="shared" si="6"/>
        <v>0.40178571428571436</v>
      </c>
      <c r="L32" s="176">
        <f t="shared" si="7"/>
        <v>0.88815789473684215</v>
      </c>
      <c r="M32" s="451">
        <f t="shared" si="14"/>
        <v>350</v>
      </c>
      <c r="N32" s="201">
        <f t="shared" si="8"/>
        <v>350</v>
      </c>
      <c r="O32" s="221">
        <f t="shared" si="9"/>
        <v>2.9901639344262292</v>
      </c>
      <c r="P32" s="177">
        <f t="shared" si="10"/>
        <v>1.9672131147540981</v>
      </c>
      <c r="Q32" s="177">
        <f t="shared" si="11"/>
        <v>2.0588013974737969</v>
      </c>
      <c r="R32" s="177">
        <f t="shared" si="12"/>
        <v>0.53947368421052622</v>
      </c>
    </row>
    <row r="33" spans="3:18" x14ac:dyDescent="0.2">
      <c r="C33" s="174">
        <v>27</v>
      </c>
      <c r="D33" s="5">
        <f t="shared" si="13"/>
        <v>23.54</v>
      </c>
      <c r="E33" s="451">
        <f t="shared" si="0"/>
        <v>10.64</v>
      </c>
      <c r="F33" s="221">
        <f t="shared" si="1"/>
        <v>0.31129315389116446</v>
      </c>
      <c r="G33" s="176">
        <f t="shared" si="2"/>
        <v>13.519866354593329</v>
      </c>
      <c r="H33" s="221">
        <f t="shared" si="3"/>
        <v>2.7039732709186657</v>
      </c>
      <c r="I33" s="451">
        <f t="shared" si="4"/>
        <v>34.18</v>
      </c>
      <c r="J33" s="176">
        <f t="shared" si="5"/>
        <v>1.35</v>
      </c>
      <c r="K33" s="176">
        <f t="shared" si="6"/>
        <v>0.40144435004248097</v>
      </c>
      <c r="L33" s="176">
        <f t="shared" si="7"/>
        <v>0.88815789473684215</v>
      </c>
      <c r="M33" s="451">
        <f t="shared" si="14"/>
        <v>350</v>
      </c>
      <c r="N33" s="201">
        <f t="shared" si="8"/>
        <v>350</v>
      </c>
      <c r="O33" s="221">
        <f t="shared" si="9"/>
        <v>2.9909554459583716</v>
      </c>
      <c r="P33" s="177">
        <f t="shared" si="10"/>
        <v>1.9677338460252445</v>
      </c>
      <c r="Q33" s="177">
        <f t="shared" si="11"/>
        <v>2.0598914920380356</v>
      </c>
      <c r="R33" s="177">
        <f t="shared" si="12"/>
        <v>0.53947368421052622</v>
      </c>
    </row>
    <row r="34" spans="3:18" x14ac:dyDescent="0.2">
      <c r="C34" s="174">
        <v>28</v>
      </c>
      <c r="D34" s="5">
        <f t="shared" si="13"/>
        <v>23.56</v>
      </c>
      <c r="E34" s="451">
        <f t="shared" si="0"/>
        <v>10.64</v>
      </c>
      <c r="F34" s="221">
        <f t="shared" si="1"/>
        <v>0.31111111111111112</v>
      </c>
      <c r="G34" s="176">
        <f t="shared" si="2"/>
        <v>13.523439999999999</v>
      </c>
      <c r="H34" s="221">
        <f t="shared" si="3"/>
        <v>2.704688</v>
      </c>
      <c r="I34" s="451">
        <f t="shared" si="4"/>
        <v>34.200000000000003</v>
      </c>
      <c r="J34" s="176">
        <f t="shared" si="5"/>
        <v>1.35</v>
      </c>
      <c r="K34" s="176">
        <f t="shared" si="6"/>
        <v>0.40110356536502556</v>
      </c>
      <c r="L34" s="176">
        <f t="shared" si="7"/>
        <v>0.88815789473684215</v>
      </c>
      <c r="M34" s="451">
        <f t="shared" si="14"/>
        <v>350</v>
      </c>
      <c r="N34" s="201">
        <f t="shared" si="8"/>
        <v>350</v>
      </c>
      <c r="O34" s="221">
        <f t="shared" si="9"/>
        <v>2.9917460317460312</v>
      </c>
      <c r="P34" s="177">
        <f t="shared" si="10"/>
        <v>1.9682539682539677</v>
      </c>
      <c r="Q34" s="177">
        <f t="shared" si="11"/>
        <v>2.0609805996472654</v>
      </c>
      <c r="R34" s="177">
        <f t="shared" si="12"/>
        <v>0.53947368421052622</v>
      </c>
    </row>
    <row r="35" spans="3:18" x14ac:dyDescent="0.2">
      <c r="C35" s="174">
        <v>29</v>
      </c>
      <c r="D35" s="5">
        <f t="shared" si="13"/>
        <v>23.58</v>
      </c>
      <c r="E35" s="451">
        <f t="shared" si="0"/>
        <v>10.64</v>
      </c>
      <c r="F35" s="221">
        <f t="shared" si="1"/>
        <v>0.31092928112215079</v>
      </c>
      <c r="G35" s="176">
        <f t="shared" si="2"/>
        <v>13.527009468147281</v>
      </c>
      <c r="H35" s="221">
        <f t="shared" si="3"/>
        <v>2.7054018936294559</v>
      </c>
      <c r="I35" s="451">
        <f t="shared" si="4"/>
        <v>34.22</v>
      </c>
      <c r="J35" s="176">
        <f t="shared" si="5"/>
        <v>1.35</v>
      </c>
      <c r="K35" s="176">
        <f t="shared" si="6"/>
        <v>0.40076335877862601</v>
      </c>
      <c r="L35" s="176">
        <f t="shared" si="7"/>
        <v>0.88815789473684215</v>
      </c>
      <c r="M35" s="451">
        <f t="shared" si="14"/>
        <v>350</v>
      </c>
      <c r="N35" s="201">
        <f t="shared" si="8"/>
        <v>350</v>
      </c>
      <c r="O35" s="221">
        <f t="shared" si="9"/>
        <v>2.992535693412373</v>
      </c>
      <c r="P35" s="177">
        <f t="shared" si="10"/>
        <v>1.96877348250814</v>
      </c>
      <c r="Q35" s="177">
        <f t="shared" si="11"/>
        <v>2.0620687215272859</v>
      </c>
      <c r="R35" s="177">
        <f t="shared" si="12"/>
        <v>0.53947368421052622</v>
      </c>
    </row>
    <row r="36" spans="3:18" x14ac:dyDescent="0.2">
      <c r="C36" s="174">
        <v>30</v>
      </c>
      <c r="D36" s="5">
        <f t="shared" si="13"/>
        <v>23.6</v>
      </c>
      <c r="E36" s="451">
        <f t="shared" si="0"/>
        <v>10.64</v>
      </c>
      <c r="F36" s="221">
        <f t="shared" si="1"/>
        <v>0.31074766355140188</v>
      </c>
      <c r="G36" s="176">
        <f t="shared" si="2"/>
        <v>13.530574766355139</v>
      </c>
      <c r="H36" s="221">
        <f t="shared" si="3"/>
        <v>2.7061149532710278</v>
      </c>
      <c r="I36" s="451">
        <f t="shared" si="4"/>
        <v>34.24</v>
      </c>
      <c r="J36" s="176">
        <f t="shared" si="5"/>
        <v>1.35</v>
      </c>
      <c r="K36" s="176">
        <f t="shared" si="6"/>
        <v>0.40042372881355931</v>
      </c>
      <c r="L36" s="176">
        <f t="shared" si="7"/>
        <v>0.88815789473684215</v>
      </c>
      <c r="M36" s="451">
        <f t="shared" si="14"/>
        <v>350</v>
      </c>
      <c r="N36" s="201">
        <f t="shared" si="8"/>
        <v>350</v>
      </c>
      <c r="O36" s="221">
        <f t="shared" si="9"/>
        <v>2.9933244325767689</v>
      </c>
      <c r="P36" s="177">
        <f t="shared" si="10"/>
        <v>1.9692923898531374</v>
      </c>
      <c r="Q36" s="177">
        <f t="shared" si="11"/>
        <v>2.0631558589022121</v>
      </c>
      <c r="R36" s="177">
        <f t="shared" si="12"/>
        <v>0.53947368421052622</v>
      </c>
    </row>
    <row r="37" spans="3:18" x14ac:dyDescent="0.2">
      <c r="C37" s="174">
        <v>31</v>
      </c>
      <c r="D37" s="5">
        <f t="shared" si="13"/>
        <v>23.62</v>
      </c>
      <c r="E37" s="451">
        <f t="shared" si="0"/>
        <v>10.64</v>
      </c>
      <c r="F37" s="221">
        <f t="shared" si="1"/>
        <v>0.31056625802685345</v>
      </c>
      <c r="G37" s="176">
        <f t="shared" si="2"/>
        <v>13.534135901926444</v>
      </c>
      <c r="H37" s="221">
        <f t="shared" si="3"/>
        <v>2.7068271803852886</v>
      </c>
      <c r="I37" s="451">
        <f t="shared" si="4"/>
        <v>34.260000000000005</v>
      </c>
      <c r="J37" s="176">
        <f t="shared" si="5"/>
        <v>1.35</v>
      </c>
      <c r="K37" s="176">
        <f t="shared" si="6"/>
        <v>0.40008467400508047</v>
      </c>
      <c r="L37" s="176">
        <f t="shared" si="7"/>
        <v>0.88815789473684215</v>
      </c>
      <c r="M37" s="451">
        <f t="shared" si="14"/>
        <v>350</v>
      </c>
      <c r="N37" s="201">
        <f t="shared" si="8"/>
        <v>350</v>
      </c>
      <c r="O37" s="221">
        <f t="shared" si="9"/>
        <v>2.9941122508548075</v>
      </c>
      <c r="P37" s="177">
        <f t="shared" si="10"/>
        <v>1.9698106913518469</v>
      </c>
      <c r="Q37" s="177">
        <f t="shared" si="11"/>
        <v>2.0642420129944701</v>
      </c>
      <c r="R37" s="177">
        <f t="shared" si="12"/>
        <v>0.53947368421052622</v>
      </c>
    </row>
    <row r="38" spans="3:18" x14ac:dyDescent="0.2">
      <c r="C38" s="174">
        <v>32</v>
      </c>
      <c r="D38" s="5">
        <f t="shared" si="13"/>
        <v>23.64</v>
      </c>
      <c r="E38" s="451">
        <f t="shared" ref="E38:E69" si="15">(Vout+Vfwd1)*Nps</f>
        <v>10.64</v>
      </c>
      <c r="F38" s="221">
        <f t="shared" ref="F38:F69" si="16">(Vout+Vfwd1)*Nps/((Vout+Vfwd1)*Nps+D38)</f>
        <v>0.31038506417736289</v>
      </c>
      <c r="G38" s="176">
        <f t="shared" ref="G38:G69" si="17">F38*D38*Isw_max*0.5*Efficiency</f>
        <v>13.537692882147024</v>
      </c>
      <c r="H38" s="221">
        <f t="shared" ref="H38:H69" si="18">G38/Vout</f>
        <v>2.7075385764294047</v>
      </c>
      <c r="I38" s="451">
        <f t="shared" ref="I38:I69" si="19">(Vout+Vfwd1)*Nps+D38</f>
        <v>34.28</v>
      </c>
      <c r="J38" s="176">
        <f t="shared" ref="J38:J69" si="20">MIN(2*Vout*Iout/(Efficiency*D38*F38), 1.35)</f>
        <v>1.35</v>
      </c>
      <c r="K38" s="176">
        <f t="shared" ref="K38:K69" si="21">L*J38/D38*1000000</f>
        <v>0.39974619289340102</v>
      </c>
      <c r="L38" s="176">
        <f t="shared" ref="L38:L69" si="22">L*J38/((Vout+Vfwd1)*Nps)*1000000</f>
        <v>0.88815789473684215</v>
      </c>
      <c r="M38" s="451">
        <f t="shared" si="14"/>
        <v>350</v>
      </c>
      <c r="N38" s="201">
        <f t="shared" ref="N38:N69" si="23">IF(1/((350000*L)*(1/D38+1/E38))&gt;Isw_min, 350, 0.001/((Isw_min*L)*(1/D38+1/E38)))</f>
        <v>350</v>
      </c>
      <c r="O38" s="221">
        <f t="shared" ref="O38:O69" si="24">1/((N38*1000*L)*(1/D38+1/E38))</f>
        <v>2.9948991498583095</v>
      </c>
      <c r="P38" s="177">
        <f t="shared" ref="P38:P69" si="25">L*O38/E38*1000000</f>
        <v>1.9703283880646774</v>
      </c>
      <c r="Q38" s="177">
        <f t="shared" ref="Q38:Q69" si="26">0.5*P38*O38*Nps*N38/1000</f>
        <v>2.0653271850248083</v>
      </c>
      <c r="R38" s="177">
        <f t="shared" ref="R38:R69" si="27">L*Isw_min/E38*1000000</f>
        <v>0.53947368421052622</v>
      </c>
    </row>
    <row r="39" spans="3:18" x14ac:dyDescent="0.2">
      <c r="C39" s="174">
        <v>33</v>
      </c>
      <c r="D39" s="5">
        <f t="shared" ref="D39:D70" si="28">C39/100*(VIN_max-VIN_min)+VIN_min</f>
        <v>23.66</v>
      </c>
      <c r="E39" s="451">
        <f t="shared" si="15"/>
        <v>10.64</v>
      </c>
      <c r="F39" s="221">
        <f t="shared" si="16"/>
        <v>0.31020408163265312</v>
      </c>
      <c r="G39" s="176">
        <f t="shared" si="17"/>
        <v>13.541245714285715</v>
      </c>
      <c r="H39" s="221">
        <f t="shared" si="18"/>
        <v>2.7082491428571429</v>
      </c>
      <c r="I39" s="451">
        <f t="shared" si="19"/>
        <v>34.299999999999997</v>
      </c>
      <c r="J39" s="176">
        <f t="shared" si="20"/>
        <v>1.35</v>
      </c>
      <c r="K39" s="176">
        <f t="shared" si="21"/>
        <v>0.39940828402366868</v>
      </c>
      <c r="L39" s="176">
        <f t="shared" si="22"/>
        <v>0.88815789473684215</v>
      </c>
      <c r="M39" s="451">
        <f t="shared" si="14"/>
        <v>350</v>
      </c>
      <c r="N39" s="201">
        <f t="shared" si="23"/>
        <v>350</v>
      </c>
      <c r="O39" s="221">
        <f t="shared" si="24"/>
        <v>2.995685131195335</v>
      </c>
      <c r="P39" s="177">
        <f t="shared" si="25"/>
        <v>1.9708454810495624</v>
      </c>
      <c r="Q39" s="177">
        <f t="shared" si="26"/>
        <v>2.066411376212292</v>
      </c>
      <c r="R39" s="177">
        <f t="shared" si="27"/>
        <v>0.53947368421052622</v>
      </c>
    </row>
    <row r="40" spans="3:18" x14ac:dyDescent="0.2">
      <c r="C40" s="174">
        <v>34</v>
      </c>
      <c r="D40" s="5">
        <f t="shared" si="28"/>
        <v>23.68</v>
      </c>
      <c r="E40" s="451">
        <f t="shared" si="15"/>
        <v>10.64</v>
      </c>
      <c r="F40" s="221">
        <f t="shared" si="16"/>
        <v>0.31002331002331002</v>
      </c>
      <c r="G40" s="176">
        <f t="shared" si="17"/>
        <v>13.544794405594406</v>
      </c>
      <c r="H40" s="221">
        <f t="shared" si="18"/>
        <v>2.7089588811188809</v>
      </c>
      <c r="I40" s="451">
        <f t="shared" si="19"/>
        <v>34.32</v>
      </c>
      <c r="J40" s="176">
        <f t="shared" si="20"/>
        <v>1.35</v>
      </c>
      <c r="K40" s="176">
        <f t="shared" si="21"/>
        <v>0.399070945945946</v>
      </c>
      <c r="L40" s="176">
        <f t="shared" si="22"/>
        <v>0.88815789473684215</v>
      </c>
      <c r="M40" s="451">
        <f t="shared" si="14"/>
        <v>350</v>
      </c>
      <c r="N40" s="201">
        <f t="shared" si="23"/>
        <v>350</v>
      </c>
      <c r="O40" s="221">
        <f t="shared" si="24"/>
        <v>2.9964701964701961</v>
      </c>
      <c r="P40" s="177">
        <f t="shared" si="25"/>
        <v>1.9713619713619712</v>
      </c>
      <c r="Q40" s="177">
        <f t="shared" si="26"/>
        <v>2.0674945877743074</v>
      </c>
      <c r="R40" s="177">
        <f t="shared" si="27"/>
        <v>0.53947368421052622</v>
      </c>
    </row>
    <row r="41" spans="3:18" x14ac:dyDescent="0.2">
      <c r="C41" s="174">
        <v>35</v>
      </c>
      <c r="D41" s="5">
        <f t="shared" si="28"/>
        <v>23.7</v>
      </c>
      <c r="E41" s="451">
        <f t="shared" si="15"/>
        <v>10.64</v>
      </c>
      <c r="F41" s="221">
        <f t="shared" si="16"/>
        <v>0.3098427489807804</v>
      </c>
      <c r="G41" s="176">
        <f t="shared" si="17"/>
        <v>13.548338963308092</v>
      </c>
      <c r="H41" s="221">
        <f t="shared" si="18"/>
        <v>2.7096677926616186</v>
      </c>
      <c r="I41" s="451">
        <f t="shared" si="19"/>
        <v>34.340000000000003</v>
      </c>
      <c r="J41" s="176">
        <f t="shared" si="20"/>
        <v>1.35</v>
      </c>
      <c r="K41" s="176">
        <f t="shared" si="21"/>
        <v>0.39873417721518994</v>
      </c>
      <c r="L41" s="176">
        <f t="shared" si="22"/>
        <v>0.88815789473684215</v>
      </c>
      <c r="M41" s="451">
        <f t="shared" si="14"/>
        <v>350</v>
      </c>
      <c r="N41" s="201">
        <f t="shared" si="23"/>
        <v>350</v>
      </c>
      <c r="O41" s="221">
        <f t="shared" si="24"/>
        <v>2.9972543472834672</v>
      </c>
      <c r="P41" s="177">
        <f t="shared" si="25"/>
        <v>1.9718778600549125</v>
      </c>
      <c r="Q41" s="177">
        <f t="shared" si="26"/>
        <v>2.0685768209265625</v>
      </c>
      <c r="R41" s="177">
        <f t="shared" si="27"/>
        <v>0.53947368421052622</v>
      </c>
    </row>
    <row r="42" spans="3:18" x14ac:dyDescent="0.2">
      <c r="C42" s="174">
        <v>36</v>
      </c>
      <c r="D42" s="5">
        <f t="shared" si="28"/>
        <v>23.72</v>
      </c>
      <c r="E42" s="451">
        <f t="shared" si="15"/>
        <v>10.64</v>
      </c>
      <c r="F42" s="221">
        <f t="shared" si="16"/>
        <v>0.30966239813736907</v>
      </c>
      <c r="G42" s="176">
        <f t="shared" si="17"/>
        <v>13.551879394644937</v>
      </c>
      <c r="H42" s="221">
        <f t="shared" si="18"/>
        <v>2.7103758789289873</v>
      </c>
      <c r="I42" s="451">
        <f t="shared" si="19"/>
        <v>34.36</v>
      </c>
      <c r="J42" s="176">
        <f t="shared" si="20"/>
        <v>1.35</v>
      </c>
      <c r="K42" s="176">
        <f t="shared" si="21"/>
        <v>0.39839797639123109</v>
      </c>
      <c r="L42" s="176">
        <f t="shared" si="22"/>
        <v>0.88815789473684215</v>
      </c>
      <c r="M42" s="451">
        <f t="shared" si="14"/>
        <v>350</v>
      </c>
      <c r="N42" s="201">
        <f t="shared" si="23"/>
        <v>350</v>
      </c>
      <c r="O42" s="221">
        <f t="shared" si="24"/>
        <v>2.9980375852319971</v>
      </c>
      <c r="P42" s="177">
        <f t="shared" si="25"/>
        <v>1.9723931481789456</v>
      </c>
      <c r="Q42" s="177">
        <f t="shared" si="26"/>
        <v>2.0696580768830901</v>
      </c>
      <c r="R42" s="177">
        <f t="shared" si="27"/>
        <v>0.53947368421052622</v>
      </c>
    </row>
    <row r="43" spans="3:18" x14ac:dyDescent="0.2">
      <c r="C43" s="174">
        <v>37</v>
      </c>
      <c r="D43" s="5">
        <f t="shared" si="28"/>
        <v>23.74</v>
      </c>
      <c r="E43" s="451">
        <f t="shared" si="15"/>
        <v>10.64</v>
      </c>
      <c r="F43" s="221">
        <f t="shared" si="16"/>
        <v>0.30948225712623623</v>
      </c>
      <c r="G43" s="176">
        <f t="shared" si="17"/>
        <v>13.555415706806283</v>
      </c>
      <c r="H43" s="221">
        <f t="shared" si="18"/>
        <v>2.7110831413612564</v>
      </c>
      <c r="I43" s="451">
        <f t="shared" si="19"/>
        <v>34.379999999999995</v>
      </c>
      <c r="J43" s="176">
        <f t="shared" si="20"/>
        <v>1.35</v>
      </c>
      <c r="K43" s="176">
        <f t="shared" si="21"/>
        <v>0.39806234203875324</v>
      </c>
      <c r="L43" s="176">
        <f t="shared" si="22"/>
        <v>0.88815789473684215</v>
      </c>
      <c r="M43" s="451">
        <f t="shared" si="14"/>
        <v>350</v>
      </c>
      <c r="N43" s="201">
        <f t="shared" si="23"/>
        <v>350</v>
      </c>
      <c r="O43" s="221">
        <f t="shared" si="24"/>
        <v>2.9988199119089174</v>
      </c>
      <c r="P43" s="177">
        <f t="shared" si="25"/>
        <v>1.9729078367821822</v>
      </c>
      <c r="Q43" s="177">
        <f t="shared" si="26"/>
        <v>2.0707383568562445</v>
      </c>
      <c r="R43" s="177">
        <f t="shared" si="27"/>
        <v>0.53947368421052622</v>
      </c>
    </row>
    <row r="44" spans="3:18" x14ac:dyDescent="0.2">
      <c r="C44" s="174">
        <v>38</v>
      </c>
      <c r="D44" s="5">
        <f t="shared" si="28"/>
        <v>23.76</v>
      </c>
      <c r="E44" s="451">
        <f t="shared" si="15"/>
        <v>10.64</v>
      </c>
      <c r="F44" s="221">
        <f t="shared" si="16"/>
        <v>0.30930232558139531</v>
      </c>
      <c r="G44" s="176">
        <f t="shared" si="17"/>
        <v>13.558947906976742</v>
      </c>
      <c r="H44" s="221">
        <f t="shared" si="18"/>
        <v>2.7117895813953483</v>
      </c>
      <c r="I44" s="451">
        <f t="shared" si="19"/>
        <v>34.400000000000006</v>
      </c>
      <c r="J44" s="176">
        <f t="shared" si="20"/>
        <v>1.35</v>
      </c>
      <c r="K44" s="176">
        <f t="shared" si="21"/>
        <v>0.39772727272727276</v>
      </c>
      <c r="L44" s="176">
        <f t="shared" si="22"/>
        <v>0.88815789473684215</v>
      </c>
      <c r="M44" s="451">
        <f t="shared" si="14"/>
        <v>350</v>
      </c>
      <c r="N44" s="201">
        <f t="shared" si="23"/>
        <v>350</v>
      </c>
      <c r="O44" s="221">
        <f t="shared" si="24"/>
        <v>2.9996013289036543</v>
      </c>
      <c r="P44" s="177">
        <f t="shared" si="25"/>
        <v>1.9734219269102988</v>
      </c>
      <c r="Q44" s="177">
        <f t="shared" si="26"/>
        <v>2.0718176620567097</v>
      </c>
      <c r="R44" s="177">
        <f t="shared" si="27"/>
        <v>0.53947368421052622</v>
      </c>
    </row>
    <row r="45" spans="3:18" x14ac:dyDescent="0.2">
      <c r="C45" s="174">
        <v>39</v>
      </c>
      <c r="D45" s="5">
        <f t="shared" si="28"/>
        <v>23.78</v>
      </c>
      <c r="E45" s="451">
        <f t="shared" si="15"/>
        <v>10.64</v>
      </c>
      <c r="F45" s="221">
        <f t="shared" si="16"/>
        <v>0.30912260313771062</v>
      </c>
      <c r="G45" s="176">
        <f t="shared" si="17"/>
        <v>13.56247600232423</v>
      </c>
      <c r="H45" s="221">
        <f t="shared" si="18"/>
        <v>2.7124952004648462</v>
      </c>
      <c r="I45" s="451">
        <f t="shared" si="19"/>
        <v>34.42</v>
      </c>
      <c r="J45" s="176">
        <f t="shared" si="20"/>
        <v>1.35</v>
      </c>
      <c r="K45" s="176">
        <f t="shared" si="21"/>
        <v>0.39739276703111864</v>
      </c>
      <c r="L45" s="176">
        <f t="shared" si="22"/>
        <v>0.88815789473684215</v>
      </c>
      <c r="M45" s="451">
        <f t="shared" si="14"/>
        <v>350</v>
      </c>
      <c r="N45" s="201">
        <f t="shared" si="23"/>
        <v>350</v>
      </c>
      <c r="O45" s="221">
        <f t="shared" si="24"/>
        <v>3.0003818378019425</v>
      </c>
      <c r="P45" s="177">
        <f t="shared" si="25"/>
        <v>1.9739354196065408</v>
      </c>
      <c r="Q45" s="177">
        <f t="shared" si="26"/>
        <v>2.0728959936934976</v>
      </c>
      <c r="R45" s="177">
        <f t="shared" si="27"/>
        <v>0.53947368421052622</v>
      </c>
    </row>
    <row r="46" spans="3:18" x14ac:dyDescent="0.2">
      <c r="C46" s="174">
        <v>40</v>
      </c>
      <c r="D46" s="5">
        <f t="shared" si="28"/>
        <v>23.8</v>
      </c>
      <c r="E46" s="451">
        <f t="shared" si="15"/>
        <v>10.64</v>
      </c>
      <c r="F46" s="221">
        <f t="shared" si="16"/>
        <v>0.30894308943089432</v>
      </c>
      <c r="G46" s="176">
        <f t="shared" si="17"/>
        <v>13.566000000000001</v>
      </c>
      <c r="H46" s="221">
        <f t="shared" si="18"/>
        <v>2.7132000000000001</v>
      </c>
      <c r="I46" s="451">
        <f t="shared" si="19"/>
        <v>34.44</v>
      </c>
      <c r="J46" s="176">
        <f t="shared" si="20"/>
        <v>1.35</v>
      </c>
      <c r="K46" s="176">
        <f t="shared" si="21"/>
        <v>0.3970588235294118</v>
      </c>
      <c r="L46" s="176">
        <f t="shared" si="22"/>
        <v>0.88815789473684215</v>
      </c>
      <c r="M46" s="451">
        <f t="shared" si="14"/>
        <v>350</v>
      </c>
      <c r="N46" s="201">
        <f t="shared" si="23"/>
        <v>350</v>
      </c>
      <c r="O46" s="221">
        <f t="shared" si="24"/>
        <v>3.0011614401858306</v>
      </c>
      <c r="P46" s="177">
        <f t="shared" si="25"/>
        <v>1.9744483159117303</v>
      </c>
      <c r="Q46" s="177">
        <f t="shared" si="26"/>
        <v>2.0739733529739479</v>
      </c>
      <c r="R46" s="177">
        <f t="shared" si="27"/>
        <v>0.53947368421052622</v>
      </c>
    </row>
    <row r="47" spans="3:18" x14ac:dyDescent="0.2">
      <c r="C47" s="174">
        <v>41</v>
      </c>
      <c r="D47" s="5">
        <f t="shared" si="28"/>
        <v>23.82</v>
      </c>
      <c r="E47" s="451">
        <f t="shared" si="15"/>
        <v>10.64</v>
      </c>
      <c r="F47" s="221">
        <f t="shared" si="16"/>
        <v>0.30876378409750438</v>
      </c>
      <c r="G47" s="176">
        <f t="shared" si="17"/>
        <v>13.569519907138712</v>
      </c>
      <c r="H47" s="221">
        <f t="shared" si="18"/>
        <v>2.7139039814277424</v>
      </c>
      <c r="I47" s="451">
        <f t="shared" si="19"/>
        <v>34.46</v>
      </c>
      <c r="J47" s="176">
        <f t="shared" si="20"/>
        <v>1.35</v>
      </c>
      <c r="K47" s="176">
        <f t="shared" si="21"/>
        <v>0.39672544080604538</v>
      </c>
      <c r="L47" s="176">
        <f t="shared" si="22"/>
        <v>0.88815789473684215</v>
      </c>
      <c r="M47" s="451">
        <f t="shared" si="14"/>
        <v>350</v>
      </c>
      <c r="N47" s="201">
        <f t="shared" si="23"/>
        <v>350</v>
      </c>
      <c r="O47" s="221">
        <f t="shared" si="24"/>
        <v>3.0019401376336949</v>
      </c>
      <c r="P47" s="177">
        <f t="shared" si="25"/>
        <v>1.974960616864273</v>
      </c>
      <c r="Q47" s="177">
        <f t="shared" si="26"/>
        <v>2.0750497411037316</v>
      </c>
      <c r="R47" s="177">
        <f t="shared" si="27"/>
        <v>0.53947368421052622</v>
      </c>
    </row>
    <row r="48" spans="3:18" x14ac:dyDescent="0.2">
      <c r="C48" s="174">
        <v>42</v>
      </c>
      <c r="D48" s="5">
        <f t="shared" si="28"/>
        <v>23.84</v>
      </c>
      <c r="E48" s="451">
        <f t="shared" si="15"/>
        <v>10.64</v>
      </c>
      <c r="F48" s="221">
        <f t="shared" si="16"/>
        <v>0.308584686774942</v>
      </c>
      <c r="G48" s="176">
        <f t="shared" si="17"/>
        <v>13.573035730858468</v>
      </c>
      <c r="H48" s="221">
        <f t="shared" si="18"/>
        <v>2.7146071461716934</v>
      </c>
      <c r="I48" s="451">
        <f t="shared" si="19"/>
        <v>34.480000000000004</v>
      </c>
      <c r="J48" s="176">
        <f t="shared" si="20"/>
        <v>1.35</v>
      </c>
      <c r="K48" s="176">
        <f t="shared" si="21"/>
        <v>0.39639261744966447</v>
      </c>
      <c r="L48" s="176">
        <f t="shared" si="22"/>
        <v>0.88815789473684215</v>
      </c>
      <c r="M48" s="451">
        <f t="shared" si="14"/>
        <v>350</v>
      </c>
      <c r="N48" s="201">
        <f t="shared" si="23"/>
        <v>350</v>
      </c>
      <c r="O48" s="221">
        <f t="shared" si="24"/>
        <v>3.0027179317202521</v>
      </c>
      <c r="P48" s="177">
        <f t="shared" si="25"/>
        <v>1.9754723235001659</v>
      </c>
      <c r="Q48" s="177">
        <f t="shared" si="26"/>
        <v>2.0761251592868568</v>
      </c>
      <c r="R48" s="177">
        <f t="shared" si="27"/>
        <v>0.53947368421052622</v>
      </c>
    </row>
    <row r="49" spans="3:18" x14ac:dyDescent="0.2">
      <c r="C49" s="174">
        <v>43</v>
      </c>
      <c r="D49" s="5">
        <f t="shared" si="28"/>
        <v>23.86</v>
      </c>
      <c r="E49" s="451">
        <f t="shared" si="15"/>
        <v>10.64</v>
      </c>
      <c r="F49" s="221">
        <f t="shared" si="16"/>
        <v>0.30840579710144927</v>
      </c>
      <c r="G49" s="176">
        <f t="shared" si="17"/>
        <v>13.576547478260869</v>
      </c>
      <c r="H49" s="221">
        <f t="shared" si="18"/>
        <v>2.7153094956521739</v>
      </c>
      <c r="I49" s="451">
        <f t="shared" si="19"/>
        <v>34.5</v>
      </c>
      <c r="J49" s="176">
        <f t="shared" si="20"/>
        <v>1.35</v>
      </c>
      <c r="K49" s="176">
        <f t="shared" si="21"/>
        <v>0.39606035205364631</v>
      </c>
      <c r="L49" s="176">
        <f t="shared" si="22"/>
        <v>0.88815789473684215</v>
      </c>
      <c r="M49" s="451">
        <f t="shared" si="14"/>
        <v>350</v>
      </c>
      <c r="N49" s="201">
        <f t="shared" si="23"/>
        <v>350</v>
      </c>
      <c r="O49" s="221">
        <f t="shared" si="24"/>
        <v>3.0034948240165629</v>
      </c>
      <c r="P49" s="177">
        <f t="shared" si="25"/>
        <v>1.9759834368530014</v>
      </c>
      <c r="Q49" s="177">
        <f t="shared" si="26"/>
        <v>2.0771996087256572</v>
      </c>
      <c r="R49" s="177">
        <f t="shared" si="27"/>
        <v>0.53947368421052622</v>
      </c>
    </row>
    <row r="50" spans="3:18" x14ac:dyDescent="0.2">
      <c r="C50" s="174">
        <v>44</v>
      </c>
      <c r="D50" s="5">
        <f t="shared" si="28"/>
        <v>23.88</v>
      </c>
      <c r="E50" s="451">
        <f t="shared" si="15"/>
        <v>10.64</v>
      </c>
      <c r="F50" s="221">
        <f t="shared" si="16"/>
        <v>0.30822711471610664</v>
      </c>
      <c r="G50" s="176">
        <f t="shared" si="17"/>
        <v>13.580055156431055</v>
      </c>
      <c r="H50" s="221">
        <f t="shared" si="18"/>
        <v>2.7160110312862109</v>
      </c>
      <c r="I50" s="451">
        <f t="shared" si="19"/>
        <v>34.519999999999996</v>
      </c>
      <c r="J50" s="176">
        <f t="shared" si="20"/>
        <v>1.35</v>
      </c>
      <c r="K50" s="176">
        <f t="shared" si="21"/>
        <v>0.39572864321608042</v>
      </c>
      <c r="L50" s="176">
        <f t="shared" si="22"/>
        <v>0.88815789473684215</v>
      </c>
      <c r="M50" s="451">
        <f t="shared" si="14"/>
        <v>350</v>
      </c>
      <c r="N50" s="201">
        <f t="shared" si="23"/>
        <v>350</v>
      </c>
      <c r="O50" s="221">
        <f t="shared" si="24"/>
        <v>3.0042708160900515</v>
      </c>
      <c r="P50" s="177">
        <f t="shared" si="25"/>
        <v>1.9764939579539811</v>
      </c>
      <c r="Q50" s="177">
        <f t="shared" si="26"/>
        <v>2.078273090620812</v>
      </c>
      <c r="R50" s="177">
        <f t="shared" si="27"/>
        <v>0.53947368421052622</v>
      </c>
    </row>
    <row r="51" spans="3:18" x14ac:dyDescent="0.2">
      <c r="C51" s="174">
        <v>45</v>
      </c>
      <c r="D51" s="5">
        <f t="shared" si="28"/>
        <v>23.9</v>
      </c>
      <c r="E51" s="451">
        <f t="shared" si="15"/>
        <v>10.64</v>
      </c>
      <c r="F51" s="221">
        <f t="shared" si="16"/>
        <v>0.30804863925883036</v>
      </c>
      <c r="G51" s="176">
        <f t="shared" si="17"/>
        <v>13.583558772437753</v>
      </c>
      <c r="H51" s="221">
        <f t="shared" si="18"/>
        <v>2.7167117544875508</v>
      </c>
      <c r="I51" s="451">
        <f t="shared" si="19"/>
        <v>34.54</v>
      </c>
      <c r="J51" s="176">
        <f t="shared" si="20"/>
        <v>1.35</v>
      </c>
      <c r="K51" s="176">
        <f t="shared" si="21"/>
        <v>0.39539748953974901</v>
      </c>
      <c r="L51" s="176">
        <f t="shared" si="22"/>
        <v>0.88815789473684215</v>
      </c>
      <c r="M51" s="451">
        <f t="shared" si="14"/>
        <v>350</v>
      </c>
      <c r="N51" s="201">
        <f t="shared" si="23"/>
        <v>350</v>
      </c>
      <c r="O51" s="221">
        <f t="shared" si="24"/>
        <v>3.0050459095045081</v>
      </c>
      <c r="P51" s="177">
        <f t="shared" si="25"/>
        <v>1.9770038878319132</v>
      </c>
      <c r="Q51" s="177">
        <f t="shared" si="26"/>
        <v>2.07934560617133</v>
      </c>
      <c r="R51" s="177">
        <f t="shared" si="27"/>
        <v>0.53947368421052622</v>
      </c>
    </row>
    <row r="52" spans="3:18" x14ac:dyDescent="0.2">
      <c r="C52" s="174">
        <v>46</v>
      </c>
      <c r="D52" s="5">
        <f t="shared" si="28"/>
        <v>23.92</v>
      </c>
      <c r="E52" s="451">
        <f t="shared" si="15"/>
        <v>10.64</v>
      </c>
      <c r="F52" s="221">
        <f t="shared" si="16"/>
        <v>0.30787037037037035</v>
      </c>
      <c r="G52" s="176">
        <f t="shared" si="17"/>
        <v>13.587058333333333</v>
      </c>
      <c r="H52" s="221">
        <f t="shared" si="18"/>
        <v>2.7174116666666666</v>
      </c>
      <c r="I52" s="451">
        <f t="shared" si="19"/>
        <v>34.56</v>
      </c>
      <c r="J52" s="176">
        <f t="shared" si="20"/>
        <v>1.35</v>
      </c>
      <c r="K52" s="176">
        <f t="shared" si="21"/>
        <v>0.39506688963210701</v>
      </c>
      <c r="L52" s="176">
        <f t="shared" si="22"/>
        <v>0.88815789473684215</v>
      </c>
      <c r="M52" s="451">
        <f t="shared" si="14"/>
        <v>350</v>
      </c>
      <c r="N52" s="201">
        <f t="shared" si="23"/>
        <v>350</v>
      </c>
      <c r="O52" s="221">
        <f t="shared" si="24"/>
        <v>3.0058201058201059</v>
      </c>
      <c r="P52" s="177">
        <f t="shared" si="25"/>
        <v>1.9775132275132274</v>
      </c>
      <c r="Q52" s="177">
        <f t="shared" si="26"/>
        <v>2.0804171565745642</v>
      </c>
      <c r="R52" s="177">
        <f t="shared" si="27"/>
        <v>0.53947368421052622</v>
      </c>
    </row>
    <row r="53" spans="3:18" x14ac:dyDescent="0.2">
      <c r="C53" s="174">
        <v>47</v>
      </c>
      <c r="D53" s="5">
        <f t="shared" si="28"/>
        <v>23.94</v>
      </c>
      <c r="E53" s="451">
        <f t="shared" si="15"/>
        <v>10.64</v>
      </c>
      <c r="F53" s="221">
        <f t="shared" si="16"/>
        <v>0.30769230769230771</v>
      </c>
      <c r="G53" s="176">
        <f t="shared" si="17"/>
        <v>13.590553846153847</v>
      </c>
      <c r="H53" s="221">
        <f t="shared" si="18"/>
        <v>2.7181107692307696</v>
      </c>
      <c r="I53" s="451">
        <f t="shared" si="19"/>
        <v>34.58</v>
      </c>
      <c r="J53" s="176">
        <f t="shared" si="20"/>
        <v>1.35</v>
      </c>
      <c r="K53" s="176">
        <f t="shared" si="21"/>
        <v>0.39473684210526322</v>
      </c>
      <c r="L53" s="176">
        <f t="shared" si="22"/>
        <v>0.88815789473684215</v>
      </c>
      <c r="M53" s="451">
        <f t="shared" si="14"/>
        <v>350</v>
      </c>
      <c r="N53" s="201">
        <f t="shared" si="23"/>
        <v>350</v>
      </c>
      <c r="O53" s="221">
        <f t="shared" si="24"/>
        <v>3.0065934065934066</v>
      </c>
      <c r="P53" s="177">
        <f t="shared" si="25"/>
        <v>1.9780219780219779</v>
      </c>
      <c r="Q53" s="177">
        <f t="shared" si="26"/>
        <v>2.0814877430262047</v>
      </c>
      <c r="R53" s="177">
        <f t="shared" si="27"/>
        <v>0.53947368421052622</v>
      </c>
    </row>
    <row r="54" spans="3:18" x14ac:dyDescent="0.2">
      <c r="C54" s="174">
        <v>48</v>
      </c>
      <c r="D54" s="5">
        <f t="shared" si="28"/>
        <v>23.96</v>
      </c>
      <c r="E54" s="451">
        <f t="shared" si="15"/>
        <v>10.64</v>
      </c>
      <c r="F54" s="221">
        <f t="shared" si="16"/>
        <v>0.30751445086705204</v>
      </c>
      <c r="G54" s="176">
        <f t="shared" si="17"/>
        <v>13.594045317919075</v>
      </c>
      <c r="H54" s="221">
        <f t="shared" si="18"/>
        <v>2.7188090635838149</v>
      </c>
      <c r="I54" s="451">
        <f t="shared" si="19"/>
        <v>34.6</v>
      </c>
      <c r="J54" s="176">
        <f t="shared" si="20"/>
        <v>1.35</v>
      </c>
      <c r="K54" s="176">
        <f t="shared" si="21"/>
        <v>0.39440734557595997</v>
      </c>
      <c r="L54" s="176">
        <f t="shared" si="22"/>
        <v>0.88815789473684215</v>
      </c>
      <c r="M54" s="451">
        <f t="shared" si="14"/>
        <v>350</v>
      </c>
      <c r="N54" s="201">
        <f t="shared" si="23"/>
        <v>350</v>
      </c>
      <c r="O54" s="221">
        <f t="shared" si="24"/>
        <v>3.007365813377374</v>
      </c>
      <c r="P54" s="177">
        <f t="shared" si="25"/>
        <v>1.978530140379851</v>
      </c>
      <c r="Q54" s="177">
        <f t="shared" si="26"/>
        <v>2.0825573667202852</v>
      </c>
      <c r="R54" s="177">
        <f t="shared" si="27"/>
        <v>0.53947368421052622</v>
      </c>
    </row>
    <row r="55" spans="3:18" x14ac:dyDescent="0.2">
      <c r="C55" s="174">
        <v>49</v>
      </c>
      <c r="D55" s="5">
        <f t="shared" si="28"/>
        <v>23.98</v>
      </c>
      <c r="E55" s="451">
        <f t="shared" si="15"/>
        <v>10.64</v>
      </c>
      <c r="F55" s="221">
        <f t="shared" si="16"/>
        <v>0.30733679953783938</v>
      </c>
      <c r="G55" s="176">
        <f t="shared" si="17"/>
        <v>13.59753275563258</v>
      </c>
      <c r="H55" s="221">
        <f t="shared" si="18"/>
        <v>2.719506551126516</v>
      </c>
      <c r="I55" s="451">
        <f t="shared" si="19"/>
        <v>34.620000000000005</v>
      </c>
      <c r="J55" s="176">
        <f t="shared" si="20"/>
        <v>1.35</v>
      </c>
      <c r="K55" s="176">
        <f t="shared" si="21"/>
        <v>0.39407839866555466</v>
      </c>
      <c r="L55" s="176">
        <f t="shared" si="22"/>
        <v>0.88815789473684215</v>
      </c>
      <c r="M55" s="451">
        <f t="shared" si="14"/>
        <v>350</v>
      </c>
      <c r="N55" s="201">
        <f t="shared" si="23"/>
        <v>350</v>
      </c>
      <c r="O55" s="221">
        <f t="shared" si="24"/>
        <v>3.0081373277213834</v>
      </c>
      <c r="P55" s="177">
        <f t="shared" si="25"/>
        <v>1.9790377156061734</v>
      </c>
      <c r="Q55" s="177">
        <f t="shared" si="26"/>
        <v>2.083626028849185</v>
      </c>
      <c r="R55" s="177">
        <f t="shared" si="27"/>
        <v>0.53947368421052622</v>
      </c>
    </row>
    <row r="56" spans="3:18" x14ac:dyDescent="0.2">
      <c r="C56" s="174">
        <v>50</v>
      </c>
      <c r="D56" s="5">
        <f t="shared" si="28"/>
        <v>24</v>
      </c>
      <c r="E56" s="451">
        <f t="shared" si="15"/>
        <v>10.64</v>
      </c>
      <c r="F56" s="221">
        <f t="shared" si="16"/>
        <v>0.30715935334872979</v>
      </c>
      <c r="G56" s="176">
        <f t="shared" si="17"/>
        <v>13.601016166281754</v>
      </c>
      <c r="H56" s="221">
        <f t="shared" si="18"/>
        <v>2.7202032332563508</v>
      </c>
      <c r="I56" s="451">
        <f t="shared" si="19"/>
        <v>34.64</v>
      </c>
      <c r="J56" s="176">
        <f t="shared" si="20"/>
        <v>1.35</v>
      </c>
      <c r="K56" s="176">
        <f t="shared" si="21"/>
        <v>0.39375000000000004</v>
      </c>
      <c r="L56" s="176">
        <f t="shared" si="22"/>
        <v>0.88815789473684215</v>
      </c>
      <c r="M56" s="451">
        <f t="shared" si="14"/>
        <v>350</v>
      </c>
      <c r="N56" s="201">
        <f t="shared" si="23"/>
        <v>350</v>
      </c>
      <c r="O56" s="221">
        <f t="shared" si="24"/>
        <v>3.0089079511712309</v>
      </c>
      <c r="P56" s="177">
        <f t="shared" si="25"/>
        <v>1.9795447047179149</v>
      </c>
      <c r="Q56" s="177">
        <f t="shared" si="26"/>
        <v>2.0846937306036244</v>
      </c>
      <c r="R56" s="177">
        <f t="shared" si="27"/>
        <v>0.53947368421052622</v>
      </c>
    </row>
    <row r="57" spans="3:18" x14ac:dyDescent="0.2">
      <c r="C57" s="174">
        <v>51</v>
      </c>
      <c r="D57" s="5">
        <f t="shared" si="28"/>
        <v>24.02</v>
      </c>
      <c r="E57" s="451">
        <f t="shared" si="15"/>
        <v>10.64</v>
      </c>
      <c r="F57" s="221">
        <f t="shared" si="16"/>
        <v>0.30698211194460479</v>
      </c>
      <c r="G57" s="176">
        <f t="shared" si="17"/>
        <v>13.604495556837856</v>
      </c>
      <c r="H57" s="221">
        <f t="shared" si="18"/>
        <v>2.7208991113675713</v>
      </c>
      <c r="I57" s="451">
        <f t="shared" si="19"/>
        <v>34.659999999999997</v>
      </c>
      <c r="J57" s="176">
        <f t="shared" si="20"/>
        <v>1.35</v>
      </c>
      <c r="K57" s="176">
        <f t="shared" si="21"/>
        <v>0.39342214820982518</v>
      </c>
      <c r="L57" s="176">
        <f t="shared" si="22"/>
        <v>0.88815789473684215</v>
      </c>
      <c r="M57" s="451">
        <f t="shared" si="14"/>
        <v>350</v>
      </c>
      <c r="N57" s="201">
        <f t="shared" si="23"/>
        <v>350</v>
      </c>
      <c r="O57" s="221">
        <f t="shared" si="24"/>
        <v>3.0096776852691445</v>
      </c>
      <c r="P57" s="177">
        <f t="shared" si="25"/>
        <v>1.9800511087297001</v>
      </c>
      <c r="Q57" s="177">
        <f t="shared" si="26"/>
        <v>2.0857604731726722</v>
      </c>
      <c r="R57" s="177">
        <f t="shared" si="27"/>
        <v>0.53947368421052622</v>
      </c>
    </row>
    <row r="58" spans="3:18" x14ac:dyDescent="0.2">
      <c r="C58" s="174">
        <v>52</v>
      </c>
      <c r="D58" s="5">
        <f t="shared" si="28"/>
        <v>24.04</v>
      </c>
      <c r="E58" s="451">
        <f t="shared" si="15"/>
        <v>10.64</v>
      </c>
      <c r="F58" s="221">
        <f t="shared" si="16"/>
        <v>0.30680507497116494</v>
      </c>
      <c r="G58" s="176">
        <f t="shared" si="17"/>
        <v>13.607970934256054</v>
      </c>
      <c r="H58" s="221">
        <f t="shared" si="18"/>
        <v>2.7215941868512106</v>
      </c>
      <c r="I58" s="451">
        <f t="shared" si="19"/>
        <v>34.68</v>
      </c>
      <c r="J58" s="176">
        <f t="shared" si="20"/>
        <v>1.35</v>
      </c>
      <c r="K58" s="176">
        <f t="shared" si="21"/>
        <v>0.39309484193011651</v>
      </c>
      <c r="L58" s="176">
        <f t="shared" si="22"/>
        <v>0.88815789473684215</v>
      </c>
      <c r="M58" s="451">
        <f t="shared" si="14"/>
        <v>350</v>
      </c>
      <c r="N58" s="201">
        <f t="shared" si="23"/>
        <v>350</v>
      </c>
      <c r="O58" s="221">
        <f t="shared" si="24"/>
        <v>3.0104465315537978</v>
      </c>
      <c r="P58" s="177">
        <f t="shared" si="25"/>
        <v>1.9805569286538143</v>
      </c>
      <c r="Q58" s="177">
        <f t="shared" si="26"/>
        <v>2.0868262577437511</v>
      </c>
      <c r="R58" s="177">
        <f t="shared" si="27"/>
        <v>0.53947368421052622</v>
      </c>
    </row>
    <row r="59" spans="3:18" x14ac:dyDescent="0.2">
      <c r="C59" s="174">
        <v>53</v>
      </c>
      <c r="D59" s="5">
        <f t="shared" si="28"/>
        <v>24.06</v>
      </c>
      <c r="E59" s="451">
        <f t="shared" si="15"/>
        <v>10.64</v>
      </c>
      <c r="F59" s="221">
        <f t="shared" si="16"/>
        <v>0.30662824207492795</v>
      </c>
      <c r="G59" s="176">
        <f t="shared" si="17"/>
        <v>13.611442305475503</v>
      </c>
      <c r="H59" s="221">
        <f t="shared" si="18"/>
        <v>2.7222884610951006</v>
      </c>
      <c r="I59" s="451">
        <f t="shared" si="19"/>
        <v>34.700000000000003</v>
      </c>
      <c r="J59" s="176">
        <f t="shared" si="20"/>
        <v>1.35</v>
      </c>
      <c r="K59" s="176">
        <f t="shared" si="21"/>
        <v>0.39276807980049883</v>
      </c>
      <c r="L59" s="176">
        <f t="shared" si="22"/>
        <v>0.88815789473684215</v>
      </c>
      <c r="M59" s="451">
        <f t="shared" si="14"/>
        <v>350</v>
      </c>
      <c r="N59" s="201">
        <f t="shared" si="23"/>
        <v>350</v>
      </c>
      <c r="O59" s="221">
        <f t="shared" si="24"/>
        <v>3.0112144915603127</v>
      </c>
      <c r="P59" s="177">
        <f t="shared" si="25"/>
        <v>1.9810621655002054</v>
      </c>
      <c r="Q59" s="177">
        <f t="shared" si="26"/>
        <v>2.0878910855026258</v>
      </c>
      <c r="R59" s="177">
        <f t="shared" si="27"/>
        <v>0.53947368421052622</v>
      </c>
    </row>
    <row r="60" spans="3:18" x14ac:dyDescent="0.2">
      <c r="C60" s="174">
        <v>54</v>
      </c>
      <c r="D60" s="5">
        <f t="shared" si="28"/>
        <v>24.08</v>
      </c>
      <c r="E60" s="451">
        <f t="shared" si="15"/>
        <v>10.64</v>
      </c>
      <c r="F60" s="221">
        <f t="shared" si="16"/>
        <v>0.30645161290322581</v>
      </c>
      <c r="G60" s="176">
        <f t="shared" si="17"/>
        <v>13.614909677419353</v>
      </c>
      <c r="H60" s="221">
        <f t="shared" si="18"/>
        <v>2.7229819354838707</v>
      </c>
      <c r="I60" s="451">
        <f t="shared" si="19"/>
        <v>34.72</v>
      </c>
      <c r="J60" s="176">
        <f t="shared" si="20"/>
        <v>1.35</v>
      </c>
      <c r="K60" s="176">
        <f t="shared" si="21"/>
        <v>0.39244186046511631</v>
      </c>
      <c r="L60" s="176">
        <f t="shared" si="22"/>
        <v>0.88815789473684215</v>
      </c>
      <c r="M60" s="451">
        <f t="shared" si="14"/>
        <v>350</v>
      </c>
      <c r="N60" s="201">
        <f t="shared" si="23"/>
        <v>350</v>
      </c>
      <c r="O60" s="221">
        <f t="shared" si="24"/>
        <v>3.0119815668202765</v>
      </c>
      <c r="P60" s="177">
        <f t="shared" si="25"/>
        <v>1.9815668202764976</v>
      </c>
      <c r="Q60" s="177">
        <f t="shared" si="26"/>
        <v>2.0889549576334177</v>
      </c>
      <c r="R60" s="177">
        <f t="shared" si="27"/>
        <v>0.53947368421052622</v>
      </c>
    </row>
    <row r="61" spans="3:18" x14ac:dyDescent="0.2">
      <c r="C61" s="174">
        <v>55</v>
      </c>
      <c r="D61" s="5">
        <f t="shared" si="28"/>
        <v>24.1</v>
      </c>
      <c r="E61" s="451">
        <f t="shared" si="15"/>
        <v>10.64</v>
      </c>
      <c r="F61" s="221">
        <f t="shared" si="16"/>
        <v>0.30627518710420265</v>
      </c>
      <c r="G61" s="176">
        <f t="shared" si="17"/>
        <v>13.618373056994818</v>
      </c>
      <c r="H61" s="221">
        <f t="shared" si="18"/>
        <v>2.7236746113989634</v>
      </c>
      <c r="I61" s="451">
        <f t="shared" si="19"/>
        <v>34.74</v>
      </c>
      <c r="J61" s="176">
        <f t="shared" si="20"/>
        <v>1.35</v>
      </c>
      <c r="K61" s="176">
        <f t="shared" si="21"/>
        <v>0.39211618257261416</v>
      </c>
      <c r="L61" s="176">
        <f t="shared" si="22"/>
        <v>0.88815789473684215</v>
      </c>
      <c r="M61" s="451">
        <f t="shared" si="14"/>
        <v>350</v>
      </c>
      <c r="N61" s="201">
        <f t="shared" si="23"/>
        <v>350</v>
      </c>
      <c r="O61" s="221">
        <f t="shared" si="24"/>
        <v>3.0127477588617486</v>
      </c>
      <c r="P61" s="177">
        <f t="shared" si="25"/>
        <v>1.9820708939879925</v>
      </c>
      <c r="Q61" s="177">
        <f t="shared" si="26"/>
        <v>2.0900178753185998</v>
      </c>
      <c r="R61" s="177">
        <f t="shared" si="27"/>
        <v>0.53947368421052622</v>
      </c>
    </row>
    <row r="62" spans="3:18" x14ac:dyDescent="0.2">
      <c r="C62" s="174">
        <v>56</v>
      </c>
      <c r="D62" s="5">
        <f t="shared" si="28"/>
        <v>24.12</v>
      </c>
      <c r="E62" s="451">
        <f t="shared" si="15"/>
        <v>10.64</v>
      </c>
      <c r="F62" s="221">
        <f t="shared" si="16"/>
        <v>0.30609896432681238</v>
      </c>
      <c r="G62" s="176">
        <f t="shared" si="17"/>
        <v>13.621832451093209</v>
      </c>
      <c r="H62" s="221">
        <f t="shared" si="18"/>
        <v>2.7243664902186415</v>
      </c>
      <c r="I62" s="451">
        <f t="shared" si="19"/>
        <v>34.760000000000005</v>
      </c>
      <c r="J62" s="176">
        <f t="shared" si="20"/>
        <v>1.35</v>
      </c>
      <c r="K62" s="176">
        <f t="shared" si="21"/>
        <v>0.39179104477611942</v>
      </c>
      <c r="L62" s="176">
        <f t="shared" si="22"/>
        <v>0.88815789473684215</v>
      </c>
      <c r="M62" s="451">
        <f t="shared" si="14"/>
        <v>350</v>
      </c>
      <c r="N62" s="201">
        <f t="shared" si="23"/>
        <v>350</v>
      </c>
      <c r="O62" s="221">
        <f t="shared" si="24"/>
        <v>3.0135130692092718</v>
      </c>
      <c r="P62" s="177">
        <f t="shared" si="25"/>
        <v>1.9825743876376785</v>
      </c>
      <c r="Q62" s="177">
        <f t="shared" si="26"/>
        <v>2.0910798397389994</v>
      </c>
      <c r="R62" s="177">
        <f t="shared" si="27"/>
        <v>0.53947368421052622</v>
      </c>
    </row>
    <row r="63" spans="3:18" x14ac:dyDescent="0.2">
      <c r="C63" s="174">
        <v>57</v>
      </c>
      <c r="D63" s="5">
        <f t="shared" si="28"/>
        <v>24.14</v>
      </c>
      <c r="E63" s="451">
        <f t="shared" si="15"/>
        <v>10.64</v>
      </c>
      <c r="F63" s="221">
        <f t="shared" si="16"/>
        <v>0.30592294422081656</v>
      </c>
      <c r="G63" s="176">
        <f t="shared" si="17"/>
        <v>13.625287866589995</v>
      </c>
      <c r="H63" s="221">
        <f t="shared" si="18"/>
        <v>2.7250575733179989</v>
      </c>
      <c r="I63" s="451">
        <f t="shared" si="19"/>
        <v>34.78</v>
      </c>
      <c r="J63" s="176">
        <f t="shared" si="20"/>
        <v>1.35</v>
      </c>
      <c r="K63" s="176">
        <f t="shared" si="21"/>
        <v>0.39146644573322292</v>
      </c>
      <c r="L63" s="176">
        <f t="shared" si="22"/>
        <v>0.88815789473684215</v>
      </c>
      <c r="M63" s="451">
        <f t="shared" si="14"/>
        <v>350</v>
      </c>
      <c r="N63" s="201">
        <f t="shared" si="23"/>
        <v>350</v>
      </c>
      <c r="O63" s="221">
        <f t="shared" si="24"/>
        <v>3.0142774993838821</v>
      </c>
      <c r="P63" s="177">
        <f t="shared" si="25"/>
        <v>1.983077302226238</v>
      </c>
      <c r="Q63" s="177">
        <f t="shared" si="26"/>
        <v>2.0921408520738041</v>
      </c>
      <c r="R63" s="177">
        <f t="shared" si="27"/>
        <v>0.53947368421052622</v>
      </c>
    </row>
    <row r="64" spans="3:18" x14ac:dyDescent="0.2">
      <c r="C64" s="174">
        <v>58</v>
      </c>
      <c r="D64" s="5">
        <f t="shared" si="28"/>
        <v>24.16</v>
      </c>
      <c r="E64" s="451">
        <f t="shared" si="15"/>
        <v>10.64</v>
      </c>
      <c r="F64" s="221">
        <f t="shared" si="16"/>
        <v>0.30574712643678165</v>
      </c>
      <c r="G64" s="176">
        <f t="shared" si="17"/>
        <v>13.628739310344828</v>
      </c>
      <c r="H64" s="221">
        <f t="shared" si="18"/>
        <v>2.7257478620689657</v>
      </c>
      <c r="I64" s="451">
        <f t="shared" si="19"/>
        <v>34.799999999999997</v>
      </c>
      <c r="J64" s="176">
        <f t="shared" si="20"/>
        <v>1.35</v>
      </c>
      <c r="K64" s="176">
        <f t="shared" si="21"/>
        <v>0.39114238410596031</v>
      </c>
      <c r="L64" s="176">
        <f t="shared" si="22"/>
        <v>0.88815789473684215</v>
      </c>
      <c r="M64" s="451">
        <f t="shared" si="14"/>
        <v>350</v>
      </c>
      <c r="N64" s="201">
        <f t="shared" si="23"/>
        <v>350</v>
      </c>
      <c r="O64" s="221">
        <f t="shared" si="24"/>
        <v>3.0150410509031196</v>
      </c>
      <c r="P64" s="177">
        <f t="shared" si="25"/>
        <v>1.9835796387520521</v>
      </c>
      <c r="Q64" s="177">
        <f t="shared" si="26"/>
        <v>2.093200913500556</v>
      </c>
      <c r="R64" s="177">
        <f t="shared" si="27"/>
        <v>0.53947368421052622</v>
      </c>
    </row>
    <row r="65" spans="3:18" x14ac:dyDescent="0.2">
      <c r="C65" s="174">
        <v>59</v>
      </c>
      <c r="D65" s="5">
        <f t="shared" si="28"/>
        <v>24.18</v>
      </c>
      <c r="E65" s="451">
        <f t="shared" si="15"/>
        <v>10.64</v>
      </c>
      <c r="F65" s="221">
        <f t="shared" si="16"/>
        <v>0.30557151062607696</v>
      </c>
      <c r="G65" s="176">
        <f t="shared" si="17"/>
        <v>13.632186789201606</v>
      </c>
      <c r="H65" s="221">
        <f t="shared" si="18"/>
        <v>2.7264373578403212</v>
      </c>
      <c r="I65" s="451">
        <f t="shared" si="19"/>
        <v>34.82</v>
      </c>
      <c r="J65" s="176">
        <f t="shared" si="20"/>
        <v>1.35</v>
      </c>
      <c r="K65" s="176">
        <f t="shared" si="21"/>
        <v>0.39081885856079407</v>
      </c>
      <c r="L65" s="176">
        <f t="shared" si="22"/>
        <v>0.88815789473684215</v>
      </c>
      <c r="M65" s="451">
        <f t="shared" si="14"/>
        <v>350</v>
      </c>
      <c r="N65" s="201">
        <f t="shared" si="23"/>
        <v>350</v>
      </c>
      <c r="O65" s="221">
        <f t="shared" si="24"/>
        <v>3.015803725281037</v>
      </c>
      <c r="P65" s="177">
        <f t="shared" si="25"/>
        <v>1.9840813982112084</v>
      </c>
      <c r="Q65" s="177">
        <f t="shared" si="26"/>
        <v>2.09426002519516</v>
      </c>
      <c r="R65" s="177">
        <f t="shared" si="27"/>
        <v>0.53947368421052622</v>
      </c>
    </row>
    <row r="66" spans="3:18" x14ac:dyDescent="0.2">
      <c r="C66" s="174">
        <v>60</v>
      </c>
      <c r="D66" s="5">
        <f t="shared" si="28"/>
        <v>24.2</v>
      </c>
      <c r="E66" s="451">
        <f t="shared" si="15"/>
        <v>10.64</v>
      </c>
      <c r="F66" s="221">
        <f t="shared" si="16"/>
        <v>0.30539609644087257</v>
      </c>
      <c r="G66" s="176">
        <f t="shared" si="17"/>
        <v>13.635630309988517</v>
      </c>
      <c r="H66" s="221">
        <f t="shared" si="18"/>
        <v>2.7271260619977036</v>
      </c>
      <c r="I66" s="451">
        <f t="shared" si="19"/>
        <v>34.840000000000003</v>
      </c>
      <c r="J66" s="176">
        <f t="shared" si="20"/>
        <v>1.35</v>
      </c>
      <c r="K66" s="176">
        <f t="shared" si="21"/>
        <v>0.39049586776859513</v>
      </c>
      <c r="L66" s="176">
        <f t="shared" si="22"/>
        <v>0.88815789473684215</v>
      </c>
      <c r="M66" s="451">
        <f t="shared" si="14"/>
        <v>350</v>
      </c>
      <c r="N66" s="201">
        <f t="shared" si="23"/>
        <v>350</v>
      </c>
      <c r="O66" s="221">
        <f t="shared" si="24"/>
        <v>3.0165655240282105</v>
      </c>
      <c r="P66" s="177">
        <f t="shared" si="25"/>
        <v>1.9845825815975067</v>
      </c>
      <c r="Q66" s="177">
        <f t="shared" si="26"/>
        <v>2.0953181883318792</v>
      </c>
      <c r="R66" s="177">
        <f t="shared" si="27"/>
        <v>0.53947368421052622</v>
      </c>
    </row>
    <row r="67" spans="3:18" x14ac:dyDescent="0.2">
      <c r="C67" s="174">
        <v>61</v>
      </c>
      <c r="D67" s="5">
        <f t="shared" si="28"/>
        <v>24.22</v>
      </c>
      <c r="E67" s="451">
        <f t="shared" si="15"/>
        <v>10.64</v>
      </c>
      <c r="F67" s="221">
        <f t="shared" si="16"/>
        <v>0.30522088353413657</v>
      </c>
      <c r="G67" s="176">
        <f t="shared" si="17"/>
        <v>13.63906987951807</v>
      </c>
      <c r="H67" s="221">
        <f t="shared" si="18"/>
        <v>2.7278139759036142</v>
      </c>
      <c r="I67" s="451">
        <f t="shared" si="19"/>
        <v>34.86</v>
      </c>
      <c r="J67" s="176">
        <f t="shared" si="20"/>
        <v>1.35</v>
      </c>
      <c r="K67" s="176">
        <f t="shared" si="21"/>
        <v>0.39017341040462433</v>
      </c>
      <c r="L67" s="176">
        <f t="shared" si="22"/>
        <v>0.88815789473684215</v>
      </c>
      <c r="M67" s="451">
        <f t="shared" si="14"/>
        <v>350</v>
      </c>
      <c r="N67" s="201">
        <f t="shared" si="23"/>
        <v>350</v>
      </c>
      <c r="O67" s="221">
        <f t="shared" si="24"/>
        <v>3.0173264486517497</v>
      </c>
      <c r="P67" s="177">
        <f t="shared" si="25"/>
        <v>1.9850831899024668</v>
      </c>
      <c r="Q67" s="177">
        <f t="shared" si="26"/>
        <v>2.0963754040833442</v>
      </c>
      <c r="R67" s="177">
        <f t="shared" si="27"/>
        <v>0.53947368421052622</v>
      </c>
    </row>
    <row r="68" spans="3:18" x14ac:dyDescent="0.2">
      <c r="C68" s="174">
        <v>62</v>
      </c>
      <c r="D68" s="5">
        <f t="shared" si="28"/>
        <v>24.24</v>
      </c>
      <c r="E68" s="451">
        <f t="shared" si="15"/>
        <v>10.64</v>
      </c>
      <c r="F68" s="221">
        <f t="shared" si="16"/>
        <v>0.30504587155963309</v>
      </c>
      <c r="G68" s="176">
        <f t="shared" si="17"/>
        <v>13.642505504587156</v>
      </c>
      <c r="H68" s="221">
        <f t="shared" si="18"/>
        <v>2.7285011009174314</v>
      </c>
      <c r="I68" s="451">
        <f t="shared" si="19"/>
        <v>34.879999999999995</v>
      </c>
      <c r="J68" s="176">
        <f t="shared" si="20"/>
        <v>1.35</v>
      </c>
      <c r="K68" s="176">
        <f t="shared" si="21"/>
        <v>0.38985148514851492</v>
      </c>
      <c r="L68" s="176">
        <f t="shared" si="22"/>
        <v>0.88815789473684215</v>
      </c>
      <c r="M68" s="451">
        <f t="shared" si="14"/>
        <v>350</v>
      </c>
      <c r="N68" s="201">
        <f t="shared" si="23"/>
        <v>350</v>
      </c>
      <c r="O68" s="221">
        <f t="shared" si="24"/>
        <v>3.0180865006553077</v>
      </c>
      <c r="P68" s="177">
        <f t="shared" si="25"/>
        <v>1.9855832241153339</v>
      </c>
      <c r="Q68" s="177">
        <f t="shared" si="26"/>
        <v>2.0974316736205458</v>
      </c>
      <c r="R68" s="177">
        <f t="shared" si="27"/>
        <v>0.53947368421052622</v>
      </c>
    </row>
    <row r="69" spans="3:18" x14ac:dyDescent="0.2">
      <c r="C69" s="174">
        <v>63</v>
      </c>
      <c r="D69" s="5">
        <f t="shared" si="28"/>
        <v>24.26</v>
      </c>
      <c r="E69" s="451">
        <f t="shared" si="15"/>
        <v>10.64</v>
      </c>
      <c r="F69" s="221">
        <f t="shared" si="16"/>
        <v>0.30487106017191973</v>
      </c>
      <c r="G69" s="176">
        <f t="shared" si="17"/>
        <v>13.645937191977076</v>
      </c>
      <c r="H69" s="221">
        <f t="shared" si="18"/>
        <v>2.7291874383954151</v>
      </c>
      <c r="I69" s="451">
        <f t="shared" si="19"/>
        <v>34.900000000000006</v>
      </c>
      <c r="J69" s="176">
        <f t="shared" si="20"/>
        <v>1.35</v>
      </c>
      <c r="K69" s="176">
        <f t="shared" si="21"/>
        <v>0.38953009068425393</v>
      </c>
      <c r="L69" s="176">
        <f t="shared" si="22"/>
        <v>0.88815789473684215</v>
      </c>
      <c r="M69" s="451">
        <f t="shared" si="14"/>
        <v>350</v>
      </c>
      <c r="N69" s="201">
        <f t="shared" si="23"/>
        <v>350</v>
      </c>
      <c r="O69" s="221">
        <f t="shared" si="24"/>
        <v>3.0188456815390907</v>
      </c>
      <c r="P69" s="177">
        <f t="shared" si="25"/>
        <v>1.9860826852230857</v>
      </c>
      <c r="Q69" s="177">
        <f t="shared" si="26"/>
        <v>2.098486998112846</v>
      </c>
      <c r="R69" s="177">
        <f t="shared" si="27"/>
        <v>0.53947368421052622</v>
      </c>
    </row>
    <row r="70" spans="3:18" x14ac:dyDescent="0.2">
      <c r="C70" s="174">
        <v>64</v>
      </c>
      <c r="D70" s="5">
        <f t="shared" si="28"/>
        <v>24.28</v>
      </c>
      <c r="E70" s="451">
        <f t="shared" ref="E70:E106" si="29">(Vout+Vfwd1)*Nps</f>
        <v>10.64</v>
      </c>
      <c r="F70" s="221">
        <f t="shared" ref="F70:F106" si="30">(Vout+Vfwd1)*Nps/((Vout+Vfwd1)*Nps+D70)</f>
        <v>0.30469644902634596</v>
      </c>
      <c r="G70" s="176">
        <f t="shared" ref="G70:G101" si="31">F70*D70*Isw_max*0.5*Efficiency</f>
        <v>13.649364948453609</v>
      </c>
      <c r="H70" s="221">
        <f t="shared" ref="H70:H101" si="32">G70/Vout</f>
        <v>2.7298729896907217</v>
      </c>
      <c r="I70" s="451">
        <f t="shared" ref="I70:I106" si="33">(Vout+Vfwd1)*Nps+D70</f>
        <v>34.92</v>
      </c>
      <c r="J70" s="176">
        <f t="shared" ref="J70:J106" si="34">MIN(2*Vout*Iout/(Efficiency*D70*F70), 1.35)</f>
        <v>1.35</v>
      </c>
      <c r="K70" s="176">
        <f t="shared" ref="K70:K101" si="35">L*J70/D70*1000000</f>
        <v>0.38920922570016475</v>
      </c>
      <c r="L70" s="176">
        <f t="shared" ref="L70:L106" si="36">L*J70/((Vout+Vfwd1)*Nps)*1000000</f>
        <v>0.88815789473684215</v>
      </c>
      <c r="M70" s="451">
        <f t="shared" si="14"/>
        <v>350</v>
      </c>
      <c r="N70" s="201">
        <f t="shared" ref="N70:N106" si="37">IF(1/((350000*L)*(1/D70+1/E70))&gt;Isw_min, 350, 0.001/((Isw_min*L)*(1/D70+1/E70)))</f>
        <v>350</v>
      </c>
      <c r="O70" s="221">
        <f t="shared" ref="O70:O101" si="38">1/((N70*1000*L)*(1/D70+1/E70))</f>
        <v>3.019603992799869</v>
      </c>
      <c r="P70" s="177">
        <f t="shared" ref="P70:P101" si="39">L*O70/E70*1000000</f>
        <v>1.9865815742104398</v>
      </c>
      <c r="Q70" s="177">
        <f t="shared" ref="Q70:Q101" si="40">0.5*P70*O70*Nps*N70/1000</f>
        <v>2.0995413787279729</v>
      </c>
      <c r="R70" s="177">
        <f t="shared" ref="R70:R106" si="41">L*Isw_min/E70*1000000</f>
        <v>0.53947368421052622</v>
      </c>
    </row>
    <row r="71" spans="3:18" x14ac:dyDescent="0.2">
      <c r="C71" s="174">
        <v>65</v>
      </c>
      <c r="D71" s="5">
        <f t="shared" ref="D71:D102" si="42">C71/100*(VIN_max-VIN_min)+VIN_min</f>
        <v>24.3</v>
      </c>
      <c r="E71" s="451">
        <f t="shared" si="29"/>
        <v>10.64</v>
      </c>
      <c r="F71" s="221">
        <f t="shared" si="30"/>
        <v>0.30452203777904985</v>
      </c>
      <c r="G71" s="176">
        <f t="shared" si="31"/>
        <v>13.652788780767031</v>
      </c>
      <c r="H71" s="221">
        <f t="shared" si="32"/>
        <v>2.7305577561534062</v>
      </c>
      <c r="I71" s="451">
        <f t="shared" si="33"/>
        <v>34.94</v>
      </c>
      <c r="J71" s="176">
        <f t="shared" si="34"/>
        <v>1.35</v>
      </c>
      <c r="K71" s="176">
        <f t="shared" si="35"/>
        <v>0.3888888888888889</v>
      </c>
      <c r="L71" s="176">
        <f t="shared" si="36"/>
        <v>0.88815789473684215</v>
      </c>
      <c r="M71" s="451">
        <f t="shared" ref="M71:M106" si="43">MIN(1/(K71+L71)*1000, 350)</f>
        <v>350</v>
      </c>
      <c r="N71" s="201">
        <f t="shared" si="37"/>
        <v>350</v>
      </c>
      <c r="O71" s="221">
        <f t="shared" si="38"/>
        <v>3.0203614359309836</v>
      </c>
      <c r="P71" s="177">
        <f t="shared" si="39"/>
        <v>1.9870798920598576</v>
      </c>
      <c r="Q71" s="177">
        <f t="shared" si="40"/>
        <v>2.1005948166320234</v>
      </c>
      <c r="R71" s="177">
        <f t="shared" si="41"/>
        <v>0.53947368421052622</v>
      </c>
    </row>
    <row r="72" spans="3:18" x14ac:dyDescent="0.2">
      <c r="C72" s="174">
        <v>66</v>
      </c>
      <c r="D72" s="5">
        <f t="shared" si="42"/>
        <v>24.32</v>
      </c>
      <c r="E72" s="451">
        <f t="shared" si="29"/>
        <v>10.64</v>
      </c>
      <c r="F72" s="221">
        <f t="shared" si="30"/>
        <v>0.30434782608695654</v>
      </c>
      <c r="G72" s="176">
        <f t="shared" si="31"/>
        <v>13.656208695652174</v>
      </c>
      <c r="H72" s="221">
        <f t="shared" si="32"/>
        <v>2.7312417391304349</v>
      </c>
      <c r="I72" s="451">
        <f t="shared" si="33"/>
        <v>34.96</v>
      </c>
      <c r="J72" s="176">
        <f t="shared" si="34"/>
        <v>1.35</v>
      </c>
      <c r="K72" s="176">
        <f t="shared" si="35"/>
        <v>0.38856907894736847</v>
      </c>
      <c r="L72" s="176">
        <f t="shared" si="36"/>
        <v>0.88815789473684215</v>
      </c>
      <c r="M72" s="451">
        <f t="shared" si="43"/>
        <v>350</v>
      </c>
      <c r="N72" s="201">
        <f t="shared" si="37"/>
        <v>350</v>
      </c>
      <c r="O72" s="221">
        <f t="shared" si="38"/>
        <v>3.02111801242236</v>
      </c>
      <c r="P72" s="177">
        <f t="shared" si="39"/>
        <v>1.9875776397515525</v>
      </c>
      <c r="Q72" s="177">
        <f t="shared" si="40"/>
        <v>2.1016473129894675</v>
      </c>
      <c r="R72" s="177">
        <f t="shared" si="41"/>
        <v>0.53947368421052622</v>
      </c>
    </row>
    <row r="73" spans="3:18" x14ac:dyDescent="0.2">
      <c r="C73" s="174">
        <v>67</v>
      </c>
      <c r="D73" s="5">
        <f t="shared" si="42"/>
        <v>24.34</v>
      </c>
      <c r="E73" s="451">
        <f t="shared" si="29"/>
        <v>10.64</v>
      </c>
      <c r="F73" s="221">
        <f t="shared" si="30"/>
        <v>0.30417381360777584</v>
      </c>
      <c r="G73" s="176">
        <f t="shared" si="31"/>
        <v>13.659624699828472</v>
      </c>
      <c r="H73" s="221">
        <f t="shared" si="32"/>
        <v>2.7319249399656944</v>
      </c>
      <c r="I73" s="451">
        <f t="shared" si="33"/>
        <v>34.980000000000004</v>
      </c>
      <c r="J73" s="176">
        <f t="shared" si="34"/>
        <v>1.35</v>
      </c>
      <c r="K73" s="176">
        <f t="shared" si="35"/>
        <v>0.38824979457682834</v>
      </c>
      <c r="L73" s="176">
        <f t="shared" si="36"/>
        <v>0.88815789473684215</v>
      </c>
      <c r="M73" s="451">
        <f t="shared" si="43"/>
        <v>350</v>
      </c>
      <c r="N73" s="201">
        <f t="shared" si="37"/>
        <v>350</v>
      </c>
      <c r="O73" s="221">
        <f t="shared" si="38"/>
        <v>3.0218737237605158</v>
      </c>
      <c r="P73" s="177">
        <f t="shared" si="39"/>
        <v>1.9880748182634971</v>
      </c>
      <c r="Q73" s="177">
        <f t="shared" si="40"/>
        <v>2.1026988689631483</v>
      </c>
      <c r="R73" s="177">
        <f t="shared" si="41"/>
        <v>0.53947368421052622</v>
      </c>
    </row>
    <row r="74" spans="3:18" x14ac:dyDescent="0.2">
      <c r="C74" s="174">
        <v>68</v>
      </c>
      <c r="D74" s="5">
        <f t="shared" si="42"/>
        <v>24.36</v>
      </c>
      <c r="E74" s="451">
        <f t="shared" si="29"/>
        <v>10.64</v>
      </c>
      <c r="F74" s="221">
        <f t="shared" si="30"/>
        <v>0.30399999999999999</v>
      </c>
      <c r="G74" s="176">
        <f t="shared" si="31"/>
        <v>13.663036799999999</v>
      </c>
      <c r="H74" s="221">
        <f t="shared" si="32"/>
        <v>2.7326073599999998</v>
      </c>
      <c r="I74" s="451">
        <f t="shared" si="33"/>
        <v>35</v>
      </c>
      <c r="J74" s="176">
        <f t="shared" si="34"/>
        <v>1.35</v>
      </c>
      <c r="K74" s="176">
        <f t="shared" si="35"/>
        <v>0.38793103448275862</v>
      </c>
      <c r="L74" s="176">
        <f t="shared" si="36"/>
        <v>0.88815789473684215</v>
      </c>
      <c r="M74" s="451">
        <f t="shared" si="43"/>
        <v>350</v>
      </c>
      <c r="N74" s="201">
        <f t="shared" si="37"/>
        <v>350</v>
      </c>
      <c r="O74" s="221">
        <f t="shared" si="38"/>
        <v>3.0226285714285712</v>
      </c>
      <c r="P74" s="177">
        <f t="shared" si="39"/>
        <v>1.9885714285714284</v>
      </c>
      <c r="Q74" s="177">
        <f t="shared" si="40"/>
        <v>2.1037494857142858</v>
      </c>
      <c r="R74" s="177">
        <f t="shared" si="41"/>
        <v>0.53947368421052622</v>
      </c>
    </row>
    <row r="75" spans="3:18" x14ac:dyDescent="0.2">
      <c r="C75" s="174">
        <v>69</v>
      </c>
      <c r="D75" s="5">
        <f t="shared" si="42"/>
        <v>24.38</v>
      </c>
      <c r="E75" s="451">
        <f t="shared" si="29"/>
        <v>10.64</v>
      </c>
      <c r="F75" s="221">
        <f t="shared" si="30"/>
        <v>0.30382638492290126</v>
      </c>
      <c r="G75" s="176">
        <f t="shared" si="31"/>
        <v>13.666445002855511</v>
      </c>
      <c r="H75" s="221">
        <f t="shared" si="32"/>
        <v>2.7332890005711024</v>
      </c>
      <c r="I75" s="451">
        <f t="shared" si="33"/>
        <v>35.019999999999996</v>
      </c>
      <c r="J75" s="176">
        <f t="shared" si="34"/>
        <v>1.35</v>
      </c>
      <c r="K75" s="176">
        <f t="shared" si="35"/>
        <v>0.38761279737489751</v>
      </c>
      <c r="L75" s="176">
        <f t="shared" si="36"/>
        <v>0.88815789473684215</v>
      </c>
      <c r="M75" s="451">
        <f t="shared" si="43"/>
        <v>350</v>
      </c>
      <c r="N75" s="201">
        <f t="shared" si="37"/>
        <v>350</v>
      </c>
      <c r="O75" s="221">
        <f t="shared" si="38"/>
        <v>3.0233825569062573</v>
      </c>
      <c r="P75" s="177">
        <f t="shared" si="39"/>
        <v>1.9890674716488534</v>
      </c>
      <c r="Q75" s="177">
        <f t="shared" si="40"/>
        <v>2.1047991644024715</v>
      </c>
      <c r="R75" s="177">
        <f t="shared" si="41"/>
        <v>0.53947368421052622</v>
      </c>
    </row>
    <row r="76" spans="3:18" x14ac:dyDescent="0.2">
      <c r="C76" s="174">
        <v>70</v>
      </c>
      <c r="D76" s="5">
        <f t="shared" si="42"/>
        <v>24.4</v>
      </c>
      <c r="E76" s="451">
        <f t="shared" si="29"/>
        <v>10.64</v>
      </c>
      <c r="F76" s="221">
        <f t="shared" si="30"/>
        <v>0.30365296803652969</v>
      </c>
      <c r="G76" s="176">
        <f t="shared" si="31"/>
        <v>13.669849315068491</v>
      </c>
      <c r="H76" s="221">
        <f t="shared" si="32"/>
        <v>2.7339698630136984</v>
      </c>
      <c r="I76" s="451">
        <f t="shared" si="33"/>
        <v>35.04</v>
      </c>
      <c r="J76" s="176">
        <f t="shared" si="34"/>
        <v>1.35</v>
      </c>
      <c r="K76" s="176">
        <f t="shared" si="35"/>
        <v>0.38729508196721318</v>
      </c>
      <c r="L76" s="176">
        <f t="shared" si="36"/>
        <v>0.88815789473684215</v>
      </c>
      <c r="M76" s="451">
        <f t="shared" si="43"/>
        <v>350</v>
      </c>
      <c r="N76" s="201">
        <f t="shared" si="37"/>
        <v>350</v>
      </c>
      <c r="O76" s="221">
        <f t="shared" si="38"/>
        <v>3.0241356816699274</v>
      </c>
      <c r="P76" s="177">
        <f t="shared" si="39"/>
        <v>1.9895629484670576</v>
      </c>
      <c r="Q76" s="177">
        <f t="shared" si="40"/>
        <v>2.1058479061856796</v>
      </c>
      <c r="R76" s="177">
        <f t="shared" si="41"/>
        <v>0.53947368421052622</v>
      </c>
    </row>
    <row r="77" spans="3:18" x14ac:dyDescent="0.2">
      <c r="C77" s="174">
        <v>71</v>
      </c>
      <c r="D77" s="5">
        <f t="shared" si="42"/>
        <v>24.42</v>
      </c>
      <c r="E77" s="451">
        <f t="shared" si="29"/>
        <v>10.64</v>
      </c>
      <c r="F77" s="221">
        <f t="shared" si="30"/>
        <v>0.30347974900171137</v>
      </c>
      <c r="G77" s="176">
        <f t="shared" si="31"/>
        <v>13.673249743297204</v>
      </c>
      <c r="H77" s="221">
        <f t="shared" si="32"/>
        <v>2.7346499486594409</v>
      </c>
      <c r="I77" s="451">
        <f t="shared" si="33"/>
        <v>35.06</v>
      </c>
      <c r="J77" s="176">
        <f t="shared" si="34"/>
        <v>1.35</v>
      </c>
      <c r="K77" s="176">
        <f t="shared" si="35"/>
        <v>0.38697788697788699</v>
      </c>
      <c r="L77" s="176">
        <f t="shared" si="36"/>
        <v>0.88815789473684215</v>
      </c>
      <c r="M77" s="451">
        <f t="shared" si="43"/>
        <v>350</v>
      </c>
      <c r="N77" s="201">
        <f t="shared" si="37"/>
        <v>350</v>
      </c>
      <c r="O77" s="221">
        <f t="shared" si="38"/>
        <v>3.0248879471925676</v>
      </c>
      <c r="P77" s="177">
        <f t="shared" si="39"/>
        <v>1.9900578599951104</v>
      </c>
      <c r="Q77" s="177">
        <f t="shared" si="40"/>
        <v>2.1068957122202656</v>
      </c>
      <c r="R77" s="177">
        <f t="shared" si="41"/>
        <v>0.53947368421052622</v>
      </c>
    </row>
    <row r="78" spans="3:18" x14ac:dyDescent="0.2">
      <c r="C78" s="174">
        <v>72</v>
      </c>
      <c r="D78" s="5">
        <f t="shared" si="42"/>
        <v>24.44</v>
      </c>
      <c r="E78" s="451">
        <f t="shared" si="29"/>
        <v>10.64</v>
      </c>
      <c r="F78" s="221">
        <f t="shared" si="30"/>
        <v>0.30330672748004567</v>
      </c>
      <c r="G78" s="176">
        <f t="shared" si="31"/>
        <v>13.676646294184724</v>
      </c>
      <c r="H78" s="221">
        <f t="shared" si="32"/>
        <v>2.7353292588369449</v>
      </c>
      <c r="I78" s="451">
        <f t="shared" si="33"/>
        <v>35.08</v>
      </c>
      <c r="J78" s="176">
        <f t="shared" si="34"/>
        <v>1.35</v>
      </c>
      <c r="K78" s="176">
        <f t="shared" si="35"/>
        <v>0.38666121112929625</v>
      </c>
      <c r="L78" s="176">
        <f t="shared" si="36"/>
        <v>0.88815789473684215</v>
      </c>
      <c r="M78" s="451">
        <f t="shared" si="43"/>
        <v>350</v>
      </c>
      <c r="N78" s="201">
        <f t="shared" si="37"/>
        <v>350</v>
      </c>
      <c r="O78" s="221">
        <f t="shared" si="38"/>
        <v>3.0256393549438019</v>
      </c>
      <c r="P78" s="177">
        <f t="shared" si="39"/>
        <v>1.9905522071998694</v>
      </c>
      <c r="Q78" s="177">
        <f t="shared" si="40"/>
        <v>2.1079425836609609</v>
      </c>
      <c r="R78" s="177">
        <f t="shared" si="41"/>
        <v>0.53947368421052622</v>
      </c>
    </row>
    <row r="79" spans="3:18" x14ac:dyDescent="0.2">
      <c r="C79" s="174">
        <v>73</v>
      </c>
      <c r="D79" s="5">
        <f t="shared" si="42"/>
        <v>24.46</v>
      </c>
      <c r="E79" s="451">
        <f t="shared" si="29"/>
        <v>10.64</v>
      </c>
      <c r="F79" s="221">
        <f t="shared" si="30"/>
        <v>0.30313390313390315</v>
      </c>
      <c r="G79" s="176">
        <f t="shared" si="31"/>
        <v>13.680038974358975</v>
      </c>
      <c r="H79" s="221">
        <f t="shared" si="32"/>
        <v>2.7360077948717949</v>
      </c>
      <c r="I79" s="451">
        <f t="shared" si="33"/>
        <v>35.1</v>
      </c>
      <c r="J79" s="176">
        <f t="shared" si="34"/>
        <v>1.35</v>
      </c>
      <c r="K79" s="176">
        <f t="shared" si="35"/>
        <v>0.38634505314799672</v>
      </c>
      <c r="L79" s="176">
        <f t="shared" si="36"/>
        <v>0.88815789473684215</v>
      </c>
      <c r="M79" s="451">
        <f t="shared" si="43"/>
        <v>350</v>
      </c>
      <c r="N79" s="201">
        <f t="shared" si="37"/>
        <v>350</v>
      </c>
      <c r="O79" s="221">
        <f t="shared" si="38"/>
        <v>3.0263899063899062</v>
      </c>
      <c r="P79" s="177">
        <f t="shared" si="39"/>
        <v>1.991045991045991</v>
      </c>
      <c r="Q79" s="177">
        <f t="shared" si="40"/>
        <v>2.1089885216608866</v>
      </c>
      <c r="R79" s="177">
        <f t="shared" si="41"/>
        <v>0.53947368421052622</v>
      </c>
    </row>
    <row r="80" spans="3:18" x14ac:dyDescent="0.2">
      <c r="C80" s="174">
        <v>74</v>
      </c>
      <c r="D80" s="5">
        <f t="shared" si="42"/>
        <v>24.48</v>
      </c>
      <c r="E80" s="451">
        <f t="shared" si="29"/>
        <v>10.64</v>
      </c>
      <c r="F80" s="221">
        <f t="shared" si="30"/>
        <v>0.30296127562642367</v>
      </c>
      <c r="G80" s="176">
        <f t="shared" si="31"/>
        <v>13.6834277904328</v>
      </c>
      <c r="H80" s="221">
        <f t="shared" si="32"/>
        <v>2.7366855580865601</v>
      </c>
      <c r="I80" s="451">
        <f t="shared" si="33"/>
        <v>35.120000000000005</v>
      </c>
      <c r="J80" s="176">
        <f t="shared" si="34"/>
        <v>1.35</v>
      </c>
      <c r="K80" s="176">
        <f t="shared" si="35"/>
        <v>0.3860294117647059</v>
      </c>
      <c r="L80" s="176">
        <f t="shared" si="36"/>
        <v>0.88815789473684215</v>
      </c>
      <c r="M80" s="451">
        <f t="shared" si="43"/>
        <v>350</v>
      </c>
      <c r="N80" s="201">
        <f t="shared" si="37"/>
        <v>350</v>
      </c>
      <c r="O80" s="221">
        <f t="shared" si="38"/>
        <v>3.0271396029938176</v>
      </c>
      <c r="P80" s="177">
        <f t="shared" si="39"/>
        <v>1.9915392124959326</v>
      </c>
      <c r="Q80" s="177">
        <f t="shared" si="40"/>
        <v>2.1100335273715451</v>
      </c>
      <c r="R80" s="177">
        <f t="shared" si="41"/>
        <v>0.53947368421052622</v>
      </c>
    </row>
    <row r="81" spans="3:18" x14ac:dyDescent="0.2">
      <c r="C81" s="174">
        <v>75</v>
      </c>
      <c r="D81" s="5">
        <f t="shared" si="42"/>
        <v>24.5</v>
      </c>
      <c r="E81" s="451">
        <f t="shared" si="29"/>
        <v>10.64</v>
      </c>
      <c r="F81" s="221">
        <f t="shared" si="30"/>
        <v>0.30278884462151395</v>
      </c>
      <c r="G81" s="176">
        <f t="shared" si="31"/>
        <v>13.686812749003984</v>
      </c>
      <c r="H81" s="221">
        <f t="shared" si="32"/>
        <v>2.737362549800797</v>
      </c>
      <c r="I81" s="451">
        <f t="shared" si="33"/>
        <v>35.14</v>
      </c>
      <c r="J81" s="176">
        <f t="shared" si="34"/>
        <v>1.35</v>
      </c>
      <c r="K81" s="176">
        <f t="shared" si="35"/>
        <v>0.38571428571428573</v>
      </c>
      <c r="L81" s="176">
        <f t="shared" si="36"/>
        <v>0.88815789473684215</v>
      </c>
      <c r="M81" s="451">
        <f t="shared" si="43"/>
        <v>350</v>
      </c>
      <c r="N81" s="201">
        <f t="shared" si="37"/>
        <v>350</v>
      </c>
      <c r="O81" s="221">
        <f t="shared" si="38"/>
        <v>3.0278884462151399</v>
      </c>
      <c r="P81" s="177">
        <f t="shared" si="39"/>
        <v>1.9920318725099602</v>
      </c>
      <c r="Q81" s="177">
        <f t="shared" si="40"/>
        <v>2.1110776019428266</v>
      </c>
      <c r="R81" s="177">
        <f t="shared" si="41"/>
        <v>0.53947368421052622</v>
      </c>
    </row>
    <row r="82" spans="3:18" x14ac:dyDescent="0.2">
      <c r="C82" s="174">
        <v>76</v>
      </c>
      <c r="D82" s="5">
        <f t="shared" si="42"/>
        <v>24.52</v>
      </c>
      <c r="E82" s="451">
        <f t="shared" si="29"/>
        <v>10.64</v>
      </c>
      <c r="F82" s="221">
        <f t="shared" si="30"/>
        <v>0.3026166097838453</v>
      </c>
      <c r="G82" s="176">
        <f t="shared" si="31"/>
        <v>13.69019385665529</v>
      </c>
      <c r="H82" s="221">
        <f t="shared" si="32"/>
        <v>2.7380387713310581</v>
      </c>
      <c r="I82" s="451">
        <f t="shared" si="33"/>
        <v>35.159999999999997</v>
      </c>
      <c r="J82" s="176">
        <f t="shared" si="34"/>
        <v>1.35</v>
      </c>
      <c r="K82" s="176">
        <f t="shared" si="35"/>
        <v>0.38539967373572598</v>
      </c>
      <c r="L82" s="176">
        <f t="shared" si="36"/>
        <v>0.88815789473684215</v>
      </c>
      <c r="M82" s="451">
        <f t="shared" si="43"/>
        <v>350</v>
      </c>
      <c r="N82" s="201">
        <f t="shared" si="37"/>
        <v>350</v>
      </c>
      <c r="O82" s="221">
        <f t="shared" si="38"/>
        <v>3.0286364375101575</v>
      </c>
      <c r="P82" s="177">
        <f t="shared" si="39"/>
        <v>1.9925239720461563</v>
      </c>
      <c r="Q82" s="177">
        <f t="shared" si="40"/>
        <v>2.112120746523011</v>
      </c>
      <c r="R82" s="177">
        <f t="shared" si="41"/>
        <v>0.53947368421052622</v>
      </c>
    </row>
    <row r="83" spans="3:18" x14ac:dyDescent="0.2">
      <c r="C83" s="174">
        <v>77</v>
      </c>
      <c r="D83" s="5">
        <f t="shared" si="42"/>
        <v>24.54</v>
      </c>
      <c r="E83" s="451">
        <f t="shared" si="29"/>
        <v>10.64</v>
      </c>
      <c r="F83" s="221">
        <f t="shared" si="30"/>
        <v>0.30244457077885162</v>
      </c>
      <c r="G83" s="176">
        <f t="shared" si="31"/>
        <v>13.693571119954518</v>
      </c>
      <c r="H83" s="221">
        <f t="shared" si="32"/>
        <v>2.7387142239909035</v>
      </c>
      <c r="I83" s="451">
        <f t="shared" si="33"/>
        <v>35.18</v>
      </c>
      <c r="J83" s="176">
        <f t="shared" si="34"/>
        <v>1.35</v>
      </c>
      <c r="K83" s="176">
        <f t="shared" si="35"/>
        <v>0.38508557457212717</v>
      </c>
      <c r="L83" s="176">
        <f t="shared" si="36"/>
        <v>0.88815789473684215</v>
      </c>
      <c r="M83" s="451">
        <f t="shared" si="43"/>
        <v>350</v>
      </c>
      <c r="N83" s="201">
        <f t="shared" si="37"/>
        <v>350</v>
      </c>
      <c r="O83" s="221">
        <f t="shared" si="38"/>
        <v>3.0293835783318444</v>
      </c>
      <c r="P83" s="177">
        <f t="shared" si="39"/>
        <v>1.9930155120604236</v>
      </c>
      <c r="Q83" s="177">
        <f t="shared" si="40"/>
        <v>2.1131629622587673</v>
      </c>
      <c r="R83" s="177">
        <f t="shared" si="41"/>
        <v>0.53947368421052622</v>
      </c>
    </row>
    <row r="84" spans="3:18" x14ac:dyDescent="0.2">
      <c r="C84" s="174">
        <v>78</v>
      </c>
      <c r="D84" s="5">
        <f t="shared" si="42"/>
        <v>24.56</v>
      </c>
      <c r="E84" s="451">
        <f t="shared" si="29"/>
        <v>10.64</v>
      </c>
      <c r="F84" s="221">
        <f t="shared" si="30"/>
        <v>0.30227272727272725</v>
      </c>
      <c r="G84" s="176">
        <f t="shared" si="31"/>
        <v>13.696944545454542</v>
      </c>
      <c r="H84" s="221">
        <f t="shared" si="32"/>
        <v>2.7393889090909083</v>
      </c>
      <c r="I84" s="451">
        <f t="shared" si="33"/>
        <v>35.200000000000003</v>
      </c>
      <c r="J84" s="176">
        <f t="shared" si="34"/>
        <v>1.35</v>
      </c>
      <c r="K84" s="176">
        <f t="shared" si="35"/>
        <v>0.3847719869706841</v>
      </c>
      <c r="L84" s="176">
        <f t="shared" si="36"/>
        <v>0.88815789473684215</v>
      </c>
      <c r="M84" s="451">
        <f t="shared" si="43"/>
        <v>350</v>
      </c>
      <c r="N84" s="201">
        <f t="shared" si="37"/>
        <v>350</v>
      </c>
      <c r="O84" s="221">
        <f t="shared" si="38"/>
        <v>3.0301298701298705</v>
      </c>
      <c r="P84" s="177">
        <f t="shared" si="39"/>
        <v>1.9935064935064937</v>
      </c>
      <c r="Q84" s="177">
        <f t="shared" si="40"/>
        <v>2.1142042502951601</v>
      </c>
      <c r="R84" s="177">
        <f t="shared" si="41"/>
        <v>0.53947368421052622</v>
      </c>
    </row>
    <row r="85" spans="3:18" x14ac:dyDescent="0.2">
      <c r="C85" s="174">
        <v>79</v>
      </c>
      <c r="D85" s="5">
        <f t="shared" si="42"/>
        <v>24.58</v>
      </c>
      <c r="E85" s="451">
        <f t="shared" si="29"/>
        <v>10.64</v>
      </c>
      <c r="F85" s="221">
        <f t="shared" si="30"/>
        <v>0.30210107893242477</v>
      </c>
      <c r="G85" s="176">
        <f t="shared" si="31"/>
        <v>13.700314139693356</v>
      </c>
      <c r="H85" s="221">
        <f t="shared" si="32"/>
        <v>2.7400628279386714</v>
      </c>
      <c r="I85" s="451">
        <f t="shared" si="33"/>
        <v>35.22</v>
      </c>
      <c r="J85" s="176">
        <f t="shared" si="34"/>
        <v>1.35</v>
      </c>
      <c r="K85" s="176">
        <f t="shared" si="35"/>
        <v>0.38445890968266888</v>
      </c>
      <c r="L85" s="176">
        <f t="shared" si="36"/>
        <v>0.88815789473684215</v>
      </c>
      <c r="M85" s="451">
        <f t="shared" si="43"/>
        <v>350</v>
      </c>
      <c r="N85" s="201">
        <f t="shared" si="37"/>
        <v>350</v>
      </c>
      <c r="O85" s="221">
        <f t="shared" si="38"/>
        <v>3.0308753143506122</v>
      </c>
      <c r="P85" s="177">
        <f t="shared" si="39"/>
        <v>1.9939969173359291</v>
      </c>
      <c r="Q85" s="177">
        <f t="shared" si="40"/>
        <v>2.11524461177564</v>
      </c>
      <c r="R85" s="177">
        <f t="shared" si="41"/>
        <v>0.53947368421052622</v>
      </c>
    </row>
    <row r="86" spans="3:18" x14ac:dyDescent="0.2">
      <c r="C86" s="174">
        <v>80</v>
      </c>
      <c r="D86" s="5">
        <f t="shared" si="42"/>
        <v>24.6</v>
      </c>
      <c r="E86" s="451">
        <f t="shared" si="29"/>
        <v>10.64</v>
      </c>
      <c r="F86" s="221">
        <f t="shared" si="30"/>
        <v>0.30192962542565266</v>
      </c>
      <c r="G86" s="176">
        <f t="shared" si="31"/>
        <v>13.703679909194095</v>
      </c>
      <c r="H86" s="221">
        <f t="shared" si="32"/>
        <v>2.7407359818388191</v>
      </c>
      <c r="I86" s="451">
        <f t="shared" si="33"/>
        <v>35.24</v>
      </c>
      <c r="J86" s="176">
        <f t="shared" si="34"/>
        <v>1.35</v>
      </c>
      <c r="K86" s="176">
        <f t="shared" si="35"/>
        <v>0.38414634146341464</v>
      </c>
      <c r="L86" s="176">
        <f t="shared" si="36"/>
        <v>0.88815789473684215</v>
      </c>
      <c r="M86" s="451">
        <f t="shared" si="43"/>
        <v>350</v>
      </c>
      <c r="N86" s="201">
        <f t="shared" si="37"/>
        <v>350</v>
      </c>
      <c r="O86" s="221">
        <f t="shared" si="38"/>
        <v>3.0316199124371654</v>
      </c>
      <c r="P86" s="177">
        <f t="shared" si="39"/>
        <v>1.9944867844981351</v>
      </c>
      <c r="Q86" s="177">
        <f t="shared" si="40"/>
        <v>2.1162840478420617</v>
      </c>
      <c r="R86" s="177">
        <f t="shared" si="41"/>
        <v>0.53947368421052622</v>
      </c>
    </row>
    <row r="87" spans="3:18" x14ac:dyDescent="0.2">
      <c r="C87" s="174">
        <v>81</v>
      </c>
      <c r="D87" s="5">
        <f t="shared" si="42"/>
        <v>24.62</v>
      </c>
      <c r="E87" s="451">
        <f t="shared" si="29"/>
        <v>10.64</v>
      </c>
      <c r="F87" s="221">
        <f t="shared" si="30"/>
        <v>0.3017583664208735</v>
      </c>
      <c r="G87" s="176">
        <f t="shared" si="31"/>
        <v>13.707041860465116</v>
      </c>
      <c r="H87" s="221">
        <f t="shared" si="32"/>
        <v>2.7414083720930233</v>
      </c>
      <c r="I87" s="451">
        <f t="shared" si="33"/>
        <v>35.260000000000005</v>
      </c>
      <c r="J87" s="176">
        <f t="shared" si="34"/>
        <v>1.35</v>
      </c>
      <c r="K87" s="176">
        <f t="shared" si="35"/>
        <v>0.38383428107229894</v>
      </c>
      <c r="L87" s="176">
        <f t="shared" si="36"/>
        <v>0.88815789473684215</v>
      </c>
      <c r="M87" s="451">
        <f t="shared" si="43"/>
        <v>350</v>
      </c>
      <c r="N87" s="201">
        <f t="shared" si="37"/>
        <v>350</v>
      </c>
      <c r="O87" s="221">
        <f t="shared" si="38"/>
        <v>3.0323636658293491</v>
      </c>
      <c r="P87" s="177">
        <f t="shared" si="39"/>
        <v>1.9949760959403608</v>
      </c>
      <c r="Q87" s="177">
        <f t="shared" si="40"/>
        <v>2.117322559634673</v>
      </c>
      <c r="R87" s="177">
        <f t="shared" si="41"/>
        <v>0.53947368421052622</v>
      </c>
    </row>
    <row r="88" spans="3:18" x14ac:dyDescent="0.2">
      <c r="C88" s="174">
        <v>82</v>
      </c>
      <c r="D88" s="5">
        <f t="shared" si="42"/>
        <v>24.64</v>
      </c>
      <c r="E88" s="451">
        <f t="shared" si="29"/>
        <v>10.64</v>
      </c>
      <c r="F88" s="221">
        <f t="shared" si="30"/>
        <v>0.30158730158730157</v>
      </c>
      <c r="G88" s="176">
        <f t="shared" si="31"/>
        <v>13.710399999999998</v>
      </c>
      <c r="H88" s="221">
        <f t="shared" si="32"/>
        <v>2.7420799999999996</v>
      </c>
      <c r="I88" s="451">
        <f t="shared" si="33"/>
        <v>35.28</v>
      </c>
      <c r="J88" s="176">
        <f t="shared" si="34"/>
        <v>1.35</v>
      </c>
      <c r="K88" s="176">
        <f t="shared" si="35"/>
        <v>0.38352272727272735</v>
      </c>
      <c r="L88" s="176">
        <f t="shared" si="36"/>
        <v>0.88815789473684215</v>
      </c>
      <c r="M88" s="451">
        <f t="shared" si="43"/>
        <v>350</v>
      </c>
      <c r="N88" s="201">
        <f t="shared" si="37"/>
        <v>350</v>
      </c>
      <c r="O88" s="221">
        <f t="shared" si="38"/>
        <v>3.033106575963719</v>
      </c>
      <c r="P88" s="177">
        <f t="shared" si="39"/>
        <v>1.9954648526077099</v>
      </c>
      <c r="Q88" s="177">
        <f t="shared" si="40"/>
        <v>2.1183601482921213</v>
      </c>
      <c r="R88" s="177">
        <f t="shared" si="41"/>
        <v>0.53947368421052622</v>
      </c>
    </row>
    <row r="89" spans="3:18" x14ac:dyDescent="0.2">
      <c r="C89" s="174">
        <v>83</v>
      </c>
      <c r="D89" s="5">
        <f t="shared" si="42"/>
        <v>24.66</v>
      </c>
      <c r="E89" s="451">
        <f t="shared" si="29"/>
        <v>10.64</v>
      </c>
      <c r="F89" s="221">
        <f t="shared" si="30"/>
        <v>0.30141643059490086</v>
      </c>
      <c r="G89" s="176">
        <f t="shared" si="31"/>
        <v>13.713754334277619</v>
      </c>
      <c r="H89" s="221">
        <f t="shared" si="32"/>
        <v>2.7427508668555238</v>
      </c>
      <c r="I89" s="451">
        <f t="shared" si="33"/>
        <v>35.299999999999997</v>
      </c>
      <c r="J89" s="176">
        <f t="shared" si="34"/>
        <v>1.35</v>
      </c>
      <c r="K89" s="176">
        <f t="shared" si="35"/>
        <v>0.38321167883211682</v>
      </c>
      <c r="L89" s="176">
        <f t="shared" si="36"/>
        <v>0.88815789473684215</v>
      </c>
      <c r="M89" s="451">
        <f t="shared" si="43"/>
        <v>350</v>
      </c>
      <c r="N89" s="201">
        <f t="shared" si="37"/>
        <v>350</v>
      </c>
      <c r="O89" s="221">
        <f t="shared" si="38"/>
        <v>3.0338486442735735</v>
      </c>
      <c r="P89" s="177">
        <f t="shared" si="39"/>
        <v>1.9959530554431402</v>
      </c>
      <c r="Q89" s="177">
        <f t="shared" si="40"/>
        <v>2.1193968149514535</v>
      </c>
      <c r="R89" s="177">
        <f t="shared" si="41"/>
        <v>0.53947368421052622</v>
      </c>
    </row>
    <row r="90" spans="3:18" x14ac:dyDescent="0.2">
      <c r="C90" s="174">
        <v>84</v>
      </c>
      <c r="D90" s="5">
        <f t="shared" si="42"/>
        <v>24.68</v>
      </c>
      <c r="E90" s="451">
        <f t="shared" si="29"/>
        <v>10.64</v>
      </c>
      <c r="F90" s="221">
        <f t="shared" si="30"/>
        <v>0.30124575311438279</v>
      </c>
      <c r="G90" s="176">
        <f t="shared" si="31"/>
        <v>13.717104869762174</v>
      </c>
      <c r="H90" s="221">
        <f t="shared" si="32"/>
        <v>2.7434209739524347</v>
      </c>
      <c r="I90" s="451">
        <f t="shared" si="33"/>
        <v>35.32</v>
      </c>
      <c r="J90" s="176">
        <f t="shared" si="34"/>
        <v>1.35</v>
      </c>
      <c r="K90" s="176">
        <f t="shared" si="35"/>
        <v>0.38290113452188007</v>
      </c>
      <c r="L90" s="176">
        <f t="shared" si="36"/>
        <v>0.88815789473684215</v>
      </c>
      <c r="M90" s="451">
        <f t="shared" si="43"/>
        <v>350</v>
      </c>
      <c r="N90" s="201">
        <f t="shared" si="37"/>
        <v>350</v>
      </c>
      <c r="O90" s="221">
        <f t="shared" si="38"/>
        <v>3.0345898721889668</v>
      </c>
      <c r="P90" s="177">
        <f t="shared" si="39"/>
        <v>1.996440705387478</v>
      </c>
      <c r="Q90" s="177">
        <f t="shared" si="40"/>
        <v>2.1204325607481231</v>
      </c>
      <c r="R90" s="177">
        <f t="shared" si="41"/>
        <v>0.53947368421052622</v>
      </c>
    </row>
    <row r="91" spans="3:18" x14ac:dyDescent="0.2">
      <c r="C91" s="174">
        <v>85</v>
      </c>
      <c r="D91" s="5">
        <f t="shared" si="42"/>
        <v>24.7</v>
      </c>
      <c r="E91" s="451">
        <f t="shared" si="29"/>
        <v>10.64</v>
      </c>
      <c r="F91" s="221">
        <f t="shared" si="30"/>
        <v>0.30107526881720431</v>
      </c>
      <c r="G91" s="176">
        <f t="shared" si="31"/>
        <v>13.720451612903226</v>
      </c>
      <c r="H91" s="221">
        <f t="shared" si="32"/>
        <v>2.7440903225806452</v>
      </c>
      <c r="I91" s="451">
        <f t="shared" si="33"/>
        <v>35.340000000000003</v>
      </c>
      <c r="J91" s="176">
        <f t="shared" si="34"/>
        <v>1.35</v>
      </c>
      <c r="K91" s="176">
        <f t="shared" si="35"/>
        <v>0.38259109311740896</v>
      </c>
      <c r="L91" s="176">
        <f t="shared" si="36"/>
        <v>0.88815789473684215</v>
      </c>
      <c r="M91" s="451">
        <f t="shared" si="43"/>
        <v>350</v>
      </c>
      <c r="N91" s="201">
        <f t="shared" si="37"/>
        <v>350</v>
      </c>
      <c r="O91" s="221">
        <f t="shared" si="38"/>
        <v>3.0353302611367128</v>
      </c>
      <c r="P91" s="177">
        <f t="shared" si="39"/>
        <v>1.9969278033794162</v>
      </c>
      <c r="Q91" s="177">
        <f t="shared" si="40"/>
        <v>2.1214673868159819</v>
      </c>
      <c r="R91" s="177">
        <f t="shared" si="41"/>
        <v>0.53947368421052622</v>
      </c>
    </row>
    <row r="92" spans="3:18" x14ac:dyDescent="0.2">
      <c r="C92" s="174">
        <v>86</v>
      </c>
      <c r="D92" s="5">
        <f t="shared" si="42"/>
        <v>24.72</v>
      </c>
      <c r="E92" s="451">
        <f t="shared" si="29"/>
        <v>10.64</v>
      </c>
      <c r="F92" s="221">
        <f t="shared" si="30"/>
        <v>0.30090497737556565</v>
      </c>
      <c r="G92" s="176">
        <f t="shared" si="31"/>
        <v>13.723794570135746</v>
      </c>
      <c r="H92" s="221">
        <f t="shared" si="32"/>
        <v>2.7447589140271491</v>
      </c>
      <c r="I92" s="451">
        <f t="shared" si="33"/>
        <v>35.36</v>
      </c>
      <c r="J92" s="176">
        <f t="shared" si="34"/>
        <v>1.35</v>
      </c>
      <c r="K92" s="176">
        <f t="shared" si="35"/>
        <v>0.3822815533980583</v>
      </c>
      <c r="L92" s="176">
        <f t="shared" si="36"/>
        <v>0.88815789473684215</v>
      </c>
      <c r="M92" s="451">
        <f t="shared" si="43"/>
        <v>350</v>
      </c>
      <c r="N92" s="201">
        <f t="shared" si="37"/>
        <v>350</v>
      </c>
      <c r="O92" s="221">
        <f t="shared" si="38"/>
        <v>3.0360698125404011</v>
      </c>
      <c r="P92" s="177">
        <f t="shared" si="39"/>
        <v>1.9974143503555271</v>
      </c>
      <c r="Q92" s="177">
        <f t="shared" si="40"/>
        <v>2.1225012942872938</v>
      </c>
      <c r="R92" s="177">
        <f t="shared" si="41"/>
        <v>0.53947368421052622</v>
      </c>
    </row>
    <row r="93" spans="3:18" x14ac:dyDescent="0.2">
      <c r="C93" s="174">
        <v>87</v>
      </c>
      <c r="D93" s="5">
        <f t="shared" si="42"/>
        <v>24.74</v>
      </c>
      <c r="E93" s="451">
        <f t="shared" si="29"/>
        <v>10.64</v>
      </c>
      <c r="F93" s="221">
        <f t="shared" si="30"/>
        <v>0.30073487846240821</v>
      </c>
      <c r="G93" s="176">
        <f t="shared" si="31"/>
        <v>13.72713374788016</v>
      </c>
      <c r="H93" s="221">
        <f t="shared" si="32"/>
        <v>2.7454267495760321</v>
      </c>
      <c r="I93" s="451">
        <f t="shared" si="33"/>
        <v>35.379999999999995</v>
      </c>
      <c r="J93" s="176">
        <f t="shared" si="34"/>
        <v>1.35</v>
      </c>
      <c r="K93" s="176">
        <f t="shared" si="35"/>
        <v>0.38197251414713024</v>
      </c>
      <c r="L93" s="176">
        <f t="shared" si="36"/>
        <v>0.88815789473684215</v>
      </c>
      <c r="M93" s="451">
        <f t="shared" si="43"/>
        <v>350</v>
      </c>
      <c r="N93" s="201">
        <f t="shared" si="37"/>
        <v>350</v>
      </c>
      <c r="O93" s="221">
        <f t="shared" si="38"/>
        <v>3.0368085278203991</v>
      </c>
      <c r="P93" s="177">
        <f t="shared" si="39"/>
        <v>1.9979003472502623</v>
      </c>
      <c r="Q93" s="177">
        <f t="shared" si="40"/>
        <v>2.1235342842927265</v>
      </c>
      <c r="R93" s="177">
        <f t="shared" si="41"/>
        <v>0.53947368421052622</v>
      </c>
    </row>
    <row r="94" spans="3:18" x14ac:dyDescent="0.2">
      <c r="C94" s="174">
        <v>88</v>
      </c>
      <c r="D94" s="5">
        <f t="shared" si="42"/>
        <v>24.76</v>
      </c>
      <c r="E94" s="451">
        <f t="shared" si="29"/>
        <v>10.64</v>
      </c>
      <c r="F94" s="221">
        <f t="shared" si="30"/>
        <v>0.30056497175141239</v>
      </c>
      <c r="G94" s="176">
        <f t="shared" si="31"/>
        <v>13.730469152542371</v>
      </c>
      <c r="H94" s="221">
        <f t="shared" si="32"/>
        <v>2.7460938305084741</v>
      </c>
      <c r="I94" s="451">
        <f t="shared" si="33"/>
        <v>35.400000000000006</v>
      </c>
      <c r="J94" s="176">
        <f t="shared" si="34"/>
        <v>1.35</v>
      </c>
      <c r="K94" s="176">
        <f t="shared" si="35"/>
        <v>0.38166397415185788</v>
      </c>
      <c r="L94" s="176">
        <f t="shared" si="36"/>
        <v>0.88815789473684215</v>
      </c>
      <c r="M94" s="451">
        <f t="shared" si="43"/>
        <v>350</v>
      </c>
      <c r="N94" s="201">
        <f t="shared" si="37"/>
        <v>350</v>
      </c>
      <c r="O94" s="221">
        <f t="shared" si="38"/>
        <v>3.0375464083938657</v>
      </c>
      <c r="P94" s="177">
        <f t="shared" si="39"/>
        <v>1.9983857949959642</v>
      </c>
      <c r="Q94" s="177">
        <f t="shared" si="40"/>
        <v>2.124566357961359</v>
      </c>
      <c r="R94" s="177">
        <f t="shared" si="41"/>
        <v>0.53947368421052622</v>
      </c>
    </row>
    <row r="95" spans="3:18" x14ac:dyDescent="0.2">
      <c r="C95" s="174">
        <v>89</v>
      </c>
      <c r="D95" s="5">
        <f t="shared" si="42"/>
        <v>24.78</v>
      </c>
      <c r="E95" s="451">
        <f t="shared" si="29"/>
        <v>10.64</v>
      </c>
      <c r="F95" s="221">
        <f t="shared" si="30"/>
        <v>0.30039525691699603</v>
      </c>
      <c r="G95" s="176">
        <f t="shared" si="31"/>
        <v>13.733800790513833</v>
      </c>
      <c r="H95" s="221">
        <f t="shared" si="32"/>
        <v>2.7467601581027665</v>
      </c>
      <c r="I95" s="451">
        <f t="shared" si="33"/>
        <v>35.42</v>
      </c>
      <c r="J95" s="176">
        <f t="shared" si="34"/>
        <v>1.35</v>
      </c>
      <c r="K95" s="176">
        <f t="shared" si="35"/>
        <v>0.38135593220338987</v>
      </c>
      <c r="L95" s="176">
        <f t="shared" si="36"/>
        <v>0.88815789473684215</v>
      </c>
      <c r="M95" s="451">
        <f t="shared" si="43"/>
        <v>350</v>
      </c>
      <c r="N95" s="201">
        <f t="shared" si="37"/>
        <v>350</v>
      </c>
      <c r="O95" s="221">
        <f t="shared" si="38"/>
        <v>3.03828345567476</v>
      </c>
      <c r="P95" s="177">
        <f t="shared" si="39"/>
        <v>1.9988706945228683</v>
      </c>
      <c r="Q95" s="177">
        <f t="shared" si="40"/>
        <v>2.1255975164206817</v>
      </c>
      <c r="R95" s="177">
        <f t="shared" si="41"/>
        <v>0.53947368421052622</v>
      </c>
    </row>
    <row r="96" spans="3:18" x14ac:dyDescent="0.2">
      <c r="C96" s="174">
        <v>90</v>
      </c>
      <c r="D96" s="5">
        <f t="shared" si="42"/>
        <v>24.8</v>
      </c>
      <c r="E96" s="451">
        <f t="shared" si="29"/>
        <v>10.64</v>
      </c>
      <c r="F96" s="221">
        <f t="shared" si="30"/>
        <v>0.30022573363431154</v>
      </c>
      <c r="G96" s="176">
        <f t="shared" si="31"/>
        <v>13.737128668171559</v>
      </c>
      <c r="H96" s="221">
        <f t="shared" si="32"/>
        <v>2.7474257336343118</v>
      </c>
      <c r="I96" s="451">
        <f t="shared" si="33"/>
        <v>35.44</v>
      </c>
      <c r="J96" s="176">
        <f t="shared" si="34"/>
        <v>1.35</v>
      </c>
      <c r="K96" s="176">
        <f t="shared" si="35"/>
        <v>0.38104838709677419</v>
      </c>
      <c r="L96" s="176">
        <f t="shared" si="36"/>
        <v>0.88815789473684215</v>
      </c>
      <c r="M96" s="451">
        <f t="shared" si="43"/>
        <v>350</v>
      </c>
      <c r="N96" s="201">
        <f t="shared" si="37"/>
        <v>350</v>
      </c>
      <c r="O96" s="221">
        <f t="shared" si="38"/>
        <v>3.0390196710738469</v>
      </c>
      <c r="P96" s="177">
        <f t="shared" si="39"/>
        <v>1.9993550467591097</v>
      </c>
      <c r="Q96" s="177">
        <f t="shared" si="40"/>
        <v>2.1266277607965969</v>
      </c>
      <c r="R96" s="177">
        <f t="shared" si="41"/>
        <v>0.53947368421052622</v>
      </c>
    </row>
    <row r="97" spans="3:18" x14ac:dyDescent="0.2">
      <c r="C97" s="174">
        <v>91</v>
      </c>
      <c r="D97" s="5">
        <f t="shared" si="42"/>
        <v>24.82</v>
      </c>
      <c r="E97" s="451">
        <f t="shared" si="29"/>
        <v>10.64</v>
      </c>
      <c r="F97" s="221">
        <f t="shared" si="30"/>
        <v>0.30005640157924424</v>
      </c>
      <c r="G97" s="176">
        <f t="shared" si="31"/>
        <v>13.740452791878173</v>
      </c>
      <c r="H97" s="221">
        <f t="shared" si="32"/>
        <v>2.7480905583756345</v>
      </c>
      <c r="I97" s="451">
        <f t="shared" si="33"/>
        <v>35.46</v>
      </c>
      <c r="J97" s="176">
        <f t="shared" si="34"/>
        <v>1.35</v>
      </c>
      <c r="K97" s="176">
        <f t="shared" si="35"/>
        <v>0.38074133763094281</v>
      </c>
      <c r="L97" s="176">
        <f t="shared" si="36"/>
        <v>0.88815789473684215</v>
      </c>
      <c r="M97" s="451">
        <f t="shared" si="43"/>
        <v>350</v>
      </c>
      <c r="N97" s="201">
        <f t="shared" si="37"/>
        <v>350</v>
      </c>
      <c r="O97" s="221">
        <f t="shared" si="38"/>
        <v>3.039755055998711</v>
      </c>
      <c r="P97" s="177">
        <f t="shared" si="39"/>
        <v>1.9998388526307307</v>
      </c>
      <c r="Q97" s="177">
        <f t="shared" si="40"/>
        <v>2.1276570922134237</v>
      </c>
      <c r="R97" s="177">
        <f t="shared" si="41"/>
        <v>0.53947368421052622</v>
      </c>
    </row>
    <row r="98" spans="3:18" x14ac:dyDescent="0.2">
      <c r="C98" s="174">
        <v>92</v>
      </c>
      <c r="D98" s="5">
        <f t="shared" si="42"/>
        <v>24.84</v>
      </c>
      <c r="E98" s="451">
        <f t="shared" si="29"/>
        <v>10.64</v>
      </c>
      <c r="F98" s="221">
        <f t="shared" si="30"/>
        <v>0.29988726042841035</v>
      </c>
      <c r="G98" s="176">
        <f t="shared" si="31"/>
        <v>13.74377316798196</v>
      </c>
      <c r="H98" s="221">
        <f t="shared" si="32"/>
        <v>2.7487546335963922</v>
      </c>
      <c r="I98" s="451">
        <f t="shared" si="33"/>
        <v>35.480000000000004</v>
      </c>
      <c r="J98" s="176">
        <f t="shared" si="34"/>
        <v>1.35</v>
      </c>
      <c r="K98" s="176">
        <f t="shared" si="35"/>
        <v>0.38043478260869568</v>
      </c>
      <c r="L98" s="176">
        <f t="shared" si="36"/>
        <v>0.88815789473684215</v>
      </c>
      <c r="M98" s="451">
        <f t="shared" si="43"/>
        <v>350</v>
      </c>
      <c r="N98" s="201">
        <f t="shared" si="37"/>
        <v>350</v>
      </c>
      <c r="O98" s="221">
        <f t="shared" si="38"/>
        <v>3.040489611853761</v>
      </c>
      <c r="P98" s="177">
        <f t="shared" si="39"/>
        <v>2.0003221130616851</v>
      </c>
      <c r="Q98" s="177">
        <f t="shared" si="40"/>
        <v>2.1286855117938961</v>
      </c>
      <c r="R98" s="177">
        <f t="shared" si="41"/>
        <v>0.53947368421052622</v>
      </c>
    </row>
    <row r="99" spans="3:18" x14ac:dyDescent="0.2">
      <c r="C99" s="174">
        <v>93</v>
      </c>
      <c r="D99" s="5">
        <f t="shared" si="42"/>
        <v>24.86</v>
      </c>
      <c r="E99" s="451">
        <f t="shared" si="29"/>
        <v>10.64</v>
      </c>
      <c r="F99" s="221">
        <f t="shared" si="30"/>
        <v>0.29971830985915493</v>
      </c>
      <c r="G99" s="176">
        <f t="shared" si="31"/>
        <v>13.7470898028169</v>
      </c>
      <c r="H99" s="221">
        <f t="shared" si="32"/>
        <v>2.7494179605633802</v>
      </c>
      <c r="I99" s="451">
        <f t="shared" si="33"/>
        <v>35.5</v>
      </c>
      <c r="J99" s="176">
        <f t="shared" si="34"/>
        <v>1.35</v>
      </c>
      <c r="K99" s="176">
        <f t="shared" si="35"/>
        <v>0.38012872083668553</v>
      </c>
      <c r="L99" s="176">
        <f t="shared" si="36"/>
        <v>0.88815789473684215</v>
      </c>
      <c r="M99" s="451">
        <f t="shared" si="43"/>
        <v>350</v>
      </c>
      <c r="N99" s="201">
        <f t="shared" si="37"/>
        <v>350</v>
      </c>
      <c r="O99" s="221">
        <f t="shared" si="38"/>
        <v>3.0412233400402413</v>
      </c>
      <c r="P99" s="177">
        <f t="shared" si="39"/>
        <v>2.0008048289738429</v>
      </c>
      <c r="Q99" s="177">
        <f t="shared" si="40"/>
        <v>2.1297130206591661</v>
      </c>
      <c r="R99" s="177">
        <f t="shared" si="41"/>
        <v>0.53947368421052622</v>
      </c>
    </row>
    <row r="100" spans="3:18" x14ac:dyDescent="0.2">
      <c r="C100" s="174">
        <v>94</v>
      </c>
      <c r="D100" s="5">
        <f t="shared" si="42"/>
        <v>24.88</v>
      </c>
      <c r="E100" s="451">
        <f t="shared" si="29"/>
        <v>10.64</v>
      </c>
      <c r="F100" s="221">
        <f t="shared" si="30"/>
        <v>0.2995495495495496</v>
      </c>
      <c r="G100" s="176">
        <f t="shared" si="31"/>
        <v>13.750402702702704</v>
      </c>
      <c r="H100" s="221">
        <f t="shared" si="32"/>
        <v>2.7500805405405409</v>
      </c>
      <c r="I100" s="451">
        <f t="shared" si="33"/>
        <v>35.519999999999996</v>
      </c>
      <c r="J100" s="176">
        <f t="shared" si="34"/>
        <v>1.35</v>
      </c>
      <c r="K100" s="176">
        <f t="shared" si="35"/>
        <v>0.37982315112540199</v>
      </c>
      <c r="L100" s="176">
        <f t="shared" si="36"/>
        <v>0.88815789473684215</v>
      </c>
      <c r="M100" s="451">
        <f t="shared" si="43"/>
        <v>350</v>
      </c>
      <c r="N100" s="201">
        <f t="shared" si="37"/>
        <v>350</v>
      </c>
      <c r="O100" s="221">
        <f t="shared" si="38"/>
        <v>3.0419562419562416</v>
      </c>
      <c r="P100" s="177">
        <f t="shared" si="39"/>
        <v>2.0012870012870012</v>
      </c>
      <c r="Q100" s="177">
        <f t="shared" si="40"/>
        <v>2.1307396199288089</v>
      </c>
      <c r="R100" s="177">
        <f t="shared" si="41"/>
        <v>0.53947368421052622</v>
      </c>
    </row>
    <row r="101" spans="3:18" x14ac:dyDescent="0.2">
      <c r="C101" s="174">
        <v>95</v>
      </c>
      <c r="D101" s="5">
        <f t="shared" si="42"/>
        <v>24.9</v>
      </c>
      <c r="E101" s="451">
        <f t="shared" si="29"/>
        <v>10.64</v>
      </c>
      <c r="F101" s="221">
        <f t="shared" si="30"/>
        <v>0.29938097917839057</v>
      </c>
      <c r="G101" s="176">
        <f t="shared" si="31"/>
        <v>13.753711873944852</v>
      </c>
      <c r="H101" s="221">
        <f t="shared" si="32"/>
        <v>2.7507423747889703</v>
      </c>
      <c r="I101" s="451">
        <f t="shared" si="33"/>
        <v>35.54</v>
      </c>
      <c r="J101" s="176">
        <f t="shared" si="34"/>
        <v>1.35</v>
      </c>
      <c r="K101" s="176">
        <f t="shared" si="35"/>
        <v>0.37951807228915674</v>
      </c>
      <c r="L101" s="176">
        <f t="shared" si="36"/>
        <v>0.88815789473684215</v>
      </c>
      <c r="M101" s="451">
        <f t="shared" si="43"/>
        <v>350</v>
      </c>
      <c r="N101" s="201">
        <f t="shared" si="37"/>
        <v>350</v>
      </c>
      <c r="O101" s="221">
        <f t="shared" si="38"/>
        <v>3.0426883189967038</v>
      </c>
      <c r="P101" s="177">
        <f t="shared" si="39"/>
        <v>2.0017686309188836</v>
      </c>
      <c r="Q101" s="177">
        <f t="shared" si="40"/>
        <v>2.131765310720819</v>
      </c>
      <c r="R101" s="177">
        <f t="shared" si="41"/>
        <v>0.53947368421052622</v>
      </c>
    </row>
    <row r="102" spans="3:18" x14ac:dyDescent="0.2">
      <c r="C102" s="174">
        <v>96</v>
      </c>
      <c r="D102" s="5">
        <f t="shared" si="42"/>
        <v>24.92</v>
      </c>
      <c r="E102" s="451">
        <f t="shared" si="29"/>
        <v>10.64</v>
      </c>
      <c r="F102" s="221">
        <f t="shared" si="30"/>
        <v>0.29921259842519687</v>
      </c>
      <c r="G102" s="176">
        <f t="shared" ref="G102:G106" si="44">F102*D102*Isw_max*0.5*Efficiency</f>
        <v>13.757017322834647</v>
      </c>
      <c r="H102" s="221">
        <f t="shared" ref="H102:H106" si="45">G102/Vout</f>
        <v>2.7514034645669296</v>
      </c>
      <c r="I102" s="451">
        <f t="shared" si="33"/>
        <v>35.56</v>
      </c>
      <c r="J102" s="176">
        <f t="shared" si="34"/>
        <v>1.35</v>
      </c>
      <c r="K102" s="176">
        <f t="shared" ref="K102:K106" si="46">L*J102/D102*1000000</f>
        <v>0.37921348314606745</v>
      </c>
      <c r="L102" s="176">
        <f t="shared" si="36"/>
        <v>0.88815789473684215</v>
      </c>
      <c r="M102" s="451">
        <f t="shared" si="43"/>
        <v>350</v>
      </c>
      <c r="N102" s="201">
        <f t="shared" si="37"/>
        <v>350</v>
      </c>
      <c r="O102" s="221">
        <f t="shared" ref="O102:O106" si="47">1/((N102*1000*L)*(1/D102+1/E102))</f>
        <v>3.0434195725534305</v>
      </c>
      <c r="P102" s="177">
        <f t="shared" ref="P102:P106" si="48">L*O102/E102*1000000</f>
        <v>2.0022497187851513</v>
      </c>
      <c r="Q102" s="177">
        <f t="shared" ref="Q102:Q106" si="49">0.5*P102*O102*Nps*N102/1000</f>
        <v>2.1327900941516158</v>
      </c>
      <c r="R102" s="177">
        <f t="shared" si="41"/>
        <v>0.53947368421052622</v>
      </c>
    </row>
    <row r="103" spans="3:18" x14ac:dyDescent="0.2">
      <c r="C103" s="174">
        <v>97</v>
      </c>
      <c r="D103" s="5">
        <f t="shared" ref="D103:D106" si="50">C103/100*(VIN_max-VIN_min)+VIN_min</f>
        <v>24.94</v>
      </c>
      <c r="E103" s="451">
        <f t="shared" si="29"/>
        <v>10.64</v>
      </c>
      <c r="F103" s="221">
        <f t="shared" si="30"/>
        <v>0.29904440697020801</v>
      </c>
      <c r="G103" s="176">
        <f t="shared" si="44"/>
        <v>13.760319055649243</v>
      </c>
      <c r="H103" s="221">
        <f t="shared" si="45"/>
        <v>2.7520638111298483</v>
      </c>
      <c r="I103" s="451">
        <f t="shared" si="33"/>
        <v>35.58</v>
      </c>
      <c r="J103" s="176">
        <f t="shared" si="34"/>
        <v>1.35</v>
      </c>
      <c r="K103" s="176">
        <f t="shared" si="46"/>
        <v>0.37890938251804329</v>
      </c>
      <c r="L103" s="176">
        <f t="shared" si="36"/>
        <v>0.88815789473684215</v>
      </c>
      <c r="M103" s="451">
        <f t="shared" si="43"/>
        <v>350</v>
      </c>
      <c r="N103" s="201">
        <f t="shared" si="37"/>
        <v>350</v>
      </c>
      <c r="O103" s="221">
        <f t="shared" si="47"/>
        <v>3.0441500040150968</v>
      </c>
      <c r="P103" s="177">
        <f t="shared" si="48"/>
        <v>2.0027302657994053</v>
      </c>
      <c r="Q103" s="177">
        <f t="shared" si="49"/>
        <v>2.1338139713360458</v>
      </c>
      <c r="R103" s="177">
        <f t="shared" si="41"/>
        <v>0.53947368421052622</v>
      </c>
    </row>
    <row r="104" spans="3:18" x14ac:dyDescent="0.2">
      <c r="C104" s="174">
        <v>98</v>
      </c>
      <c r="D104" s="5">
        <f t="shared" si="50"/>
        <v>24.96</v>
      </c>
      <c r="E104" s="451">
        <f t="shared" si="29"/>
        <v>10.64</v>
      </c>
      <c r="F104" s="221">
        <f t="shared" si="30"/>
        <v>0.29887640449438202</v>
      </c>
      <c r="G104" s="176">
        <f t="shared" si="44"/>
        <v>13.763617078651686</v>
      </c>
      <c r="H104" s="221">
        <f t="shared" si="45"/>
        <v>2.7527234157303373</v>
      </c>
      <c r="I104" s="451">
        <f t="shared" si="33"/>
        <v>35.6</v>
      </c>
      <c r="J104" s="176">
        <f t="shared" si="34"/>
        <v>1.35</v>
      </c>
      <c r="K104" s="176">
        <f t="shared" si="46"/>
        <v>0.37860576923076922</v>
      </c>
      <c r="L104" s="176">
        <f t="shared" si="36"/>
        <v>0.88815789473684215</v>
      </c>
      <c r="M104" s="451">
        <f t="shared" si="43"/>
        <v>350</v>
      </c>
      <c r="N104" s="201">
        <f t="shared" si="37"/>
        <v>350</v>
      </c>
      <c r="O104" s="221">
        <f t="shared" si="47"/>
        <v>3.0448796147672552</v>
      </c>
      <c r="P104" s="177">
        <f t="shared" si="48"/>
        <v>2.003210272873194</v>
      </c>
      <c r="Q104" s="177">
        <f t="shared" si="49"/>
        <v>2.1348369433873784</v>
      </c>
      <c r="R104" s="177">
        <f t="shared" si="41"/>
        <v>0.53947368421052622</v>
      </c>
    </row>
    <row r="105" spans="3:18" x14ac:dyDescent="0.2">
      <c r="C105" s="174">
        <v>99</v>
      </c>
      <c r="D105" s="5">
        <f t="shared" si="50"/>
        <v>24.98</v>
      </c>
      <c r="E105" s="451">
        <f t="shared" si="29"/>
        <v>10.64</v>
      </c>
      <c r="F105" s="221">
        <f t="shared" si="30"/>
        <v>0.29870859067939359</v>
      </c>
      <c r="G105" s="176">
        <f t="shared" si="44"/>
        <v>13.76691139809096</v>
      </c>
      <c r="H105" s="221">
        <f t="shared" si="45"/>
        <v>2.7533822796181919</v>
      </c>
      <c r="I105" s="451">
        <f t="shared" si="33"/>
        <v>35.620000000000005</v>
      </c>
      <c r="J105" s="176">
        <f t="shared" si="34"/>
        <v>1.35</v>
      </c>
      <c r="K105" s="176">
        <f t="shared" si="46"/>
        <v>0.37830264211369097</v>
      </c>
      <c r="L105" s="176">
        <f t="shared" si="36"/>
        <v>0.88815789473684215</v>
      </c>
      <c r="M105" s="451">
        <f t="shared" si="43"/>
        <v>350</v>
      </c>
      <c r="N105" s="201">
        <f t="shared" si="37"/>
        <v>350</v>
      </c>
      <c r="O105" s="221">
        <f t="shared" si="47"/>
        <v>3.0456084061923474</v>
      </c>
      <c r="P105" s="177">
        <f t="shared" si="48"/>
        <v>2.0036897409160179</v>
      </c>
      <c r="Q105" s="177">
        <f t="shared" si="49"/>
        <v>2.1358590114173168</v>
      </c>
      <c r="R105" s="177">
        <f t="shared" si="41"/>
        <v>0.53947368421052622</v>
      </c>
    </row>
    <row r="106" spans="3:18" x14ac:dyDescent="0.2">
      <c r="C106" s="174">
        <v>100</v>
      </c>
      <c r="D106" s="5">
        <f t="shared" si="50"/>
        <v>25</v>
      </c>
      <c r="E106" s="451">
        <f t="shared" si="29"/>
        <v>10.64</v>
      </c>
      <c r="F106" s="221">
        <f t="shared" si="30"/>
        <v>0.2985409652076319</v>
      </c>
      <c r="G106" s="176">
        <f t="shared" si="44"/>
        <v>13.770202020202021</v>
      </c>
      <c r="H106" s="221">
        <f t="shared" si="45"/>
        <v>2.7540404040404041</v>
      </c>
      <c r="I106" s="451">
        <f t="shared" si="33"/>
        <v>35.64</v>
      </c>
      <c r="J106" s="176">
        <f t="shared" si="34"/>
        <v>1.35</v>
      </c>
      <c r="K106" s="176">
        <f t="shared" si="46"/>
        <v>0.378</v>
      </c>
      <c r="L106" s="176">
        <f t="shared" si="36"/>
        <v>0.88815789473684215</v>
      </c>
      <c r="M106" s="451">
        <f t="shared" si="43"/>
        <v>350</v>
      </c>
      <c r="N106" s="201">
        <f t="shared" si="37"/>
        <v>350</v>
      </c>
      <c r="O106" s="221">
        <f t="shared" si="47"/>
        <v>3.0463363796697127</v>
      </c>
      <c r="P106" s="177">
        <f t="shared" si="48"/>
        <v>2.004168670835337</v>
      </c>
      <c r="Q106" s="177">
        <f t="shared" si="49"/>
        <v>2.136880176535993</v>
      </c>
      <c r="R106" s="177">
        <f t="shared" si="41"/>
        <v>0.53947368421052622</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40625" defaultRowHeight="12.75" x14ac:dyDescent="0.2"/>
  <cols>
    <col min="1" max="1" width="15.7109375" style="174" customWidth="1"/>
    <col min="2" max="2" width="11.5703125" style="174" customWidth="1"/>
    <col min="3" max="3" width="9.140625" style="174"/>
    <col min="4" max="4" width="12.42578125" style="174" bestFit="1" customWidth="1"/>
    <col min="5" max="5" width="51.42578125" style="174" customWidth="1"/>
    <col min="6" max="6" width="13.42578125" style="174" customWidth="1"/>
    <col min="7" max="7" width="10" style="174" customWidth="1"/>
    <col min="8" max="8" width="6.85546875" style="174" customWidth="1"/>
    <col min="9" max="9" width="12.42578125" style="174" bestFit="1" customWidth="1"/>
    <col min="10" max="10" width="9.140625" style="220" customWidth="1"/>
    <col min="11" max="11" width="8.85546875"/>
    <col min="13" max="13" width="10.85546875" customWidth="1"/>
    <col min="14" max="14" width="12" style="174" customWidth="1"/>
    <col min="15" max="15" width="12.7109375" style="220" customWidth="1"/>
    <col min="16" max="16" width="11.42578125" style="220" customWidth="1"/>
    <col min="17" max="17" width="12.42578125" style="220" customWidth="1"/>
    <col min="18" max="19" width="10.5703125" style="201" customWidth="1"/>
    <col min="20" max="20" width="10" style="201" customWidth="1"/>
    <col min="21" max="21" width="10.5703125" style="201" customWidth="1"/>
    <col min="22" max="22" width="8.42578125" style="220" customWidth="1"/>
    <col min="23" max="23" width="9.28515625" style="220" customWidth="1"/>
    <col min="24" max="24" width="9.42578125" style="174" customWidth="1"/>
    <col min="25" max="25" width="9.42578125" style="220" customWidth="1"/>
    <col min="26" max="26" width="8.28515625" style="221" customWidth="1"/>
    <col min="27" max="27" width="9.5703125" style="220" customWidth="1"/>
    <col min="28" max="28" width="9.42578125" style="220" bestFit="1" customWidth="1"/>
    <col min="29" max="29" width="8.5703125" style="220" customWidth="1"/>
    <col min="30" max="30" width="9.7109375" style="222" customWidth="1"/>
    <col min="31" max="31" width="9.140625" style="222" customWidth="1"/>
    <col min="32" max="32" width="8.140625" style="220" customWidth="1"/>
    <col min="33" max="33" width="10.28515625" style="220" customWidth="1"/>
    <col min="34" max="34" width="9.42578125" style="220" customWidth="1"/>
    <col min="35" max="35" width="8.85546875"/>
    <col min="36" max="36" width="9.7109375" style="220" customWidth="1"/>
    <col min="37" max="37" width="11.5703125" style="220" customWidth="1"/>
    <col min="38" max="38" width="10.140625" style="220" customWidth="1"/>
    <col min="39" max="39" width="11.140625" style="220" customWidth="1"/>
    <col min="40" max="40" width="9.140625" style="220"/>
    <col min="41" max="41" width="10.28515625" style="220" customWidth="1"/>
    <col min="42" max="42" width="9.85546875" style="220" customWidth="1"/>
    <col min="43" max="43" width="9.7109375" style="220" customWidth="1"/>
    <col min="44" max="44" width="10.28515625" style="220" customWidth="1"/>
    <col min="45" max="45" width="10.140625" style="220" customWidth="1"/>
    <col min="46" max="46" width="10.42578125" style="220" customWidth="1"/>
    <col min="47" max="47" width="11.28515625" style="220" customWidth="1"/>
    <col min="48" max="48" width="11.7109375" style="220" customWidth="1"/>
    <col min="49" max="49" width="10.42578125" style="220" customWidth="1"/>
    <col min="50" max="50" width="11.42578125" style="220" customWidth="1"/>
    <col min="51" max="51" width="10.140625" style="220" customWidth="1"/>
    <col min="52" max="52" width="10" style="176" bestFit="1" customWidth="1"/>
    <col min="53" max="55" width="12.7109375" style="349" customWidth="1"/>
    <col min="56" max="56" width="14" style="349" customWidth="1"/>
    <col min="57" max="57" width="12.85546875" style="349" customWidth="1"/>
    <col min="58" max="58" width="10.42578125" style="349" customWidth="1"/>
    <col min="59" max="59" width="9" style="349" customWidth="1"/>
    <col min="60" max="60" width="8.85546875" style="349" customWidth="1"/>
    <col min="61" max="61" width="10.85546875" style="349" customWidth="1"/>
    <col min="62" max="62" width="11.140625" style="349" customWidth="1"/>
    <col min="63" max="64" width="9.140625" style="349"/>
    <col min="65" max="65" width="8.85546875" style="176" customWidth="1"/>
    <col min="66" max="66" width="9.140625" style="221"/>
    <col min="67" max="67" width="12.5703125" style="174" customWidth="1"/>
    <col min="68" max="68" width="13.5703125" style="176" customWidth="1"/>
    <col min="69" max="69" width="12.7109375" style="201" customWidth="1"/>
    <col min="70" max="70" width="3.7109375" style="174" customWidth="1"/>
    <col min="71" max="71" width="12.42578125" style="174" bestFit="1" customWidth="1"/>
    <col min="72" max="72" width="3.5703125" style="174" customWidth="1"/>
    <col min="73" max="73" width="9.140625" style="176"/>
    <col min="74" max="74" width="11.140625" style="176" customWidth="1"/>
    <col min="75" max="75" width="9.140625" style="176"/>
    <col min="76" max="76" width="4.7109375" style="174" customWidth="1"/>
    <col min="77" max="77" width="3.7109375" style="174" customWidth="1"/>
    <col min="78" max="78" width="12.42578125" style="174" customWidth="1"/>
    <col min="79" max="79" width="11.85546875" style="174" customWidth="1"/>
    <col min="80" max="80" width="11.5703125" style="174" customWidth="1"/>
    <col min="81" max="81" width="11.7109375" style="174" customWidth="1"/>
    <col min="82" max="82" width="9.140625" style="174"/>
    <col min="83" max="83" width="9.140625" style="174" customWidth="1"/>
    <col min="84" max="16384" width="9.140625" style="174"/>
  </cols>
  <sheetData>
    <row r="1" spans="1:81" x14ac:dyDescent="0.2">
      <c r="A1" s="854" t="s">
        <v>515</v>
      </c>
      <c r="B1" s="854"/>
      <c r="C1" s="854"/>
      <c r="D1" s="854"/>
      <c r="E1" s="854"/>
    </row>
    <row r="2" spans="1:81" ht="15.75" x14ac:dyDescent="0.2">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5" thickBot="1" x14ac:dyDescent="0.25">
      <c r="A3" s="854"/>
      <c r="B3" s="854"/>
      <c r="C3" s="854"/>
      <c r="D3" s="854"/>
      <c r="E3" s="854"/>
    </row>
    <row r="4" spans="1:81" ht="13.5" thickBot="1" x14ac:dyDescent="0.25">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4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x14ac:dyDescent="0.2">
      <c r="A6" s="265" t="s">
        <v>26</v>
      </c>
      <c r="B6" s="266" t="s">
        <v>43</v>
      </c>
      <c r="C6" s="267" t="s">
        <v>33</v>
      </c>
      <c r="D6" s="268" t="s">
        <v>90</v>
      </c>
      <c r="E6" s="269" t="s">
        <v>41</v>
      </c>
      <c r="F6" s="270"/>
      <c r="G6" s="270"/>
      <c r="H6" s="174">
        <v>0.1</v>
      </c>
      <c r="I6" s="465">
        <f t="shared" ref="I6:I37" si="0">IF(PLOT_TYPE=1, H6/100*Iout_max, min_I*EXP(H6*rr/100))</f>
        <v>1E-3</v>
      </c>
      <c r="J6" s="221"/>
      <c r="K6" s="221"/>
      <c r="L6" s="221"/>
      <c r="M6" s="221"/>
      <c r="N6" s="271"/>
      <c r="O6" s="176"/>
      <c r="P6" s="221"/>
      <c r="Q6" s="451"/>
      <c r="S6" s="272"/>
      <c r="T6" s="272"/>
      <c r="U6" s="272"/>
      <c r="AJ6" s="451"/>
      <c r="AY6" s="220">
        <f>Vout*I6</f>
        <v>5.0000000000000001E-3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f xml:space="preserve"> CHOOSE(MODE, I6*1000,#REF!)</f>
        <v>1</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f xml:space="preserve"> IF(MODE=1, BM6,#REF!)</f>
        <v>100</v>
      </c>
      <c r="CA6" s="176">
        <f xml:space="preserve"> IF(MODE=1, BU6,#REF!)</f>
        <v>0</v>
      </c>
      <c r="CB6" s="176">
        <f xml:space="preserve"> IF(MODE=1, BV6,#REF!)</f>
        <v>0</v>
      </c>
      <c r="CC6" s="176">
        <f xml:space="preserve"> IF(MODE=1, BW6,#REF!)</f>
        <v>0</v>
      </c>
    </row>
    <row r="7" spans="1:81" x14ac:dyDescent="0.2">
      <c r="A7" s="422"/>
      <c r="B7" s="266"/>
      <c r="C7" s="267"/>
      <c r="D7" s="268"/>
      <c r="E7" s="269"/>
      <c r="F7" s="270"/>
      <c r="G7" s="270"/>
      <c r="H7" s="174">
        <v>1</v>
      </c>
      <c r="I7" s="465">
        <f t="shared" si="0"/>
        <v>0.01</v>
      </c>
      <c r="J7" s="221"/>
      <c r="K7" s="221"/>
      <c r="L7" s="221"/>
      <c r="M7" s="221"/>
      <c r="N7" s="271"/>
      <c r="O7" s="176"/>
      <c r="P7" s="221"/>
      <c r="Q7" s="451"/>
      <c r="S7" s="272"/>
      <c r="T7" s="272"/>
      <c r="U7" s="272"/>
      <c r="AJ7" s="451"/>
      <c r="AY7" s="220">
        <f>Vout*I7</f>
        <v>0.05</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f xml:space="preserve"> CHOOSE(MODE, I7*1000,#REF!)</f>
        <v>10</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f xml:space="preserve"> IF(MODE=1, BM7,#REF!)</f>
        <v>100</v>
      </c>
      <c r="CA7" s="176">
        <f xml:space="preserve"> IF(MODE=1, BU7,#REF!)</f>
        <v>0</v>
      </c>
      <c r="CB7" s="176">
        <f xml:space="preserve"> IF(MODE=1, BV7,#REF!)</f>
        <v>0</v>
      </c>
      <c r="CC7" s="176">
        <f xml:space="preserve"> IF(MODE=1, BW7,#REF!)</f>
        <v>0</v>
      </c>
    </row>
    <row r="8" spans="1:81" x14ac:dyDescent="0.2">
      <c r="A8" s="277" t="s">
        <v>3</v>
      </c>
      <c r="B8" s="278">
        <f>Vin</f>
        <v>24</v>
      </c>
      <c r="C8" s="279" t="s">
        <v>0</v>
      </c>
      <c r="D8" s="198">
        <f>B8</f>
        <v>24</v>
      </c>
      <c r="E8" s="192" t="s">
        <v>3</v>
      </c>
      <c r="F8" s="270"/>
      <c r="G8" s="270"/>
      <c r="H8" s="174">
        <v>2</v>
      </c>
      <c r="I8" s="465">
        <f t="shared" si="0"/>
        <v>0.02</v>
      </c>
      <c r="J8" s="221"/>
      <c r="K8" s="221"/>
      <c r="L8" s="221"/>
      <c r="M8" s="221"/>
      <c r="N8" s="271"/>
      <c r="O8" s="176"/>
      <c r="P8" s="221"/>
      <c r="Q8" s="451"/>
      <c r="S8" s="272"/>
      <c r="T8" s="272"/>
      <c r="U8" s="272"/>
      <c r="AJ8" s="451"/>
      <c r="AY8" s="220">
        <f>Vout*I8</f>
        <v>0.1</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f xml:space="preserve"> CHOOSE(MODE, I8*1000,#REF!)</f>
        <v>20</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f xml:space="preserve"> IF(MODE=1, BM8,#REF!)</f>
        <v>100</v>
      </c>
      <c r="CA8" s="176">
        <f xml:space="preserve"> IF(MODE=1, BU8,#REF!)</f>
        <v>0</v>
      </c>
      <c r="CB8" s="176">
        <f xml:space="preserve"> IF(MODE=1, BV8,#REF!)</f>
        <v>0</v>
      </c>
      <c r="CC8" s="176">
        <f xml:space="preserve"> IF(MODE=1, BW8,#REF!)</f>
        <v>0</v>
      </c>
    </row>
    <row r="9" spans="1:81" x14ac:dyDescent="0.2">
      <c r="A9" s="280" t="s">
        <v>4</v>
      </c>
      <c r="B9" s="278">
        <f>Vout</f>
        <v>5</v>
      </c>
      <c r="C9" s="279" t="s">
        <v>0</v>
      </c>
      <c r="D9" s="198">
        <f>B9</f>
        <v>5</v>
      </c>
      <c r="E9" s="192" t="s">
        <v>4</v>
      </c>
      <c r="F9" s="270"/>
      <c r="G9" s="270"/>
      <c r="H9" s="174">
        <v>3</v>
      </c>
      <c r="I9" s="465">
        <f t="shared" si="0"/>
        <v>0.03</v>
      </c>
      <c r="J9" s="221"/>
      <c r="K9" s="221"/>
      <c r="L9" s="221"/>
      <c r="M9" s="221"/>
      <c r="N9" s="271"/>
      <c r="O9" s="176"/>
      <c r="P9" s="221"/>
      <c r="Q9" s="451"/>
      <c r="S9" s="272"/>
      <c r="T9" s="272"/>
      <c r="U9" s="272"/>
      <c r="AJ9" s="451"/>
      <c r="AY9" s="220">
        <f>Vout*I9</f>
        <v>0.15</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f xml:space="preserve"> CHOOSE(MODE, I9*1000,#REF!)</f>
        <v>30</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f xml:space="preserve"> IF(MODE=1, BM9,#REF!)</f>
        <v>100</v>
      </c>
      <c r="CA9" s="176">
        <f xml:space="preserve"> IF(MODE=1, BU9,#REF!)</f>
        <v>0</v>
      </c>
      <c r="CB9" s="176">
        <f xml:space="preserve"> IF(MODE=1, BV9,#REF!)</f>
        <v>0</v>
      </c>
      <c r="CC9" s="176">
        <f xml:space="preserve"> IF(MODE=1, BW9,#REF!)</f>
        <v>0</v>
      </c>
    </row>
    <row r="10" spans="1:81" x14ac:dyDescent="0.2">
      <c r="A10" s="280" t="s">
        <v>5</v>
      </c>
      <c r="B10" s="278">
        <f>Iout</f>
        <v>1</v>
      </c>
      <c r="C10" s="279" t="s">
        <v>1</v>
      </c>
      <c r="D10" s="198">
        <f>B10</f>
        <v>1</v>
      </c>
      <c r="E10" s="281" t="s">
        <v>241</v>
      </c>
      <c r="F10" s="270"/>
      <c r="G10" s="270"/>
      <c r="H10" s="174">
        <v>4</v>
      </c>
      <c r="I10" s="465">
        <f t="shared" si="0"/>
        <v>0.04</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x14ac:dyDescent="0.2">
      <c r="A11" s="280" t="s">
        <v>139</v>
      </c>
      <c r="B11" s="361">
        <f>Vout/(Fsw/1000)*100000/16</f>
        <v>156250</v>
      </c>
      <c r="C11" s="282" t="s">
        <v>242</v>
      </c>
      <c r="D11" s="296">
        <f>B11*1000</f>
        <v>156250000</v>
      </c>
      <c r="E11" s="281"/>
      <c r="F11" s="270"/>
      <c r="G11" s="270"/>
      <c r="H11" s="174">
        <v>5</v>
      </c>
      <c r="I11" s="465">
        <f t="shared" si="0"/>
        <v>0.05</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x14ac:dyDescent="0.2">
      <c r="A12" s="280" t="s">
        <v>243</v>
      </c>
      <c r="B12" s="278">
        <v>25</v>
      </c>
      <c r="C12" s="279" t="s">
        <v>102</v>
      </c>
      <c r="D12" s="198">
        <f>B12</f>
        <v>25</v>
      </c>
      <c r="E12" s="281" t="s">
        <v>244</v>
      </c>
      <c r="F12" s="270">
        <f>Turns_Ratio</f>
        <v>5</v>
      </c>
      <c r="H12" s="174">
        <v>6</v>
      </c>
      <c r="I12" s="465">
        <f t="shared" si="0"/>
        <v>0.06</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x14ac:dyDescent="0.2">
      <c r="A13" s="283" t="s">
        <v>245</v>
      </c>
      <c r="B13" s="284">
        <v>5</v>
      </c>
      <c r="C13" s="279" t="s">
        <v>0</v>
      </c>
      <c r="D13" s="198">
        <f>B13</f>
        <v>5</v>
      </c>
      <c r="E13" s="281"/>
      <c r="F13" s="270"/>
      <c r="G13" s="270"/>
      <c r="H13" s="174">
        <v>7</v>
      </c>
      <c r="I13" s="465">
        <f t="shared" si="0"/>
        <v>7.0000000000000007E-2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x14ac:dyDescent="0.2">
      <c r="F14" s="270"/>
      <c r="G14" s="270"/>
      <c r="H14" s="174">
        <v>8</v>
      </c>
      <c r="I14" s="465">
        <f t="shared" si="0"/>
        <v>0.08</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x14ac:dyDescent="0.2">
      <c r="A15" s="285" t="s">
        <v>34</v>
      </c>
      <c r="B15" s="243"/>
      <c r="C15" s="243"/>
      <c r="D15" s="243"/>
      <c r="E15" s="244"/>
      <c r="F15" s="270"/>
      <c r="G15" s="270"/>
      <c r="H15" s="174">
        <v>9</v>
      </c>
      <c r="I15" s="465">
        <f t="shared" si="0"/>
        <v>0.09</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x14ac:dyDescent="0.2">
      <c r="A16" s="286" t="s">
        <v>26</v>
      </c>
      <c r="B16" s="266" t="s">
        <v>6</v>
      </c>
      <c r="C16" s="287" t="s">
        <v>33</v>
      </c>
      <c r="D16" s="288" t="s">
        <v>90</v>
      </c>
      <c r="E16" s="269" t="s">
        <v>41</v>
      </c>
      <c r="F16" s="270"/>
      <c r="G16" s="270"/>
      <c r="H16" s="174">
        <v>10</v>
      </c>
      <c r="I16" s="465">
        <f t="shared" si="0"/>
        <v>0.1</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x14ac:dyDescent="0.2">
      <c r="A17" s="289" t="s">
        <v>246</v>
      </c>
      <c r="B17" s="290">
        <f>Vout/Vin/Fsw*1000000</f>
        <v>1041.6666666666667</v>
      </c>
      <c r="C17" s="291" t="s">
        <v>247</v>
      </c>
      <c r="D17" s="292">
        <f>B17/1000000</f>
        <v>1.0416666666666667E-3</v>
      </c>
      <c r="E17" s="281" t="s">
        <v>248</v>
      </c>
      <c r="F17" s="270"/>
      <c r="G17" s="270"/>
      <c r="H17" s="174">
        <v>11</v>
      </c>
      <c r="I17" s="465">
        <f t="shared" si="0"/>
        <v>0.11</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x14ac:dyDescent="0.2">
      <c r="A18" s="289" t="s">
        <v>249</v>
      </c>
      <c r="B18" s="290"/>
      <c r="C18" s="291" t="s">
        <v>247</v>
      </c>
      <c r="D18" s="293">
        <f>B18/1000000</f>
        <v>0</v>
      </c>
      <c r="E18" s="279" t="s">
        <v>250</v>
      </c>
      <c r="F18" s="270"/>
      <c r="G18" s="270"/>
      <c r="H18" s="174">
        <v>12</v>
      </c>
      <c r="I18" s="465">
        <f t="shared" si="0"/>
        <v>0.12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75" x14ac:dyDescent="0.3">
      <c r="A19" s="283" t="s">
        <v>251</v>
      </c>
      <c r="B19" s="294">
        <f>(Vin-Vout-(Rdcr_pri+Rdson)*Iout)/L*OnTime*1000</f>
        <v>2796130.9523809524</v>
      </c>
      <c r="C19" s="281" t="s">
        <v>30</v>
      </c>
      <c r="D19" s="194">
        <f>B19/1000</f>
        <v>2796.1309523809523</v>
      </c>
      <c r="E19" s="279" t="s">
        <v>252</v>
      </c>
      <c r="F19" s="270"/>
      <c r="G19" s="270"/>
      <c r="H19" s="174">
        <v>13</v>
      </c>
      <c r="I19" s="465">
        <f t="shared" si="0"/>
        <v>0.13</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x14ac:dyDescent="0.2">
      <c r="A20" s="289" t="s">
        <v>253</v>
      </c>
      <c r="B20" s="295">
        <f>'LM(2)518x PSR flyback converter'!E13</f>
        <v>0.2</v>
      </c>
      <c r="C20" s="279" t="s">
        <v>2</v>
      </c>
      <c r="D20" s="296">
        <f>B20*1000</f>
        <v>200</v>
      </c>
      <c r="E20" s="281" t="s">
        <v>254</v>
      </c>
      <c r="F20" s="363"/>
      <c r="G20" s="270"/>
      <c r="H20" s="174">
        <v>14</v>
      </c>
      <c r="I20" s="465">
        <f t="shared" si="0"/>
        <v>0.14000000000000001</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x14ac:dyDescent="0.2">
      <c r="A21" s="289" t="s">
        <v>417</v>
      </c>
      <c r="B21" s="294">
        <v>350</v>
      </c>
      <c r="C21" s="281" t="s">
        <v>2</v>
      </c>
      <c r="D21" s="296">
        <f>B21*1000</f>
        <v>350000</v>
      </c>
      <c r="E21" s="281" t="s">
        <v>418</v>
      </c>
      <c r="F21" s="270"/>
      <c r="G21" s="270"/>
      <c r="H21" s="174">
        <v>15</v>
      </c>
      <c r="I21" s="465">
        <f t="shared" si="0"/>
        <v>0.15</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x14ac:dyDescent="0.2">
      <c r="A22" s="297" t="s">
        <v>38</v>
      </c>
      <c r="B22" s="298">
        <v>10</v>
      </c>
      <c r="C22" s="279" t="s">
        <v>32</v>
      </c>
      <c r="D22" s="299">
        <f>B22/1000000000</f>
        <v>1E-8</v>
      </c>
      <c r="E22" s="192" t="s">
        <v>255</v>
      </c>
      <c r="F22" s="270"/>
      <c r="G22" s="270"/>
      <c r="H22" s="174">
        <v>16</v>
      </c>
      <c r="I22" s="465">
        <f t="shared" si="0"/>
        <v>0.16</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x14ac:dyDescent="0.2">
      <c r="A23" s="297" t="s">
        <v>39</v>
      </c>
      <c r="B23" s="298">
        <v>10</v>
      </c>
      <c r="C23" s="279" t="s">
        <v>32</v>
      </c>
      <c r="D23" s="299">
        <f>B23/1000000000</f>
        <v>1E-8</v>
      </c>
      <c r="E23" s="192" t="s">
        <v>256</v>
      </c>
      <c r="F23" s="270"/>
      <c r="G23" s="270"/>
      <c r="H23" s="174">
        <v>17</v>
      </c>
      <c r="I23" s="465">
        <f t="shared" si="0"/>
        <v>0.17</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x14ac:dyDescent="0.2">
      <c r="A24" s="244"/>
      <c r="B24" s="244"/>
      <c r="C24" s="244"/>
      <c r="D24" s="244"/>
      <c r="E24" s="244"/>
      <c r="F24" s="270"/>
      <c r="G24" s="270"/>
      <c r="H24" s="174">
        <v>18</v>
      </c>
      <c r="I24" s="465">
        <f t="shared" si="0"/>
        <v>0.18</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x14ac:dyDescent="0.2">
      <c r="A25" s="286" t="s">
        <v>29</v>
      </c>
      <c r="B25" s="267" t="s">
        <v>43</v>
      </c>
      <c r="C25" s="287" t="s">
        <v>33</v>
      </c>
      <c r="D25" s="288" t="s">
        <v>90</v>
      </c>
      <c r="E25" s="269" t="s">
        <v>41</v>
      </c>
      <c r="F25" s="270"/>
      <c r="G25" s="270"/>
      <c r="H25" s="174">
        <v>19</v>
      </c>
      <c r="I25" s="465">
        <f t="shared" si="0"/>
        <v>0.19</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25">
      <c r="A26" s="300" t="s">
        <v>27</v>
      </c>
      <c r="B26" s="281">
        <f>'LM(2)518x PSR flyback converter'!L7</f>
        <v>7</v>
      </c>
      <c r="C26" s="291" t="s">
        <v>96</v>
      </c>
      <c r="D26" s="198">
        <f>B26/1000000</f>
        <v>6.9999999999999999E-6</v>
      </c>
      <c r="E26" s="281" t="s">
        <v>257</v>
      </c>
      <c r="F26" s="301"/>
      <c r="G26" s="270"/>
      <c r="H26" s="174">
        <v>20</v>
      </c>
      <c r="I26" s="465">
        <f t="shared" si="0"/>
        <v>0.2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25">
      <c r="A27" s="302" t="s">
        <v>392</v>
      </c>
      <c r="B27" s="303">
        <f>'LM(2)518x PSR flyback converter'!L8</f>
        <v>100</v>
      </c>
      <c r="C27" s="304" t="s">
        <v>258</v>
      </c>
      <c r="D27" s="198">
        <f>B27/1000</f>
        <v>0.1</v>
      </c>
      <c r="E27" s="281" t="s">
        <v>487</v>
      </c>
      <c r="F27" s="270"/>
      <c r="G27" s="270"/>
      <c r="H27" s="174">
        <v>21</v>
      </c>
      <c r="I27" s="465">
        <f t="shared" si="0"/>
        <v>0.21</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25">
      <c r="A28" s="302" t="s">
        <v>455</v>
      </c>
      <c r="B28" s="303">
        <f>'LM(2)518x PSR flyback converter'!L9</f>
        <v>30</v>
      </c>
      <c r="C28" s="304" t="s">
        <v>258</v>
      </c>
      <c r="D28" s="198">
        <f>B28/1000</f>
        <v>0.03</v>
      </c>
      <c r="E28" s="281" t="s">
        <v>661</v>
      </c>
      <c r="F28" s="270"/>
      <c r="G28" s="270"/>
      <c r="H28" s="174">
        <v>22</v>
      </c>
      <c r="I28" s="465">
        <f t="shared" si="0"/>
        <v>0.22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25">
      <c r="A29" s="305" t="s">
        <v>259</v>
      </c>
      <c r="B29" s="306">
        <v>0</v>
      </c>
      <c r="C29" s="304"/>
      <c r="D29" s="307">
        <f>B29</f>
        <v>0</v>
      </c>
      <c r="E29" s="308" t="s">
        <v>486</v>
      </c>
      <c r="F29" s="270"/>
      <c r="G29" s="270"/>
      <c r="H29" s="174">
        <v>23</v>
      </c>
      <c r="I29" s="465">
        <f t="shared" si="0"/>
        <v>0.23</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25">
      <c r="A30" s="309" t="s">
        <v>28</v>
      </c>
      <c r="B30" s="303">
        <f>'LM(2)518x PSR flyback converter'!E18</f>
        <v>10</v>
      </c>
      <c r="C30" s="310" t="s">
        <v>97</v>
      </c>
      <c r="D30" s="311">
        <f>B30/1000000</f>
        <v>1.0000000000000001E-5</v>
      </c>
      <c r="E30" s="312" t="s">
        <v>60</v>
      </c>
      <c r="F30" s="270"/>
      <c r="G30" s="270"/>
      <c r="H30" s="174">
        <v>24</v>
      </c>
      <c r="I30" s="465">
        <f t="shared" si="0"/>
        <v>0.24</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25">
      <c r="A31" s="305" t="s">
        <v>260</v>
      </c>
      <c r="B31" s="303">
        <f>'LM(2)518x PSR flyback converter'!E19</f>
        <v>3</v>
      </c>
      <c r="C31" s="304" t="s">
        <v>258</v>
      </c>
      <c r="D31" s="198">
        <f>B31/1000</f>
        <v>3.0000000000000001E-3</v>
      </c>
      <c r="E31" s="281" t="s">
        <v>261</v>
      </c>
      <c r="F31" s="270"/>
      <c r="G31" s="270"/>
      <c r="H31" s="174">
        <v>25</v>
      </c>
      <c r="I31" s="465">
        <f t="shared" si="0"/>
        <v>0.25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25">
      <c r="A32" s="300" t="s">
        <v>14</v>
      </c>
      <c r="B32" s="362">
        <f>'LM(2)518x PSR flyback converter'!E22</f>
        <v>100</v>
      </c>
      <c r="C32" s="291" t="s">
        <v>97</v>
      </c>
      <c r="D32" s="292">
        <f>B32/1000000</f>
        <v>1E-4</v>
      </c>
      <c r="E32" s="281" t="s">
        <v>262</v>
      </c>
      <c r="F32" s="270"/>
      <c r="G32" s="270"/>
      <c r="H32" s="174">
        <v>26</v>
      </c>
      <c r="I32" s="465">
        <f t="shared" si="0"/>
        <v>0.26</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x14ac:dyDescent="0.2">
      <c r="A33" s="305" t="s">
        <v>263</v>
      </c>
      <c r="B33" s="362">
        <f>'LM(2)518x PSR flyback converter'!E23</f>
        <v>3</v>
      </c>
      <c r="C33" s="304" t="s">
        <v>258</v>
      </c>
      <c r="D33" s="198">
        <f>B33/1000</f>
        <v>3.0000000000000001E-3</v>
      </c>
      <c r="E33" s="281" t="s">
        <v>264</v>
      </c>
      <c r="F33" s="270"/>
      <c r="G33" s="270"/>
      <c r="H33" s="174">
        <v>27</v>
      </c>
      <c r="I33" s="465">
        <f t="shared" si="0"/>
        <v>0.27</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x14ac:dyDescent="0.2">
      <c r="A34" s="313" t="s">
        <v>401</v>
      </c>
      <c r="B34" s="267"/>
      <c r="C34" s="313" t="s">
        <v>33</v>
      </c>
      <c r="D34" s="314" t="s">
        <v>90</v>
      </c>
      <c r="E34" s="315" t="s">
        <v>41</v>
      </c>
      <c r="F34" s="270"/>
      <c r="G34" s="270"/>
      <c r="H34" s="174">
        <v>28</v>
      </c>
      <c r="I34" s="465">
        <f t="shared" si="0"/>
        <v>0.28000000000000003</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x14ac:dyDescent="0.2">
      <c r="A35" s="302" t="s">
        <v>406</v>
      </c>
      <c r="B35" s="316">
        <f>CHOOSE(VARIANT, 1.5, 0.75, 1.5, 2.5, 4.1)</f>
        <v>4.0999999999999996</v>
      </c>
      <c r="C35" s="291" t="s">
        <v>1</v>
      </c>
      <c r="D35" s="273">
        <f>B35</f>
        <v>4.0999999999999996</v>
      </c>
      <c r="E35" s="192" t="s">
        <v>405</v>
      </c>
      <c r="F35" s="270"/>
      <c r="G35" s="270"/>
      <c r="H35" s="174">
        <v>29</v>
      </c>
      <c r="I35" s="465">
        <f t="shared" si="0"/>
        <v>0.28999999999999998</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x14ac:dyDescent="0.2">
      <c r="A36" s="302" t="s">
        <v>414</v>
      </c>
      <c r="B36" s="316">
        <f>B35/5</f>
        <v>0.82</v>
      </c>
      <c r="C36" s="291" t="s">
        <v>1</v>
      </c>
      <c r="D36" s="273">
        <f>B36</f>
        <v>0.82</v>
      </c>
      <c r="E36" s="192" t="s">
        <v>415</v>
      </c>
      <c r="F36" s="270"/>
      <c r="G36" s="270"/>
      <c r="H36" s="174">
        <v>30</v>
      </c>
      <c r="I36" s="465">
        <f t="shared" si="0"/>
        <v>0.3</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25">
      <c r="A37" s="302" t="s">
        <v>693</v>
      </c>
      <c r="B37" s="650">
        <v>30</v>
      </c>
      <c r="C37" s="174" t="s">
        <v>32</v>
      </c>
      <c r="D37" s="174">
        <f>B37*0.000000001</f>
        <v>3.0000000000000004E-8</v>
      </c>
      <c r="E37" s="174" t="s">
        <v>694</v>
      </c>
      <c r="F37" s="270"/>
      <c r="G37" s="270"/>
      <c r="H37" s="174">
        <v>31</v>
      </c>
      <c r="I37" s="465">
        <f t="shared" si="0"/>
        <v>0.31</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5" thickBot="1" x14ac:dyDescent="0.25">
      <c r="A38" s="317" t="s">
        <v>47</v>
      </c>
      <c r="B38" s="536">
        <v>1</v>
      </c>
      <c r="C38" s="291"/>
      <c r="D38" s="273">
        <f>B38</f>
        <v>1</v>
      </c>
      <c r="E38" s="192" t="s">
        <v>416</v>
      </c>
      <c r="H38" s="174">
        <v>32</v>
      </c>
      <c r="I38" s="465">
        <f t="shared" ref="I38:I69" si="24">IF(PLOT_TYPE=1, H38/100*Iout_max, min_I*EXP(H38*rr/100))</f>
        <v>0.32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
      <c r="A39" s="302" t="s">
        <v>24</v>
      </c>
      <c r="B39" s="318">
        <v>290</v>
      </c>
      <c r="C39" s="291" t="s">
        <v>265</v>
      </c>
      <c r="D39" s="293">
        <f>B39/1000000</f>
        <v>2.9E-4</v>
      </c>
      <c r="E39" s="281" t="s">
        <v>488</v>
      </c>
      <c r="H39" s="174">
        <v>33</v>
      </c>
      <c r="I39" s="465">
        <f t="shared" si="24"/>
        <v>0.33</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25">
      <c r="A40" s="313" t="s">
        <v>398</v>
      </c>
      <c r="B40" s="319"/>
      <c r="C40" s="313" t="s">
        <v>33</v>
      </c>
      <c r="D40" s="314" t="s">
        <v>90</v>
      </c>
      <c r="E40" s="320" t="s">
        <v>41</v>
      </c>
      <c r="H40" s="174">
        <v>34</v>
      </c>
      <c r="I40" s="465">
        <f t="shared" si="24"/>
        <v>0.34</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
      <c r="A41" s="321" t="s">
        <v>399</v>
      </c>
      <c r="B41" s="322">
        <f>CHOOSE(VARIANT, 350, 350, 350, 110, 110)</f>
        <v>110</v>
      </c>
      <c r="C41" s="282" t="s">
        <v>258</v>
      </c>
      <c r="D41" s="175">
        <f>B41/1000</f>
        <v>0.11</v>
      </c>
      <c r="E41" s="281" t="s">
        <v>403</v>
      </c>
      <c r="H41" s="174">
        <v>35</v>
      </c>
      <c r="I41" s="465">
        <f t="shared" si="24"/>
        <v>0.35</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5" thickBot="1" x14ac:dyDescent="0.25">
      <c r="A42" s="174" t="s">
        <v>687</v>
      </c>
      <c r="B42" s="174">
        <v>4500</v>
      </c>
      <c r="C42" s="645" t="s">
        <v>688</v>
      </c>
      <c r="D42" s="175">
        <f>B42/1000000</f>
        <v>4.4999999999999997E-3</v>
      </c>
      <c r="E42" s="646" t="s">
        <v>689</v>
      </c>
      <c r="H42" s="174">
        <v>36</v>
      </c>
      <c r="I42" s="465">
        <f t="shared" si="24"/>
        <v>0.36</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25">
      <c r="A43" s="302" t="s">
        <v>266</v>
      </c>
      <c r="B43" s="323"/>
      <c r="C43" s="324" t="s">
        <v>267</v>
      </c>
      <c r="D43" s="175"/>
      <c r="E43" s="281" t="s">
        <v>266</v>
      </c>
      <c r="H43" s="174">
        <v>37</v>
      </c>
      <c r="I43" s="465">
        <f t="shared" si="24"/>
        <v>0.37</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5" thickBot="1" x14ac:dyDescent="0.25">
      <c r="A44" s="302" t="s">
        <v>400</v>
      </c>
      <c r="B44" s="322">
        <f>CHOOSE(VARIANT, 2.5, 2.5, 2.5, 10, 10)</f>
        <v>10</v>
      </c>
      <c r="C44" s="291" t="s">
        <v>31</v>
      </c>
      <c r="D44" s="175">
        <f>B44/1000000000</f>
        <v>1E-8</v>
      </c>
      <c r="E44" s="281" t="s">
        <v>402</v>
      </c>
      <c r="H44" s="174">
        <v>38</v>
      </c>
      <c r="I44" s="465">
        <f t="shared" si="24"/>
        <v>0.38</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5" thickBot="1" x14ac:dyDescent="0.25">
      <c r="A45" s="305" t="s">
        <v>240</v>
      </c>
      <c r="B45" s="322">
        <f>CHOOSE(VARIANT, 50, 50, 50, 200, 200)</f>
        <v>200</v>
      </c>
      <c r="C45" s="291" t="s">
        <v>15</v>
      </c>
      <c r="D45" s="325">
        <f>B45/1000000000000</f>
        <v>2.0000000000000001E-10</v>
      </c>
      <c r="E45" s="281" t="s">
        <v>327</v>
      </c>
      <c r="H45" s="174">
        <v>39</v>
      </c>
      <c r="I45" s="465">
        <f t="shared" si="24"/>
        <v>0.39</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
      <c r="A46" s="328" t="s">
        <v>326</v>
      </c>
      <c r="B46" s="322">
        <f>CHOOSE(VARIANT, 50, 50, 50, 250, 250)</f>
        <v>250</v>
      </c>
      <c r="C46" s="291" t="s">
        <v>15</v>
      </c>
      <c r="D46" s="293">
        <f>B46/1000000000000</f>
        <v>2.5000000000000002E-10</v>
      </c>
      <c r="E46" s="281" t="s">
        <v>479</v>
      </c>
      <c r="H46" s="174">
        <v>40</v>
      </c>
      <c r="I46" s="465">
        <f t="shared" si="24"/>
        <v>0.4</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25">
      <c r="A47" s="313" t="s">
        <v>404</v>
      </c>
      <c r="B47" s="326"/>
      <c r="C47" s="313" t="s">
        <v>33</v>
      </c>
      <c r="D47" s="314" t="s">
        <v>90</v>
      </c>
      <c r="E47" s="327" t="s">
        <v>41</v>
      </c>
      <c r="H47" s="174">
        <v>41</v>
      </c>
      <c r="I47" s="465">
        <f t="shared" si="24"/>
        <v>0.41</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5" thickBot="1" x14ac:dyDescent="0.25">
      <c r="A48" s="321" t="s">
        <v>659</v>
      </c>
      <c r="B48" s="322">
        <f>'LM(2)518x PSR flyback converter'!E42</f>
        <v>0.32</v>
      </c>
      <c r="C48" s="279" t="s">
        <v>0</v>
      </c>
      <c r="D48" s="175">
        <f>B48</f>
        <v>0.32</v>
      </c>
      <c r="E48" s="281" t="s">
        <v>658</v>
      </c>
      <c r="H48" s="174">
        <v>42</v>
      </c>
      <c r="I48" s="465">
        <f t="shared" si="24"/>
        <v>0.42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5" thickBot="1" x14ac:dyDescent="0.25">
      <c r="A49" s="321" t="s">
        <v>660</v>
      </c>
      <c r="B49" s="322">
        <f>'LM(2)518x PSR flyback converter'!E43</f>
        <v>0.4</v>
      </c>
      <c r="C49" s="279" t="s">
        <v>0</v>
      </c>
      <c r="D49" s="175">
        <f>B49</f>
        <v>0.4</v>
      </c>
      <c r="E49" s="281" t="s">
        <v>657</v>
      </c>
      <c r="H49" s="174">
        <v>43</v>
      </c>
      <c r="I49" s="465">
        <f t="shared" si="24"/>
        <v>0.43</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5" thickBot="1" x14ac:dyDescent="0.25">
      <c r="A50" s="321" t="s">
        <v>268</v>
      </c>
      <c r="B50" s="322">
        <f>(B49-B48)/Iout</f>
        <v>8.0000000000000016E-2</v>
      </c>
      <c r="C50" s="282" t="s">
        <v>45</v>
      </c>
      <c r="D50" s="175">
        <f>B50</f>
        <v>8.0000000000000016E-2</v>
      </c>
      <c r="E50" s="281" t="s">
        <v>811</v>
      </c>
      <c r="H50" s="174">
        <v>44</v>
      </c>
      <c r="I50" s="465">
        <f t="shared" si="24"/>
        <v>0.44</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5" thickBot="1" x14ac:dyDescent="0.25">
      <c r="A51" s="302" t="s">
        <v>407</v>
      </c>
      <c r="B51" s="322">
        <v>2</v>
      </c>
      <c r="C51" s="291" t="s">
        <v>31</v>
      </c>
      <c r="D51" s="293">
        <f>B51*0.000000001</f>
        <v>2.0000000000000001E-9</v>
      </c>
      <c r="E51" s="281" t="s">
        <v>269</v>
      </c>
      <c r="H51" s="174">
        <v>45</v>
      </c>
      <c r="I51" s="465">
        <f t="shared" si="24"/>
        <v>0.45</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5" thickBot="1" x14ac:dyDescent="0.25">
      <c r="A52" s="302" t="s">
        <v>408</v>
      </c>
      <c r="B52" s="322">
        <v>10</v>
      </c>
      <c r="C52" s="291" t="s">
        <v>32</v>
      </c>
      <c r="D52" s="293">
        <f>B52*0.000000001</f>
        <v>1E-8</v>
      </c>
      <c r="E52" s="281" t="s">
        <v>270</v>
      </c>
      <c r="H52" s="174">
        <v>46</v>
      </c>
      <c r="I52" s="465">
        <f t="shared" si="24"/>
        <v>0.46</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
      <c r="A53" s="328" t="s">
        <v>497</v>
      </c>
      <c r="B53" s="322">
        <v>0</v>
      </c>
      <c r="C53" s="279" t="s">
        <v>271</v>
      </c>
      <c r="D53" s="293">
        <f>B53/1000000</f>
        <v>0</v>
      </c>
      <c r="E53" s="281" t="s">
        <v>272</v>
      </c>
      <c r="H53" s="174">
        <v>47</v>
      </c>
      <c r="I53" s="465">
        <f t="shared" si="24"/>
        <v>0.47</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
      <c r="A54" s="174" t="s">
        <v>691</v>
      </c>
      <c r="B54" s="201">
        <f>'LM(2)518x PSR flyback converter'!E44</f>
        <v>41</v>
      </c>
      <c r="C54" s="645" t="s">
        <v>84</v>
      </c>
      <c r="D54" s="201">
        <f>B54</f>
        <v>41</v>
      </c>
      <c r="E54" s="174" t="s">
        <v>690</v>
      </c>
      <c r="H54" s="174">
        <v>48</v>
      </c>
      <c r="I54" s="465">
        <f t="shared" si="24"/>
        <v>0.48</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
      <c r="H55" s="174">
        <v>49</v>
      </c>
      <c r="I55" s="465">
        <f t="shared" si="24"/>
        <v>0.49</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
      <c r="H56" s="174">
        <v>50</v>
      </c>
      <c r="I56" s="465">
        <f t="shared" si="24"/>
        <v>0.5</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
      <c r="H57" s="174">
        <v>51</v>
      </c>
      <c r="I57" s="465">
        <f t="shared" si="24"/>
        <v>0.51</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
      <c r="H58" s="174">
        <v>52</v>
      </c>
      <c r="I58" s="465">
        <f t="shared" si="24"/>
        <v>0.52</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
      <c r="H59" s="174">
        <v>53</v>
      </c>
      <c r="I59" s="465">
        <f t="shared" si="24"/>
        <v>0.53</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
      <c r="H60" s="174">
        <v>54</v>
      </c>
      <c r="I60" s="465">
        <f t="shared" si="24"/>
        <v>0.54</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
      <c r="H61" s="174">
        <v>55</v>
      </c>
      <c r="I61" s="465">
        <f t="shared" si="24"/>
        <v>0.55000000000000004</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
      <c r="H62" s="174">
        <v>56</v>
      </c>
      <c r="I62" s="465">
        <f t="shared" si="24"/>
        <v>0.56000000000000005</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x14ac:dyDescent="0.2">
      <c r="F63" s="329" t="s">
        <v>273</v>
      </c>
      <c r="G63" s="329" t="s">
        <v>274</v>
      </c>
      <c r="H63" s="174">
        <v>57</v>
      </c>
      <c r="I63" s="465">
        <f t="shared" si="24"/>
        <v>0.56999999999999995</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
      <c r="F64" s="330">
        <f>BM56</f>
        <v>0</v>
      </c>
      <c r="G64" s="331">
        <f>I56*1000</f>
        <v>500</v>
      </c>
      <c r="H64" s="174">
        <v>58</v>
      </c>
      <c r="I64" s="465">
        <f t="shared" si="24"/>
        <v>0.57999999999999996</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
      <c r="F65" s="330">
        <f>BM81</f>
        <v>0</v>
      </c>
      <c r="G65" s="331">
        <f>I81*1000</f>
        <v>750</v>
      </c>
      <c r="H65" s="174">
        <v>59</v>
      </c>
      <c r="I65" s="465">
        <f t="shared" si="24"/>
        <v>0.59</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
      <c r="F66" s="330">
        <f>BM106</f>
        <v>100</v>
      </c>
      <c r="G66" s="331">
        <f>I106*1000</f>
        <v>1000</v>
      </c>
      <c r="H66" s="174">
        <v>60</v>
      </c>
      <c r="I66" s="465">
        <f t="shared" si="24"/>
        <v>0.6</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
      <c r="H67" s="174">
        <v>61</v>
      </c>
      <c r="I67" s="465">
        <f t="shared" si="24"/>
        <v>0.61</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
      <c r="H68" s="174">
        <v>62</v>
      </c>
      <c r="I68" s="465">
        <f t="shared" si="24"/>
        <v>0.62</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
      <c r="H69" s="174">
        <v>63</v>
      </c>
      <c r="I69" s="465">
        <f t="shared" si="24"/>
        <v>0.63</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
      <c r="H70" s="174">
        <v>64</v>
      </c>
      <c r="I70" s="465">
        <f t="shared" ref="I70:I101" si="25">IF(PLOT_TYPE=1, H70/100*Iout_max, min_I*EXP(H70*rr/100))</f>
        <v>0.64</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
      <c r="H71" s="174">
        <v>65</v>
      </c>
      <c r="I71" s="465">
        <f t="shared" si="25"/>
        <v>0.65</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
      <c r="H72" s="174">
        <v>66</v>
      </c>
      <c r="I72" s="465">
        <f t="shared" si="25"/>
        <v>0.66</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
      <c r="H73" s="174">
        <v>67</v>
      </c>
      <c r="I73" s="465">
        <f t="shared" si="25"/>
        <v>0.67</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
      <c r="H74" s="174">
        <v>68</v>
      </c>
      <c r="I74" s="465">
        <f t="shared" si="25"/>
        <v>0.68</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
      <c r="H75" s="174">
        <v>69</v>
      </c>
      <c r="I75" s="465">
        <f t="shared" si="25"/>
        <v>0.69</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
      <c r="H76" s="174">
        <v>70</v>
      </c>
      <c r="I76" s="465">
        <f t="shared" si="25"/>
        <v>0.7</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
      <c r="H77" s="174">
        <v>71</v>
      </c>
      <c r="I77" s="465">
        <f t="shared" si="25"/>
        <v>0.71</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
      <c r="H78" s="174">
        <v>72</v>
      </c>
      <c r="I78" s="465">
        <f t="shared" si="25"/>
        <v>0.72</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
      <c r="H79" s="174">
        <v>73</v>
      </c>
      <c r="I79" s="465">
        <f t="shared" si="25"/>
        <v>0.73</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
      <c r="H80" s="174">
        <v>74</v>
      </c>
      <c r="I80" s="465">
        <f t="shared" si="25"/>
        <v>0.74</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
      <c r="H81" s="174">
        <v>75</v>
      </c>
      <c r="I81" s="465">
        <f t="shared" si="25"/>
        <v>0.75</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
      <c r="H82" s="174">
        <v>76</v>
      </c>
      <c r="I82" s="465">
        <f t="shared" si="25"/>
        <v>0.76</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
      <c r="H83" s="174">
        <v>77</v>
      </c>
      <c r="I83" s="465">
        <f t="shared" si="25"/>
        <v>0.77</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
      <c r="H84" s="174">
        <v>78</v>
      </c>
      <c r="I84" s="465">
        <f t="shared" si="25"/>
        <v>0.78</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
      <c r="H85" s="174">
        <v>79</v>
      </c>
      <c r="I85" s="465">
        <f t="shared" si="25"/>
        <v>0.79</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
      <c r="H86" s="174">
        <v>80</v>
      </c>
      <c r="I86" s="465">
        <f t="shared" si="25"/>
        <v>0.8</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
      <c r="H87" s="174">
        <v>81</v>
      </c>
      <c r="I87" s="465">
        <f t="shared" si="25"/>
        <v>0.81</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x14ac:dyDescent="0.2">
      <c r="F88" s="329" t="s">
        <v>273</v>
      </c>
      <c r="G88" s="329" t="s">
        <v>274</v>
      </c>
      <c r="H88" s="174">
        <v>82</v>
      </c>
      <c r="I88" s="465">
        <f t="shared" si="25"/>
        <v>0.82</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
      <c r="F89" s="330">
        <f>BO51</f>
        <v>0</v>
      </c>
      <c r="G89" s="331">
        <f>I56*1000</f>
        <v>500</v>
      </c>
      <c r="H89" s="174">
        <v>83</v>
      </c>
      <c r="I89" s="465">
        <f t="shared" si="25"/>
        <v>0.83</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
      <c r="F90" s="330">
        <f>BO81</f>
        <v>0</v>
      </c>
      <c r="G90" s="331">
        <f>I81*1000</f>
        <v>750</v>
      </c>
      <c r="H90" s="174">
        <v>84</v>
      </c>
      <c r="I90" s="465">
        <f t="shared" si="25"/>
        <v>0.84</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
      <c r="F91" s="330">
        <f>BO106</f>
        <v>88.698181382326453</v>
      </c>
      <c r="G91" s="331">
        <f>I106*1000</f>
        <v>1000</v>
      </c>
      <c r="H91" s="174">
        <v>85</v>
      </c>
      <c r="I91" s="465">
        <f t="shared" si="25"/>
        <v>0.85</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
      <c r="H92" s="174">
        <v>86</v>
      </c>
      <c r="I92" s="465">
        <f t="shared" si="25"/>
        <v>0.86</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
      <c r="H93" s="174">
        <v>87</v>
      </c>
      <c r="I93" s="465">
        <f t="shared" si="25"/>
        <v>0.87</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
      <c r="H94" s="174">
        <v>88</v>
      </c>
      <c r="I94" s="465">
        <f t="shared" si="25"/>
        <v>0.88</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
      <c r="H95" s="174">
        <v>89</v>
      </c>
      <c r="I95" s="465">
        <f t="shared" si="25"/>
        <v>0.89</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
      <c r="H96" s="174">
        <v>90</v>
      </c>
      <c r="I96" s="465">
        <f t="shared" si="25"/>
        <v>0.9</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
      <c r="H97" s="174">
        <v>91</v>
      </c>
      <c r="I97" s="465">
        <f t="shared" si="25"/>
        <v>0.91</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
      <c r="H98" s="174">
        <v>92</v>
      </c>
      <c r="I98" s="465">
        <f t="shared" si="25"/>
        <v>0.92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
      <c r="H99" s="174">
        <v>93</v>
      </c>
      <c r="I99" s="465">
        <f t="shared" si="25"/>
        <v>0.93</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
      <c r="H100" s="174">
        <v>94</v>
      </c>
      <c r="I100" s="465">
        <f t="shared" si="25"/>
        <v>0.94</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
      <c r="H101" s="174">
        <v>95</v>
      </c>
      <c r="I101" s="465">
        <f t="shared" si="25"/>
        <v>0.95</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
      <c r="H102" s="174">
        <v>96</v>
      </c>
      <c r="I102" s="465">
        <f t="shared" ref="I102:I106" si="26">IF(PLOT_TYPE=1, H102/100*Iout_max, min_I*EXP(H102*rr/100))</f>
        <v>0.96</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
      <c r="H103" s="174">
        <v>97</v>
      </c>
      <c r="I103" s="465">
        <f t="shared" si="26"/>
        <v>0.97</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
      <c r="H104" s="174">
        <v>98</v>
      </c>
      <c r="I104" s="465">
        <f t="shared" si="26"/>
        <v>0.98</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
      <c r="H105" s="174">
        <v>99</v>
      </c>
      <c r="I105" s="465">
        <f t="shared" si="26"/>
        <v>0.99</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
      <c r="H106" s="174">
        <v>100</v>
      </c>
      <c r="I106" s="465">
        <f t="shared" si="26"/>
        <v>1</v>
      </c>
      <c r="J106" s="221"/>
      <c r="K106" s="221"/>
      <c r="L106" s="221"/>
      <c r="M106" s="221"/>
      <c r="N106" s="271"/>
      <c r="O106" s="176"/>
      <c r="P106" s="221"/>
      <c r="Q106" s="451"/>
      <c r="S106" s="272"/>
      <c r="T106" s="272"/>
      <c r="U106" s="272"/>
      <c r="AJ106" s="451"/>
      <c r="AY106" s="220">
        <f>Vout*I106</f>
        <v>5</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f xml:space="preserve"> CHOOSE(MODE, I106*1000,#REF!)</f>
        <v>1000</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f xml:space="preserve"> IF(MODE=1, BM106,#REF!)</f>
        <v>100</v>
      </c>
      <c r="CA106" s="176">
        <f xml:space="preserve"> IF(MODE=1, BU106,#REF!)</f>
        <v>0</v>
      </c>
      <c r="CB106" s="176">
        <f xml:space="preserve"> IF(MODE=1, BV106,#REF!)</f>
        <v>0</v>
      </c>
      <c r="CC106" s="176">
        <f xml:space="preserve"> IF(MODE=1, BW106,#REF!)</f>
        <v>0</v>
      </c>
    </row>
    <row r="107" spans="8:81" x14ac:dyDescent="0.2">
      <c r="BQ107" s="274"/>
      <c r="BR107" s="275"/>
      <c r="BS107" s="275"/>
      <c r="BT107" s="276"/>
      <c r="BX107" s="223"/>
      <c r="BY107" s="223"/>
    </row>
    <row r="108" spans="8:81" x14ac:dyDescent="0.2">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x14ac:dyDescent="0.2">
      <c r="H109" s="335">
        <f>Iout_max</f>
        <v>1</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x14ac:dyDescent="0.2">
      <c r="H110" s="335">
        <f>LOG(max_I/min_I,EXP(1))</f>
        <v>11.512925464970229</v>
      </c>
      <c r="I110" s="221"/>
      <c r="J110" s="334" t="s">
        <v>278</v>
      </c>
    </row>
    <row r="111" spans="8:81" x14ac:dyDescent="0.2">
      <c r="AZ111" s="336"/>
      <c r="BA111" s="356"/>
      <c r="BB111" s="356"/>
      <c r="BC111" s="356"/>
      <c r="BD111" s="356"/>
      <c r="BE111" s="356"/>
      <c r="BF111" s="356"/>
      <c r="BG111" s="356"/>
      <c r="BH111" s="356"/>
      <c r="BI111" s="356"/>
      <c r="BJ111" s="356"/>
    </row>
    <row r="112" spans="8:81" x14ac:dyDescent="0.2">
      <c r="J112" s="338"/>
      <c r="R112" s="339"/>
      <c r="S112" s="339"/>
      <c r="T112" s="339"/>
      <c r="U112" s="339"/>
      <c r="V112" s="340"/>
    </row>
    <row r="113" spans="10:22" x14ac:dyDescent="0.2">
      <c r="J113" s="338"/>
      <c r="R113" s="339"/>
      <c r="S113" s="339"/>
      <c r="T113" s="339"/>
      <c r="U113" s="339"/>
      <c r="V113" s="340"/>
    </row>
    <row r="114" spans="10:22" x14ac:dyDescent="0.2">
      <c r="R114" s="341"/>
      <c r="S114" s="341"/>
      <c r="T114" s="341"/>
      <c r="U114" s="341"/>
      <c r="V114" s="340"/>
    </row>
    <row r="116" spans="10:22" x14ac:dyDescent="0.2">
      <c r="R116" s="341"/>
      <c r="S116" s="341"/>
      <c r="T116" s="341"/>
      <c r="U116" s="341"/>
      <c r="V116" s="340"/>
    </row>
    <row r="121" spans="10:22" x14ac:dyDescent="0.2">
      <c r="V121" s="334"/>
    </row>
    <row r="122" spans="10:22" x14ac:dyDescent="0.2">
      <c r="O122" s="334"/>
      <c r="P122" s="334"/>
      <c r="Q122" s="334"/>
    </row>
    <row r="123" spans="10:22" x14ac:dyDescent="0.2">
      <c r="O123" s="334"/>
      <c r="P123" s="334"/>
      <c r="Q123" s="334"/>
    </row>
    <row r="124" spans="10:22" x14ac:dyDescent="0.2">
      <c r="O124" s="334"/>
      <c r="P124" s="334"/>
      <c r="Q124" s="334"/>
    </row>
    <row r="125" spans="10:22" x14ac:dyDescent="0.2">
      <c r="O125" s="334"/>
      <c r="P125" s="334"/>
      <c r="Q125" s="334"/>
    </row>
    <row r="126" spans="10:22" x14ac:dyDescent="0.2">
      <c r="J126" s="342"/>
      <c r="O126" s="334"/>
      <c r="P126" s="334"/>
      <c r="Q126" s="334"/>
    </row>
    <row r="127" spans="10:22" x14ac:dyDescent="0.2">
      <c r="J127" s="342"/>
      <c r="O127" s="334"/>
      <c r="P127" s="334"/>
      <c r="Q127" s="334"/>
    </row>
    <row r="128" spans="10:22" x14ac:dyDescent="0.2">
      <c r="J128" s="342"/>
      <c r="O128" s="334"/>
      <c r="P128" s="334"/>
      <c r="Q128" s="334"/>
    </row>
    <row r="129" spans="10:17" x14ac:dyDescent="0.2">
      <c r="J129" s="333"/>
      <c r="O129" s="334"/>
      <c r="P129" s="334"/>
      <c r="Q129" s="334"/>
    </row>
    <row r="130" spans="10:17" x14ac:dyDescent="0.2">
      <c r="J130" s="333"/>
    </row>
    <row r="131" spans="10:17" x14ac:dyDescent="0.2">
      <c r="J131" s="333"/>
    </row>
    <row r="132" spans="10:17" x14ac:dyDescent="0.2">
      <c r="J132" s="333"/>
    </row>
    <row r="133" spans="10:17" x14ac:dyDescent="0.2">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De Stasi, Frank</cp:lastModifiedBy>
  <cp:lastPrinted>2016-03-02T21:18:53Z</cp:lastPrinted>
  <dcterms:created xsi:type="dcterms:W3CDTF">1996-10-14T23:33:28Z</dcterms:created>
  <dcterms:modified xsi:type="dcterms:W3CDTF">2024-01-22T16:51:13Z</dcterms:modified>
</cp:coreProperties>
</file>