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2508\Desktop\sluc503b\"/>
    </mc:Choice>
  </mc:AlternateContent>
  <xr:revisionPtr revIDLastSave="0" documentId="13_ncr:1_{33DB58D4-2F57-4306-8768-B67A056E55C0}" xr6:coauthVersionLast="36" xr6:coauthVersionMax="36" xr10:uidLastSave="{00000000-0000-0000-0000-000000000000}"/>
  <bookViews>
    <workbookView xWindow="-15" yWindow="105" windowWidth="12330" windowHeight="7290" tabRatio="572" activeTab="3" xr2:uid="{00000000-000D-0000-FFFF-FFFF00000000}"/>
  </bookViews>
  <sheets>
    <sheet name="Instructions" sheetId="8" r:id="rId1"/>
    <sheet name="Functional Schematic" sheetId="9" r:id="rId2"/>
    <sheet name="Specifications" sheetId="1" r:id="rId3"/>
    <sheet name="Calculations" sheetId="2" r:id="rId4"/>
    <sheet name="UCC28910 Data" sheetId="4" r:id="rId5"/>
    <sheet name="Sheet3" sheetId="10" r:id="rId6"/>
  </sheets>
  <definedNames>
    <definedName name="fswmax">Specifications!$D$13</definedName>
    <definedName name="fswmin">'UCC28910 Data'!$D$3</definedName>
    <definedName name="Iocc">Specifications!$D$15</definedName>
    <definedName name="Istep">Specifications!#REF!</definedName>
    <definedName name="Itran">Specifications!$D$18</definedName>
    <definedName name="Vdroop">Specifications!$D$19</definedName>
    <definedName name="Vocv">Specifications!$D$14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2" l="1"/>
  <c r="D84" i="2" l="1"/>
  <c r="D17" i="1" l="1"/>
  <c r="D47" i="2" l="1"/>
  <c r="D46" i="2"/>
  <c r="D51" i="2" l="1"/>
  <c r="D50" i="2"/>
  <c r="D44" i="2"/>
  <c r="D62" i="2"/>
  <c r="D68" i="2"/>
  <c r="D74" i="2"/>
  <c r="D75" i="2"/>
  <c r="D88" i="2"/>
  <c r="D89" i="2" s="1"/>
  <c r="D91" i="2"/>
  <c r="D93" i="2"/>
  <c r="D38" i="2"/>
  <c r="D40" i="2"/>
  <c r="D53" i="2" s="1"/>
  <c r="D42" i="2"/>
  <c r="D54" i="2"/>
  <c r="D2" i="2"/>
  <c r="D3" i="2"/>
  <c r="D5" i="2"/>
  <c r="D12" i="2"/>
  <c r="D31" i="2"/>
  <c r="D14" i="2"/>
  <c r="D27" i="2"/>
  <c r="D7" i="2" l="1"/>
  <c r="D39" i="2"/>
  <c r="I2" i="2"/>
  <c r="I3" i="2" s="1"/>
  <c r="D64" i="2"/>
  <c r="D52" i="2"/>
  <c r="D94" i="2"/>
  <c r="D96" i="2"/>
  <c r="D41" i="2"/>
  <c r="D48" i="2" s="1"/>
  <c r="D49" i="2" s="1"/>
  <c r="D15" i="2"/>
  <c r="D8" i="2"/>
  <c r="D4" i="2"/>
  <c r="D19" i="2" s="1"/>
  <c r="D16" i="2" l="1"/>
  <c r="D67" i="2" s="1"/>
  <c r="D24" i="2"/>
  <c r="D20" i="2"/>
  <c r="D21" i="2"/>
  <c r="I5" i="2" s="1"/>
  <c r="D65" i="2"/>
  <c r="D23" i="2" l="1"/>
  <c r="D25" i="2" s="1"/>
  <c r="D26" i="2" s="1"/>
  <c r="D33" i="2" s="1"/>
  <c r="D17" i="2"/>
  <c r="D69" i="2"/>
  <c r="D77" i="2" s="1"/>
  <c r="D78" i="2" s="1"/>
  <c r="D71" i="2" l="1"/>
  <c r="D72" i="2" s="1"/>
  <c r="D82" i="2"/>
  <c r="D34" i="2"/>
  <c r="D35" i="2" s="1"/>
  <c r="D28" i="2"/>
  <c r="D56" i="2"/>
  <c r="D79" i="2"/>
</calcChain>
</file>

<file path=xl/sharedStrings.xml><?xml version="1.0" encoding="utf-8"?>
<sst xmlns="http://schemas.openxmlformats.org/spreadsheetml/2006/main" count="471" uniqueCount="274">
  <si>
    <t>V</t>
  </si>
  <si>
    <t>Vout</t>
  </si>
  <si>
    <t>Iout</t>
  </si>
  <si>
    <t>A</t>
  </si>
  <si>
    <t>Pout</t>
  </si>
  <si>
    <t>W</t>
  </si>
  <si>
    <t>%</t>
  </si>
  <si>
    <t>Vd</t>
  </si>
  <si>
    <t>Vdd_max</t>
  </si>
  <si>
    <t>mA</t>
  </si>
  <si>
    <t>Pintrafo</t>
  </si>
  <si>
    <t>a</t>
  </si>
  <si>
    <t>kHz</t>
  </si>
  <si>
    <t>Lp</t>
  </si>
  <si>
    <t>mH</t>
  </si>
  <si>
    <t>Vacmin</t>
  </si>
  <si>
    <t>Vacmax</t>
  </si>
  <si>
    <t>Output Voltage</t>
  </si>
  <si>
    <t>Output Current</t>
  </si>
  <si>
    <t>Output Power</t>
  </si>
  <si>
    <t>Maximun VDD pin Voltage</t>
  </si>
  <si>
    <t>Lpsugg</t>
  </si>
  <si>
    <t>Lp_Tol</t>
  </si>
  <si>
    <t>Lpmin</t>
  </si>
  <si>
    <t>Lpmax</t>
  </si>
  <si>
    <t>Vacminpk</t>
  </si>
  <si>
    <t>Pin</t>
  </si>
  <si>
    <t>Vacnmin</t>
  </si>
  <si>
    <t>Vacnmax</t>
  </si>
  <si>
    <t>flnminVacnmin</t>
  </si>
  <si>
    <t>flnminVacmax</t>
  </si>
  <si>
    <t>Hz</t>
  </si>
  <si>
    <t>Target Vmin</t>
  </si>
  <si>
    <t>HB or FB</t>
  </si>
  <si>
    <t>Full Bridge</t>
  </si>
  <si>
    <t>Cbmin</t>
  </si>
  <si>
    <t>Tdisch</t>
  </si>
  <si>
    <t>ms</t>
  </si>
  <si>
    <t>Cb_sugg</t>
  </si>
  <si>
    <t>μF</t>
  </si>
  <si>
    <t>Cbulk</t>
  </si>
  <si>
    <t>Vmin</t>
  </si>
  <si>
    <t>Vinmin_avg</t>
  </si>
  <si>
    <t xml:space="preserve">Input Rectifier Stage Total Voltage Drop </t>
  </si>
  <si>
    <t>Suggested Value for Bulk Capcitor</t>
  </si>
  <si>
    <t>Selected Value for Bulk Capcitor</t>
  </si>
  <si>
    <t>fswmax</t>
  </si>
  <si>
    <t>Output current regulation Constant</t>
  </si>
  <si>
    <t>Maximum Transformer Input Power</t>
  </si>
  <si>
    <t>us</t>
  </si>
  <si>
    <t>Tr</t>
  </si>
  <si>
    <t>Maximum Duty Cycle</t>
  </si>
  <si>
    <t>DCM resonant Period (assumed)</t>
  </si>
  <si>
    <t>Maximum allowed reflected Voltage</t>
  </si>
  <si>
    <t>Selected Reflected Voltage</t>
  </si>
  <si>
    <t>Peak Primary Current</t>
  </si>
  <si>
    <t>fsw_op</t>
  </si>
  <si>
    <t>Ω</t>
  </si>
  <si>
    <t>μs</t>
  </si>
  <si>
    <t>Primary Average Current</t>
  </si>
  <si>
    <t>Vaux</t>
  </si>
  <si>
    <t>Primary to auxiliary winding voltage</t>
  </si>
  <si>
    <t xml:space="preserve">Aux Winding Nameplate Voltage </t>
  </si>
  <si>
    <t>μA</t>
  </si>
  <si>
    <t>kΩ</t>
  </si>
  <si>
    <t>Minimum Required reverse voltage of the auxiliary diode</t>
  </si>
  <si>
    <t>mF</t>
  </si>
  <si>
    <t>Selected Capacitor on VDD pin</t>
  </si>
  <si>
    <t>Minimum required capacitor on VDD pin</t>
  </si>
  <si>
    <t>fswmin</t>
  </si>
  <si>
    <t>Diode Type</t>
  </si>
  <si>
    <t>Shottky</t>
  </si>
  <si>
    <t>Secondary Winding Peak Current</t>
  </si>
  <si>
    <t>Secondary Winding RMS current</t>
  </si>
  <si>
    <t>Secondary Winding Average Current</t>
  </si>
  <si>
    <t>mV</t>
  </si>
  <si>
    <t>Maximum allowed ESR Value</t>
  </si>
  <si>
    <t xml:space="preserve">RDD Resistance </t>
  </si>
  <si>
    <t>Current Step from 0</t>
  </si>
  <si>
    <t>OUTPUT CAPACITOR</t>
  </si>
  <si>
    <t>Selected value for VS upper resistance</t>
  </si>
  <si>
    <t>Required minimum Bulk Capacitor voltage to start switching</t>
  </si>
  <si>
    <t>Minimum Device switching frequency</t>
  </si>
  <si>
    <t>Maximum Device Switching Frequency</t>
  </si>
  <si>
    <t>Target Efficiency</t>
  </si>
  <si>
    <t>Estimated Transformer Efficiency</t>
  </si>
  <si>
    <t xml:space="preserve">Voltage Drop on Secondary Diode </t>
  </si>
  <si>
    <t>Input Rectifier Conduction Duty Cycle</t>
  </si>
  <si>
    <t xml:space="preserve">Repetitive Input Peak Current </t>
  </si>
  <si>
    <t>RMS input Current</t>
  </si>
  <si>
    <t>Suggested Rectifier Diode Voltage Rating</t>
  </si>
  <si>
    <t>Suggested Rectifier Diode Current Rating</t>
  </si>
  <si>
    <t>Rectifier Surge Current</t>
  </si>
  <si>
    <t>Minimum Resistance for Inrush Current Limiting</t>
  </si>
  <si>
    <t>Power Dissipated on Input rectifier @ Vacmin &amp; Full LOAD</t>
  </si>
  <si>
    <t>Total Power Dissipated on Input Stage @ Vacmin &amp; Full LOAD</t>
  </si>
  <si>
    <t>OUTPUT DIODE</t>
  </si>
  <si>
    <t>Vs Current H Threshold for Low Line Detection</t>
  </si>
  <si>
    <t>Vs L Current Threshold for Low Line Detection</t>
  </si>
  <si>
    <t>UVLO Threshold</t>
  </si>
  <si>
    <t>VS pin Voltage reference</t>
  </si>
  <si>
    <t>Voltage drop of auxiliary diode at Low Current</t>
  </si>
  <si>
    <t>F_Line_Min</t>
  </si>
  <si>
    <t>Average Input Current @ Vacmin and Full Load</t>
  </si>
  <si>
    <t>Estimated efficiency</t>
  </si>
  <si>
    <r>
      <t>V</t>
    </r>
    <r>
      <rPr>
        <b/>
        <vertAlign val="subscript"/>
        <sz val="10"/>
        <rFont val="Arial"/>
        <family val="2"/>
      </rPr>
      <t>CSTEMAX</t>
    </r>
  </si>
  <si>
    <r>
      <t>K</t>
    </r>
    <r>
      <rPr>
        <b/>
        <vertAlign val="subscript"/>
        <sz val="10"/>
        <rFont val="Arial"/>
        <family val="2"/>
      </rPr>
      <t>AM</t>
    </r>
  </si>
  <si>
    <r>
      <t>V</t>
    </r>
    <r>
      <rPr>
        <b/>
        <vertAlign val="subscript"/>
        <sz val="10"/>
        <rFont val="Arial"/>
        <family val="2"/>
      </rPr>
      <t>CSEMAX</t>
    </r>
    <r>
      <rPr>
        <b/>
        <sz val="10"/>
        <rFont val="Arial"/>
        <family val="2"/>
      </rPr>
      <t xml:space="preserve"> / V</t>
    </r>
    <r>
      <rPr>
        <b/>
        <vertAlign val="subscript"/>
        <sz val="10"/>
        <rFont val="Arial"/>
        <family val="2"/>
      </rPr>
      <t>CSEMIN</t>
    </r>
  </si>
  <si>
    <r>
      <t>V</t>
    </r>
    <r>
      <rPr>
        <b/>
        <vertAlign val="subscript"/>
        <sz val="10"/>
        <rFont val="Arial"/>
        <family val="2"/>
      </rPr>
      <t>CCR</t>
    </r>
  </si>
  <si>
    <r>
      <t>I</t>
    </r>
    <r>
      <rPr>
        <b/>
        <vertAlign val="subscript"/>
        <sz val="10"/>
        <rFont val="Arial"/>
        <family val="2"/>
      </rPr>
      <t>DD_MAX</t>
    </r>
  </si>
  <si>
    <r>
      <t>I</t>
    </r>
    <r>
      <rPr>
        <b/>
        <vertAlign val="subscript"/>
        <sz val="10"/>
        <rFont val="Arial"/>
        <family val="2"/>
      </rPr>
      <t>DDWAITQ_MIN</t>
    </r>
  </si>
  <si>
    <r>
      <t>K</t>
    </r>
    <r>
      <rPr>
        <b/>
        <vertAlign val="subscript"/>
        <sz val="10"/>
        <rFont val="Arial"/>
        <family val="2"/>
      </rPr>
      <t>CC</t>
    </r>
  </si>
  <si>
    <r>
      <t>T</t>
    </r>
    <r>
      <rPr>
        <b/>
        <vertAlign val="subscript"/>
        <sz val="10"/>
        <rFont val="Arial"/>
        <family val="2"/>
      </rPr>
      <t>demag_min</t>
    </r>
  </si>
  <si>
    <r>
      <t>I</t>
    </r>
    <r>
      <rPr>
        <b/>
        <vertAlign val="subscript"/>
        <sz val="10"/>
        <rFont val="Arial"/>
        <family val="2"/>
      </rPr>
      <t>VSLRUN</t>
    </r>
  </si>
  <si>
    <r>
      <t>I</t>
    </r>
    <r>
      <rPr>
        <b/>
        <vertAlign val="subscript"/>
        <sz val="10"/>
        <rFont val="Arial"/>
        <family val="2"/>
      </rPr>
      <t>VSLSTOP</t>
    </r>
  </si>
  <si>
    <r>
      <t>V</t>
    </r>
    <r>
      <rPr>
        <b/>
        <vertAlign val="subscript"/>
        <sz val="10"/>
        <rFont val="Arial"/>
        <family val="2"/>
      </rPr>
      <t>VSR</t>
    </r>
  </si>
  <si>
    <r>
      <t>ΔV</t>
    </r>
    <r>
      <rPr>
        <b/>
        <vertAlign val="subscript"/>
        <sz val="10"/>
        <rFont val="Arial"/>
        <family val="2"/>
      </rPr>
      <t>UVLO_Min</t>
    </r>
  </si>
  <si>
    <r>
      <t>V</t>
    </r>
    <r>
      <rPr>
        <b/>
        <vertAlign val="subscript"/>
        <sz val="10"/>
        <rFont val="Arial"/>
        <family val="2"/>
      </rPr>
      <t>DDON</t>
    </r>
    <r>
      <rPr>
        <b/>
        <sz val="10"/>
        <rFont val="Arial"/>
        <family val="2"/>
      </rPr>
      <t xml:space="preserve"> - V</t>
    </r>
    <r>
      <rPr>
        <b/>
        <vertAlign val="subscript"/>
        <sz val="10"/>
        <rFont val="Arial"/>
        <family val="2"/>
      </rPr>
      <t>DDOFF</t>
    </r>
  </si>
  <si>
    <r>
      <t>V</t>
    </r>
    <r>
      <rPr>
        <b/>
        <vertAlign val="subscript"/>
        <sz val="10"/>
        <rFont val="Arial"/>
        <family val="2"/>
      </rPr>
      <t>DDOFF_MAX</t>
    </r>
  </si>
  <si>
    <t>3. Enter the desired design parameters in the YELLOW shaded boxes</t>
  </si>
  <si>
    <t xml:space="preserve"> </t>
  </si>
  <si>
    <t>5. Actual standard values must be entered from nearest calculated value.</t>
  </si>
  <si>
    <t>Enter Design Parameters and Chosen Component Values in Yellow Cells</t>
  </si>
  <si>
    <t>&gt; Efficiency goal with selected components may not be achievable</t>
  </si>
  <si>
    <t>&gt; Invalid parameters entered in yellow cells</t>
  </si>
  <si>
    <t>&gt; Design cannot calculate realistic values for your design parameters</t>
  </si>
  <si>
    <t xml:space="preserve">Warning Negative Numbers in Calculated Values Could Indicate: </t>
  </si>
  <si>
    <t xml:space="preserve">Lower Nameplate Input voltage </t>
  </si>
  <si>
    <t>Higher Nameplate Input voltage</t>
  </si>
  <si>
    <r>
      <rPr>
        <b/>
        <sz val="10"/>
        <color indexed="8"/>
        <rFont val="Symbol"/>
        <family val="1"/>
        <charset val="2"/>
      </rPr>
      <t>D</t>
    </r>
    <r>
      <rPr>
        <b/>
        <sz val="10"/>
        <color indexed="8"/>
        <rFont val="Arial"/>
        <family val="2"/>
      </rPr>
      <t>V</t>
    </r>
    <r>
      <rPr>
        <b/>
        <vertAlign val="subscript"/>
        <sz val="10"/>
        <color indexed="8"/>
        <rFont val="Arial"/>
        <family val="2"/>
      </rPr>
      <t>OUT</t>
    </r>
  </si>
  <si>
    <r>
      <t>V</t>
    </r>
    <r>
      <rPr>
        <b/>
        <vertAlign val="subscript"/>
        <sz val="10"/>
        <color indexed="8"/>
        <rFont val="Arial"/>
        <family val="2"/>
      </rPr>
      <t>MINPK</t>
    </r>
  </si>
  <si>
    <r>
      <t>a</t>
    </r>
    <r>
      <rPr>
        <b/>
        <vertAlign val="subscript"/>
        <sz val="10"/>
        <color indexed="8"/>
        <rFont val="Arial"/>
        <family val="2"/>
      </rPr>
      <t>RIPPLE</t>
    </r>
  </si>
  <si>
    <r>
      <t>V</t>
    </r>
    <r>
      <rPr>
        <b/>
        <vertAlign val="subscript"/>
        <sz val="10"/>
        <color indexed="8"/>
        <rFont val="Arial"/>
        <family val="2"/>
      </rPr>
      <t>BLKRIPPLE Target</t>
    </r>
  </si>
  <si>
    <r>
      <t>C</t>
    </r>
    <r>
      <rPr>
        <b/>
        <vertAlign val="subscript"/>
        <sz val="10"/>
        <color indexed="8"/>
        <rFont val="Arial"/>
        <family val="2"/>
      </rPr>
      <t>BULK_Tol</t>
    </r>
  </si>
  <si>
    <r>
      <t>V</t>
    </r>
    <r>
      <rPr>
        <b/>
        <vertAlign val="subscript"/>
        <sz val="10"/>
        <color indexed="8"/>
        <rFont val="Arial"/>
        <family val="2"/>
      </rPr>
      <t>BLKRIPPLE</t>
    </r>
  </si>
  <si>
    <r>
      <t>I</t>
    </r>
    <r>
      <rPr>
        <b/>
        <vertAlign val="subscript"/>
        <sz val="10"/>
        <color indexed="8"/>
        <rFont val="Arial"/>
        <family val="2"/>
      </rPr>
      <t>INavg</t>
    </r>
  </si>
  <si>
    <r>
      <t>D</t>
    </r>
    <r>
      <rPr>
        <b/>
        <vertAlign val="subscript"/>
        <sz val="10"/>
        <color indexed="8"/>
        <rFont val="Arial"/>
        <family val="2"/>
      </rPr>
      <t>RECT</t>
    </r>
  </si>
  <si>
    <r>
      <t>I</t>
    </r>
    <r>
      <rPr>
        <b/>
        <vertAlign val="subscript"/>
        <sz val="10"/>
        <color indexed="8"/>
        <rFont val="Arial"/>
        <family val="2"/>
      </rPr>
      <t>INPKREP</t>
    </r>
  </si>
  <si>
    <r>
      <t>I</t>
    </r>
    <r>
      <rPr>
        <b/>
        <vertAlign val="subscript"/>
        <sz val="10"/>
        <color indexed="8"/>
        <rFont val="Arial"/>
        <family val="2"/>
      </rPr>
      <t>NRMS</t>
    </r>
  </si>
  <si>
    <t>Select Half or Full Bridge Rectifier</t>
  </si>
  <si>
    <t>Voltage Drop per Diode</t>
  </si>
  <si>
    <r>
      <t>V</t>
    </r>
    <r>
      <rPr>
        <b/>
        <vertAlign val="subscript"/>
        <sz val="10"/>
        <color indexed="8"/>
        <rFont val="Arial"/>
        <family val="2"/>
      </rPr>
      <t>DIN</t>
    </r>
  </si>
  <si>
    <r>
      <t>I</t>
    </r>
    <r>
      <rPr>
        <b/>
        <vertAlign val="subscript"/>
        <sz val="10"/>
        <color indexed="8"/>
        <rFont val="Arial"/>
        <family val="2"/>
      </rPr>
      <t>DIN</t>
    </r>
  </si>
  <si>
    <r>
      <t>I</t>
    </r>
    <r>
      <rPr>
        <b/>
        <vertAlign val="subscript"/>
        <sz val="10"/>
        <color indexed="8"/>
        <rFont val="Arial"/>
        <family val="2"/>
      </rPr>
      <t>MAX</t>
    </r>
  </si>
  <si>
    <r>
      <t>R</t>
    </r>
    <r>
      <rPr>
        <b/>
        <vertAlign val="subscript"/>
        <sz val="10"/>
        <color indexed="8"/>
        <rFont val="Arial"/>
        <family val="2"/>
      </rPr>
      <t>INRUSH_LIMITER_MIN</t>
    </r>
  </si>
  <si>
    <r>
      <t>R</t>
    </r>
    <r>
      <rPr>
        <b/>
        <vertAlign val="subscript"/>
        <sz val="10"/>
        <color indexed="8"/>
        <rFont val="Arial"/>
        <family val="2"/>
      </rPr>
      <t>INRUSH_LIMITER</t>
    </r>
  </si>
  <si>
    <r>
      <t>P</t>
    </r>
    <r>
      <rPr>
        <b/>
        <vertAlign val="subscript"/>
        <sz val="10"/>
        <color indexed="8"/>
        <rFont val="Arial"/>
        <family val="2"/>
      </rPr>
      <t>INRUSH_LIMITER</t>
    </r>
  </si>
  <si>
    <r>
      <t>P</t>
    </r>
    <r>
      <rPr>
        <b/>
        <vertAlign val="subscript"/>
        <sz val="10"/>
        <color indexed="8"/>
        <rFont val="Arial"/>
        <family val="2"/>
      </rPr>
      <t>RECT</t>
    </r>
  </si>
  <si>
    <r>
      <t>P</t>
    </r>
    <r>
      <rPr>
        <b/>
        <vertAlign val="subscript"/>
        <sz val="10"/>
        <color indexed="8"/>
        <rFont val="Arial"/>
        <family val="2"/>
      </rPr>
      <t>INPUT STAGE</t>
    </r>
  </si>
  <si>
    <t>Selected Inrush  Resistance</t>
  </si>
  <si>
    <r>
      <t>Power Dissipated on R</t>
    </r>
    <r>
      <rPr>
        <b/>
        <vertAlign val="subscript"/>
        <sz val="10"/>
        <color indexed="8"/>
        <rFont val="Arial"/>
        <family val="2"/>
      </rPr>
      <t xml:space="preserve">INRUSH_LIMITER </t>
    </r>
    <r>
      <rPr>
        <b/>
        <sz val="10"/>
        <color indexed="8"/>
        <rFont val="Arial"/>
        <family val="2"/>
      </rPr>
      <t>@ Vacmin &amp; Full LOAD</t>
    </r>
  </si>
  <si>
    <t>Bulk Cap Peak Voltage @ Vacmin</t>
  </si>
  <si>
    <r>
      <t>Bulk Cap Max Voltage Ripple as % of V</t>
    </r>
    <r>
      <rPr>
        <b/>
        <vertAlign val="subscript"/>
        <sz val="10"/>
        <color indexed="8"/>
        <rFont val="Arial"/>
        <family val="2"/>
      </rPr>
      <t>MINPK</t>
    </r>
  </si>
  <si>
    <t>Max Output Power</t>
  </si>
  <si>
    <t>Min allowed Efficiency by EPA</t>
  </si>
  <si>
    <t>Estimated Max Input Power</t>
  </si>
  <si>
    <t>Target Min Bulk Cap Voltage</t>
  </si>
  <si>
    <t>Target Max Bulk Cap Voltage Ripple</t>
  </si>
  <si>
    <t>Tolerance on Bulk Cap</t>
  </si>
  <si>
    <t>Line Voltage peak @ Vacmin</t>
  </si>
  <si>
    <t>Min Line Frequency @ Vacmin</t>
  </si>
  <si>
    <t>Bulk Cap discharge time</t>
  </si>
  <si>
    <t>Min Bulk Cap Value</t>
  </si>
  <si>
    <t>Min Bulk Cap Voltage @ Vacmin</t>
  </si>
  <si>
    <t>Max Bulk Cap Voltage Ripple</t>
  </si>
  <si>
    <t>Average Bulk Cap Voltage @ Vacmin</t>
  </si>
  <si>
    <r>
      <t>V</t>
    </r>
    <r>
      <rPr>
        <b/>
        <vertAlign val="subscript"/>
        <sz val="10"/>
        <color indexed="8"/>
        <rFont val="Arial"/>
        <family val="2"/>
      </rPr>
      <t>RRM</t>
    </r>
  </si>
  <si>
    <r>
      <t>I</t>
    </r>
    <r>
      <rPr>
        <b/>
        <vertAlign val="subscript"/>
        <sz val="10"/>
        <color indexed="8"/>
        <rFont val="Arial"/>
        <family val="2"/>
      </rPr>
      <t>PKS</t>
    </r>
  </si>
  <si>
    <r>
      <t>I</t>
    </r>
    <r>
      <rPr>
        <b/>
        <vertAlign val="subscript"/>
        <sz val="10"/>
        <color indexed="8"/>
        <rFont val="Arial"/>
        <family val="2"/>
      </rPr>
      <t>RMS</t>
    </r>
  </si>
  <si>
    <r>
      <t>I</t>
    </r>
    <r>
      <rPr>
        <b/>
        <vertAlign val="subscript"/>
        <sz val="10"/>
        <color indexed="8"/>
        <rFont val="Arial"/>
        <family val="2"/>
      </rPr>
      <t>AVG</t>
    </r>
  </si>
  <si>
    <t>Output Diode Type</t>
  </si>
  <si>
    <t>Min required peak reverse voltage</t>
  </si>
  <si>
    <r>
      <t>I</t>
    </r>
    <r>
      <rPr>
        <b/>
        <vertAlign val="subscript"/>
        <sz val="10"/>
        <color indexed="8"/>
        <rFont val="Arial"/>
        <family val="2"/>
      </rPr>
      <t>STEP</t>
    </r>
  </si>
  <si>
    <r>
      <t>V</t>
    </r>
    <r>
      <rPr>
        <b/>
        <vertAlign val="subscript"/>
        <sz val="10"/>
        <color indexed="8"/>
        <rFont val="Arial"/>
        <family val="2"/>
      </rPr>
      <t>OUT_MIN</t>
    </r>
  </si>
  <si>
    <t>Min allowed Output Voltage during load transient</t>
  </si>
  <si>
    <t>Output Cap Ripple Current</t>
  </si>
  <si>
    <t>Min Required Output Cap Current Rate</t>
  </si>
  <si>
    <r>
      <t>I</t>
    </r>
    <r>
      <rPr>
        <b/>
        <vertAlign val="subscript"/>
        <sz val="10"/>
        <color indexed="8"/>
        <rFont val="Arial"/>
        <family val="2"/>
      </rPr>
      <t>RIPPLE</t>
    </r>
  </si>
  <si>
    <r>
      <t>I</t>
    </r>
    <r>
      <rPr>
        <b/>
        <vertAlign val="subscript"/>
        <sz val="10"/>
        <color indexed="8"/>
        <rFont val="Arial"/>
        <family val="2"/>
      </rPr>
      <t>AC_RATE</t>
    </r>
  </si>
  <si>
    <r>
      <t>ESR</t>
    </r>
    <r>
      <rPr>
        <b/>
        <vertAlign val="subscript"/>
        <sz val="10"/>
        <color indexed="8"/>
        <rFont val="Arial"/>
        <family val="2"/>
      </rPr>
      <t>MAX</t>
    </r>
  </si>
  <si>
    <r>
      <t>m</t>
    </r>
    <r>
      <rPr>
        <b/>
        <sz val="10"/>
        <color indexed="8"/>
        <rFont val="Symbol"/>
        <family val="1"/>
        <charset val="2"/>
      </rPr>
      <t>W</t>
    </r>
  </si>
  <si>
    <r>
      <t>V</t>
    </r>
    <r>
      <rPr>
        <b/>
        <vertAlign val="subscript"/>
        <sz val="10"/>
        <color indexed="8"/>
        <rFont val="Arial"/>
        <family val="2"/>
      </rPr>
      <t>CMAX</t>
    </r>
  </si>
  <si>
    <r>
      <t>C</t>
    </r>
    <r>
      <rPr>
        <b/>
        <vertAlign val="subscript"/>
        <sz val="10"/>
        <color indexed="8"/>
        <rFont val="Arial"/>
        <family val="2"/>
      </rPr>
      <t>OUT</t>
    </r>
  </si>
  <si>
    <r>
      <t>R</t>
    </r>
    <r>
      <rPr>
        <b/>
        <vertAlign val="subscript"/>
        <sz val="10"/>
        <color indexed="8"/>
        <rFont val="Arial"/>
        <family val="2"/>
      </rPr>
      <t>pre-Load</t>
    </r>
  </si>
  <si>
    <t>Min required Preload Resistance</t>
  </si>
  <si>
    <t>Bulk Cap</t>
  </si>
  <si>
    <t>Inrush Limiter</t>
  </si>
  <si>
    <r>
      <t>h</t>
    </r>
    <r>
      <rPr>
        <b/>
        <vertAlign val="subscript"/>
        <sz val="12"/>
        <color indexed="8"/>
        <rFont val="Arial Narrow"/>
        <family val="2"/>
      </rPr>
      <t>t</t>
    </r>
  </si>
  <si>
    <t xml:space="preserve">Ratio of Leakage to Primary Inductance </t>
  </si>
  <si>
    <t>Target Max Switching Frequency</t>
  </si>
  <si>
    <r>
      <t>D</t>
    </r>
    <r>
      <rPr>
        <b/>
        <vertAlign val="subscript"/>
        <sz val="10"/>
        <color indexed="8"/>
        <rFont val="Arial"/>
        <family val="2"/>
      </rPr>
      <t>MAX</t>
    </r>
  </si>
  <si>
    <r>
      <t>V</t>
    </r>
    <r>
      <rPr>
        <b/>
        <vertAlign val="subscript"/>
        <sz val="10"/>
        <color indexed="8"/>
        <rFont val="Arial"/>
        <family val="2"/>
      </rPr>
      <t>RMAX</t>
    </r>
  </si>
  <si>
    <r>
      <t>V</t>
    </r>
    <r>
      <rPr>
        <b/>
        <vertAlign val="subscript"/>
        <sz val="10"/>
        <color indexed="8"/>
        <rFont val="Arial"/>
        <family val="2"/>
      </rPr>
      <t>R</t>
    </r>
  </si>
  <si>
    <t>Primary to Secondary Turns Ratio</t>
  </si>
  <si>
    <r>
      <t>K</t>
    </r>
    <r>
      <rPr>
        <b/>
        <vertAlign val="subscript"/>
        <sz val="10"/>
        <color indexed="8"/>
        <rFont val="Arial"/>
        <family val="2"/>
      </rPr>
      <t>L</t>
    </r>
  </si>
  <si>
    <r>
      <t>N</t>
    </r>
    <r>
      <rPr>
        <b/>
        <vertAlign val="subscript"/>
        <sz val="10"/>
        <color indexed="8"/>
        <rFont val="Arial"/>
        <family val="2"/>
      </rPr>
      <t>PS</t>
    </r>
  </si>
  <si>
    <r>
      <t>I</t>
    </r>
    <r>
      <rPr>
        <b/>
        <vertAlign val="subscript"/>
        <sz val="10"/>
        <color indexed="8"/>
        <rFont val="Arial"/>
        <family val="2"/>
      </rPr>
      <t>PP</t>
    </r>
  </si>
  <si>
    <r>
      <t>R</t>
    </r>
    <r>
      <rPr>
        <b/>
        <vertAlign val="subscript"/>
        <sz val="10"/>
        <color indexed="8"/>
        <rFont val="Arial"/>
        <family val="2"/>
      </rPr>
      <t>IPK</t>
    </r>
  </si>
  <si>
    <t xml:space="preserve">Resistance to set the IPK Current </t>
  </si>
  <si>
    <t>Inductance tolerance</t>
  </si>
  <si>
    <t xml:space="preserve">Min  inductance </t>
  </si>
  <si>
    <t xml:space="preserve">Max Value </t>
  </si>
  <si>
    <t xml:space="preserve">Min Value </t>
  </si>
  <si>
    <t>Selected Value for  Inductance</t>
  </si>
  <si>
    <t>Suggested value for Inductance</t>
  </si>
  <si>
    <t>Primary RMS Current</t>
  </si>
  <si>
    <t>Average primary current @ Full Load and Vacmin and selected values</t>
  </si>
  <si>
    <t>RMS primary current @ Full Load and Vacmin and selected values</t>
  </si>
  <si>
    <t>Switching frequency @ full Load and with selected values</t>
  </si>
  <si>
    <r>
      <t>V</t>
    </r>
    <r>
      <rPr>
        <b/>
        <vertAlign val="subscript"/>
        <sz val="10"/>
        <color indexed="8"/>
        <rFont val="Arial"/>
        <family val="2"/>
      </rPr>
      <t>faux</t>
    </r>
  </si>
  <si>
    <r>
      <t>N</t>
    </r>
    <r>
      <rPr>
        <b/>
        <vertAlign val="subscript"/>
        <sz val="10"/>
        <color indexed="8"/>
        <rFont val="Arial"/>
        <family val="2"/>
      </rPr>
      <t>PA</t>
    </r>
  </si>
  <si>
    <r>
      <t>V</t>
    </r>
    <r>
      <rPr>
        <b/>
        <vertAlign val="subscript"/>
        <sz val="10"/>
        <color indexed="8"/>
        <rFont val="Arial"/>
        <family val="2"/>
      </rPr>
      <t>DRV</t>
    </r>
  </si>
  <si>
    <r>
      <t>R</t>
    </r>
    <r>
      <rPr>
        <b/>
        <vertAlign val="subscript"/>
        <sz val="10"/>
        <color indexed="8"/>
        <rFont val="Arial"/>
        <family val="2"/>
      </rPr>
      <t>DD</t>
    </r>
  </si>
  <si>
    <r>
      <t>C</t>
    </r>
    <r>
      <rPr>
        <b/>
        <vertAlign val="subscript"/>
        <sz val="10"/>
        <color indexed="8"/>
        <rFont val="Arial"/>
        <family val="2"/>
      </rPr>
      <t>DD_min</t>
    </r>
  </si>
  <si>
    <r>
      <t>C</t>
    </r>
    <r>
      <rPr>
        <b/>
        <vertAlign val="subscript"/>
        <sz val="10"/>
        <color indexed="8"/>
        <rFont val="Arial"/>
        <family val="2"/>
      </rPr>
      <t>DD</t>
    </r>
  </si>
  <si>
    <r>
      <t>V</t>
    </r>
    <r>
      <rPr>
        <b/>
        <vertAlign val="subscript"/>
        <sz val="10"/>
        <color indexed="8"/>
        <rFont val="Arial"/>
        <family val="2"/>
      </rPr>
      <t>IN_ON</t>
    </r>
  </si>
  <si>
    <r>
      <t>R</t>
    </r>
    <r>
      <rPr>
        <b/>
        <vertAlign val="subscript"/>
        <sz val="10"/>
        <color indexed="8"/>
        <rFont val="Arial"/>
        <family val="2"/>
      </rPr>
      <t>UP_MAX</t>
    </r>
  </si>
  <si>
    <r>
      <t>R</t>
    </r>
    <r>
      <rPr>
        <b/>
        <vertAlign val="subscript"/>
        <sz val="10"/>
        <color indexed="8"/>
        <rFont val="Arial"/>
        <family val="2"/>
      </rPr>
      <t>UP</t>
    </r>
  </si>
  <si>
    <r>
      <t>R</t>
    </r>
    <r>
      <rPr>
        <b/>
        <vertAlign val="subscript"/>
        <sz val="10"/>
        <color indexed="8"/>
        <rFont val="Arial"/>
        <family val="2"/>
      </rPr>
      <t>Low</t>
    </r>
  </si>
  <si>
    <t>Setting Output Voltage and Auxiliary Voltage</t>
  </si>
  <si>
    <t>Transformer</t>
  </si>
  <si>
    <t>Setting Output Current Limit</t>
  </si>
  <si>
    <r>
      <t>I</t>
    </r>
    <r>
      <rPr>
        <b/>
        <vertAlign val="subscript"/>
        <sz val="10"/>
        <color indexed="8"/>
        <rFont val="Arial"/>
        <family val="2"/>
      </rPr>
      <t>rat</t>
    </r>
  </si>
  <si>
    <t>Diode Current Rating</t>
  </si>
  <si>
    <t>4. The spreadsheet will calculate the ideal values and display the results.</t>
  </si>
  <si>
    <t>Min AC Line Voltage</t>
  </si>
  <si>
    <t>Max AC Line Voltage</t>
  </si>
  <si>
    <t>Min Line Frequecy @ Vacnmin</t>
  </si>
  <si>
    <t>Min Line Frequency @ Vacnmax</t>
  </si>
  <si>
    <t>Max Output Voltage Ripple</t>
  </si>
  <si>
    <t>2. Input data is required on Specifications, AND Calculations sheets</t>
  </si>
  <si>
    <t>1. Macros must be ENABLED.</t>
  </si>
  <si>
    <t>IPP1</t>
  </si>
  <si>
    <t>LPP1</t>
  </si>
  <si>
    <t>td</t>
  </si>
  <si>
    <t>DI</t>
  </si>
  <si>
    <t>This is R9 in the functional schematic</t>
  </si>
  <si>
    <t>This is R8 in the functional schematic</t>
  </si>
  <si>
    <t>This is R3,R4 in the functional schematic</t>
  </si>
  <si>
    <t>Device Maximum Current Consumption</t>
  </si>
  <si>
    <t>Device Current Consumption in Wait state</t>
  </si>
  <si>
    <t>Secondary Side Duty Cycle in Cinstant Current Mode</t>
  </si>
  <si>
    <t>Minimum Demagnetization time</t>
  </si>
  <si>
    <t>Equivalent current sense threshold</t>
  </si>
  <si>
    <t>Input Rectifier Diode</t>
  </si>
  <si>
    <t>Primary to Secondary Current Transfer Ratio</t>
  </si>
  <si>
    <t>52 kHz &lt; fswMax &lt; 105 kHz</t>
  </si>
  <si>
    <t>Notes/Requirements</t>
  </si>
  <si>
    <t xml:space="preserve">Rated Voltage for Output Cap </t>
  </si>
  <si>
    <t>Required value for the VS resistor divider lower
resistor</t>
  </si>
  <si>
    <t>Maximum value for the VS resistor divider Upper
resistor</t>
  </si>
  <si>
    <t xml:space="preserve">Enter Resistor Value Selected </t>
  </si>
  <si>
    <t>Maximum Output Voltage Drop Durring Load Step</t>
  </si>
  <si>
    <r>
      <t>I</t>
    </r>
    <r>
      <rPr>
        <b/>
        <vertAlign val="subscript"/>
        <sz val="10"/>
        <color theme="1"/>
        <rFont val="Arial"/>
        <family val="2"/>
      </rPr>
      <t>TRAN</t>
    </r>
  </si>
  <si>
    <t>Maximum Converter Switching Freuqency</t>
  </si>
  <si>
    <r>
      <t>f</t>
    </r>
    <r>
      <rPr>
        <b/>
        <vertAlign val="subscript"/>
        <sz val="10"/>
        <color theme="1"/>
        <rFont val="Arial"/>
        <family val="2"/>
      </rPr>
      <t>SW(max)</t>
    </r>
  </si>
  <si>
    <t>Converter's Maximum Switching Frequency</t>
  </si>
  <si>
    <t>Maximum Load Transient Step</t>
  </si>
  <si>
    <t>Based on Stability</t>
  </si>
  <si>
    <t>Based on Transient Requirements</t>
  </si>
  <si>
    <r>
      <t>C</t>
    </r>
    <r>
      <rPr>
        <b/>
        <vertAlign val="subscript"/>
        <sz val="10"/>
        <color indexed="8"/>
        <rFont val="Arial"/>
        <family val="2"/>
      </rPr>
      <t>OUT1</t>
    </r>
  </si>
  <si>
    <r>
      <t>C</t>
    </r>
    <r>
      <rPr>
        <b/>
        <vertAlign val="subscript"/>
        <sz val="10"/>
        <color indexed="8"/>
        <rFont val="Arial"/>
        <family val="2"/>
      </rPr>
      <t>OUT2</t>
    </r>
  </si>
  <si>
    <t>Minimum Capacitance Value</t>
  </si>
  <si>
    <r>
      <rPr>
        <b/>
        <sz val="10"/>
        <color theme="1"/>
        <rFont val="Calibri"/>
        <family val="2"/>
      </rPr>
      <t>Δ</t>
    </r>
    <r>
      <rPr>
        <b/>
        <sz val="10"/>
        <color theme="1"/>
        <rFont val="Arial"/>
        <family val="2"/>
      </rPr>
      <t>V</t>
    </r>
    <r>
      <rPr>
        <b/>
        <vertAlign val="subscript"/>
        <sz val="10"/>
        <color theme="1"/>
        <rFont val="Arial"/>
        <family val="2"/>
      </rPr>
      <t>OUT_ITRAN</t>
    </r>
  </si>
  <si>
    <r>
      <t>Select C</t>
    </r>
    <r>
      <rPr>
        <b/>
        <vertAlign val="subscript"/>
        <sz val="10"/>
        <color rgb="FFFF0000"/>
        <rFont val="Arial"/>
        <family val="2"/>
      </rPr>
      <t>OUT</t>
    </r>
    <r>
      <rPr>
        <b/>
        <sz val="10"/>
        <color rgb="FFFF0000"/>
        <rFont val="Arial"/>
        <family val="2"/>
      </rPr>
      <t xml:space="preserve"> &gt; C</t>
    </r>
    <r>
      <rPr>
        <b/>
        <vertAlign val="subscript"/>
        <sz val="10"/>
        <color rgb="FFFF0000"/>
        <rFont val="Arial"/>
        <family val="2"/>
      </rPr>
      <t xml:space="preserve">OUT(min) </t>
    </r>
  </si>
  <si>
    <t xml:space="preserve">Selected Output Cap Value </t>
  </si>
  <si>
    <r>
      <t>C</t>
    </r>
    <r>
      <rPr>
        <b/>
        <vertAlign val="subscript"/>
        <sz val="10"/>
        <color indexed="8"/>
        <rFont val="Arial"/>
        <family val="2"/>
      </rPr>
      <t>OUT(min)</t>
    </r>
  </si>
  <si>
    <r>
      <t xml:space="preserve">Check </t>
    </r>
    <r>
      <rPr>
        <b/>
        <sz val="10"/>
        <rFont val="Arial"/>
        <family val="2"/>
      </rPr>
      <t>R</t>
    </r>
    <r>
      <rPr>
        <b/>
        <vertAlign val="subscript"/>
        <sz val="10"/>
        <rFont val="Arial"/>
        <family val="2"/>
      </rPr>
      <t>IPK</t>
    </r>
    <r>
      <rPr>
        <sz val="10"/>
        <rFont val="Arial"/>
        <family val="2"/>
      </rPr>
      <t xml:space="preserve"> Size</t>
    </r>
  </si>
  <si>
    <r>
      <t>No Peak Current Adjustment of R</t>
    </r>
    <r>
      <rPr>
        <b/>
        <vertAlign val="subscript"/>
        <sz val="10"/>
        <color indexed="10"/>
        <rFont val="Arial"/>
        <family val="2"/>
      </rPr>
      <t>IPK</t>
    </r>
    <r>
      <rPr>
        <b/>
        <sz val="10"/>
        <color indexed="10"/>
        <rFont val="Arial"/>
        <family val="2"/>
      </rPr>
      <t xml:space="preserve"> &lt; 900 ohms</t>
    </r>
  </si>
  <si>
    <t>UCC28910 Design Calculator</t>
  </si>
  <si>
    <t>This spreadsheet guides the User through the design process for a primary side sensing flyback converter using the UCC28910 controller.</t>
  </si>
  <si>
    <t>UCC28910 Pout &lt; 7.5 W Open Frame</t>
  </si>
  <si>
    <t>UCC28910 Pout &lt; 6.0 W Adapter</t>
  </si>
  <si>
    <t>Constants for UCC28910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</si>
</sst>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"/>
  </numFmts>
  <fonts count="40" x14ac:knownFonts="1">
    <font>
      <sz val="10"/>
      <name val="Arial"/>
    </font>
    <font>
      <b/>
      <sz val="10"/>
      <name val="Arial"/>
      <family val="2"/>
    </font>
    <font>
      <b/>
      <sz val="24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sz val="10"/>
      <color indexed="10"/>
      <name val="Arial"/>
      <family val="2"/>
    </font>
    <font>
      <b/>
      <sz val="10"/>
      <color indexed="50"/>
      <name val="Arial"/>
      <family val="2"/>
    </font>
    <font>
      <sz val="10"/>
      <color indexed="50"/>
      <name val="Arial"/>
      <family val="2"/>
    </font>
    <font>
      <b/>
      <sz val="10"/>
      <color indexed="5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vertAlign val="subscript"/>
      <sz val="10"/>
      <name val="Arial"/>
      <family val="2"/>
    </font>
    <font>
      <b/>
      <sz val="26"/>
      <color indexed="10"/>
      <name val="Arial"/>
      <family val="2"/>
    </font>
    <font>
      <sz val="20"/>
      <name val="Arial"/>
      <family val="2"/>
    </font>
    <font>
      <sz val="2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Symbol"/>
      <family val="1"/>
      <charset val="2"/>
    </font>
    <font>
      <b/>
      <vertAlign val="subscript"/>
      <sz val="10"/>
      <color indexed="8"/>
      <name val="Arial"/>
      <family val="2"/>
    </font>
    <font>
      <b/>
      <vertAlign val="subscript"/>
      <sz val="12"/>
      <color indexed="8"/>
      <name val="Arial Narrow"/>
      <family val="2"/>
    </font>
    <font>
      <sz val="10"/>
      <color indexed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Symbol"/>
      <family val="1"/>
      <charset val="2"/>
    </font>
    <font>
      <b/>
      <sz val="12"/>
      <color theme="1"/>
      <name val="Symbol"/>
      <family val="1"/>
      <charset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vertAlign val="subscript"/>
      <sz val="10"/>
      <color theme="1"/>
      <name val="Arial"/>
      <family val="2"/>
    </font>
    <font>
      <b/>
      <sz val="10"/>
      <color theme="1"/>
      <name val="Calibri"/>
      <family val="2"/>
    </font>
    <font>
      <b/>
      <vertAlign val="subscript"/>
      <sz val="10"/>
      <color rgb="FFFF0000"/>
      <name val="Arial"/>
      <family val="2"/>
    </font>
    <font>
      <b/>
      <vertAlign val="subscript"/>
      <sz val="10"/>
      <color indexed="10"/>
      <name val="Arial"/>
      <family val="2"/>
    </font>
    <font>
      <sz val="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04">
    <xf numFmtId="0" fontId="0" fillId="0" borderId="0" xfId="0"/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vertical="center"/>
    </xf>
    <xf numFmtId="0" fontId="19" fillId="0" borderId="1" xfId="0" applyFont="1" applyBorder="1" applyAlignment="1" applyProtection="1">
      <alignment horizontal="left"/>
    </xf>
    <xf numFmtId="0" fontId="20" fillId="3" borderId="1" xfId="0" applyFont="1" applyFill="1" applyBorder="1" applyAlignment="1" applyProtection="1">
      <alignment horizontal="left"/>
    </xf>
    <xf numFmtId="14" fontId="20" fillId="3" borderId="1" xfId="0" applyNumberFormat="1" applyFont="1" applyFill="1" applyBorder="1" applyAlignment="1" applyProtection="1">
      <alignment horizontal="left"/>
    </xf>
    <xf numFmtId="0" fontId="18" fillId="4" borderId="1" xfId="0" applyFont="1" applyFill="1" applyBorder="1" applyAlignment="1" applyProtection="1">
      <alignment horizontal="left"/>
    </xf>
    <xf numFmtId="14" fontId="18" fillId="4" borderId="1" xfId="0" applyNumberFormat="1" applyFont="1" applyFill="1" applyBorder="1" applyAlignment="1" applyProtection="1">
      <alignment horizontal="left"/>
    </xf>
    <xf numFmtId="0" fontId="19" fillId="5" borderId="1" xfId="0" applyFont="1" applyFill="1" applyBorder="1" applyAlignment="1" applyProtection="1">
      <alignment horizontal="left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26" fillId="0" borderId="1" xfId="0" applyFont="1" applyFill="1" applyBorder="1" applyAlignment="1">
      <alignment horizontal="right"/>
    </xf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/>
    <xf numFmtId="0" fontId="9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1" fillId="0" borderId="1" xfId="0" applyFont="1" applyFill="1" applyBorder="1"/>
    <xf numFmtId="2" fontId="26" fillId="0" borderId="1" xfId="0" applyNumberFormat="1" applyFont="1" applyFill="1" applyBorder="1"/>
    <xf numFmtId="0" fontId="27" fillId="0" borderId="1" xfId="0" applyFont="1" applyFill="1" applyBorder="1"/>
    <xf numFmtId="0" fontId="26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right"/>
    </xf>
    <xf numFmtId="176" fontId="26" fillId="0" borderId="1" xfId="0" applyNumberFormat="1" applyFont="1" applyFill="1" applyBorder="1"/>
    <xf numFmtId="1" fontId="26" fillId="0" borderId="1" xfId="0" applyNumberFormat="1" applyFont="1" applyFill="1" applyBorder="1"/>
    <xf numFmtId="176" fontId="26" fillId="0" borderId="1" xfId="0" applyNumberFormat="1" applyFont="1" applyFill="1" applyBorder="1" applyAlignment="1">
      <alignment horizontal="right"/>
    </xf>
    <xf numFmtId="2" fontId="26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77" fontId="26" fillId="0" borderId="1" xfId="0" applyNumberFormat="1" applyFont="1" applyFill="1" applyBorder="1"/>
    <xf numFmtId="2" fontId="0" fillId="0" borderId="1" xfId="0" applyNumberFormat="1" applyFill="1" applyBorder="1"/>
    <xf numFmtId="0" fontId="29" fillId="0" borderId="1" xfId="0" applyFont="1" applyFill="1" applyBorder="1" applyAlignment="1">
      <alignment horizontal="right"/>
    </xf>
    <xf numFmtId="0" fontId="0" fillId="6" borderId="1" xfId="0" applyFill="1" applyBorder="1"/>
    <xf numFmtId="0" fontId="1" fillId="6" borderId="1" xfId="0" applyFont="1" applyFill="1" applyBorder="1" applyAlignment="1">
      <alignment horizontal="right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left"/>
    </xf>
    <xf numFmtId="0" fontId="9" fillId="6" borderId="1" xfId="0" applyFont="1" applyFill="1" applyBorder="1"/>
    <xf numFmtId="0" fontId="13" fillId="6" borderId="1" xfId="0" applyFont="1" applyFill="1" applyBorder="1" applyAlignment="1">
      <alignment horizontal="right"/>
    </xf>
    <xf numFmtId="0" fontId="13" fillId="6" borderId="1" xfId="0" applyFont="1" applyFill="1" applyBorder="1"/>
    <xf numFmtId="0" fontId="10" fillId="6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3" fillId="0" borderId="0" xfId="0" applyFont="1" applyFill="1" applyProtection="1">
      <protection hidden="1"/>
    </xf>
    <xf numFmtId="0" fontId="12" fillId="0" borderId="0" xfId="0" applyFont="1" applyFill="1" applyProtection="1">
      <protection hidden="1"/>
    </xf>
    <xf numFmtId="0" fontId="13" fillId="0" borderId="1" xfId="0" applyFont="1" applyFill="1" applyBorder="1"/>
    <xf numFmtId="0" fontId="13" fillId="7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 wrapText="1"/>
    </xf>
    <xf numFmtId="0" fontId="30" fillId="0" borderId="0" xfId="0" applyFont="1" applyFill="1" applyAlignment="1" applyProtection="1">
      <alignment horizontal="center"/>
      <protection hidden="1"/>
    </xf>
    <xf numFmtId="0" fontId="13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right"/>
    </xf>
    <xf numFmtId="0" fontId="31" fillId="0" borderId="1" xfId="0" applyFont="1" applyFill="1" applyBorder="1" applyAlignment="1">
      <alignment horizontal="center" wrapText="1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/>
    <xf numFmtId="0" fontId="26" fillId="0" borderId="1" xfId="0" applyFont="1" applyFill="1" applyBorder="1" applyAlignment="1">
      <alignment wrapText="1"/>
    </xf>
    <xf numFmtId="0" fontId="1" fillId="0" borderId="0" xfId="0" applyFont="1"/>
    <xf numFmtId="0" fontId="26" fillId="0" borderId="1" xfId="0" applyFont="1" applyFill="1" applyBorder="1" applyAlignment="1">
      <alignment horizontal="right"/>
    </xf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/>
    <xf numFmtId="2" fontId="26" fillId="0" borderId="1" xfId="0" applyNumberFormat="1" applyFont="1" applyFill="1" applyBorder="1"/>
    <xf numFmtId="0" fontId="26" fillId="0" borderId="1" xfId="0" applyFont="1" applyFill="1" applyBorder="1" applyAlignment="1">
      <alignment horizontal="left"/>
    </xf>
    <xf numFmtId="0" fontId="26" fillId="8" borderId="1" xfId="0" applyFont="1" applyFill="1" applyBorder="1" applyProtection="1">
      <protection locked="0"/>
    </xf>
    <xf numFmtId="2" fontId="26" fillId="8" borderId="1" xfId="0" applyNumberFormat="1" applyFont="1" applyFill="1" applyBorder="1" applyProtection="1">
      <protection locked="0"/>
    </xf>
    <xf numFmtId="176" fontId="26" fillId="8" borderId="1" xfId="0" applyNumberFormat="1" applyFont="1" applyFill="1" applyBorder="1" applyProtection="1">
      <protection locked="0"/>
    </xf>
    <xf numFmtId="0" fontId="1" fillId="6" borderId="1" xfId="0" applyFont="1" applyFill="1" applyBorder="1"/>
    <xf numFmtId="2" fontId="1" fillId="6" borderId="1" xfId="0" applyNumberFormat="1" applyFont="1" applyFill="1" applyBorder="1"/>
    <xf numFmtId="0" fontId="31" fillId="0" borderId="1" xfId="0" applyFont="1" applyFill="1" applyBorder="1"/>
    <xf numFmtId="0" fontId="26" fillId="8" borderId="1" xfId="0" applyFont="1" applyFill="1" applyBorder="1" applyAlignment="1" applyProtection="1">
      <alignment horizontal="center"/>
      <protection locked="0"/>
    </xf>
    <xf numFmtId="2" fontId="26" fillId="8" borderId="1" xfId="0" applyNumberFormat="1" applyFont="1" applyFill="1" applyBorder="1" applyAlignment="1" applyProtection="1">
      <alignment horizontal="right"/>
      <protection locked="0"/>
    </xf>
    <xf numFmtId="0" fontId="21" fillId="0" borderId="1" xfId="0" applyFont="1" applyFill="1" applyBorder="1" applyAlignment="1">
      <alignment horizontal="right"/>
    </xf>
    <xf numFmtId="0" fontId="25" fillId="0" borderId="0" xfId="0" applyFont="1" applyFill="1" applyProtection="1">
      <protection hidden="1"/>
    </xf>
    <xf numFmtId="176" fontId="25" fillId="0" borderId="0" xfId="0" applyNumberFormat="1" applyFont="1" applyFill="1" applyProtection="1">
      <protection hidden="1"/>
    </xf>
    <xf numFmtId="2" fontId="26" fillId="0" borderId="1" xfId="0" applyNumberFormat="1" applyFont="1" applyFill="1" applyBorder="1" applyProtection="1"/>
    <xf numFmtId="0" fontId="26" fillId="0" borderId="1" xfId="0" applyFont="1" applyFill="1" applyBorder="1" applyProtection="1"/>
    <xf numFmtId="176" fontId="26" fillId="0" borderId="1" xfId="0" applyNumberFormat="1" applyFont="1" applyFill="1" applyBorder="1" applyProtection="1">
      <protection hidden="1"/>
    </xf>
    <xf numFmtId="176" fontId="1" fillId="0" borderId="1" xfId="0" applyNumberFormat="1" applyFont="1" applyFill="1" applyBorder="1" applyProtection="1">
      <protection hidden="1"/>
    </xf>
    <xf numFmtId="0" fontId="13" fillId="0" borderId="1" xfId="0" applyFont="1" applyFill="1" applyBorder="1" applyAlignment="1">
      <alignment horizontal="right"/>
    </xf>
    <xf numFmtId="0" fontId="26" fillId="8" borderId="1" xfId="0" applyFont="1" applyFill="1" applyBorder="1" applyProtection="1">
      <protection locked="0"/>
    </xf>
    <xf numFmtId="2" fontId="26" fillId="0" borderId="1" xfId="1" applyNumberFormat="1" applyFont="1" applyFill="1" applyBorder="1"/>
    <xf numFmtId="0" fontId="17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/>
    </xf>
    <xf numFmtId="0" fontId="17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32" fillId="9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2" fillId="9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33" fillId="9" borderId="3" xfId="0" applyFont="1" applyFill="1" applyBorder="1" applyAlignment="1">
      <alignment horizontal="center"/>
    </xf>
    <xf numFmtId="0" fontId="34" fillId="9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 2" xfId="1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447675</xdr:colOff>
      <xdr:row>26</xdr:row>
      <xdr:rowOff>66675</xdr:rowOff>
    </xdr:to>
    <xdr:pic>
      <xdr:nvPicPr>
        <xdr:cNvPr id="8322" name="Picture 2" descr="snap.png">
          <a:extLst>
            <a:ext uri="{FF2B5EF4-FFF2-40B4-BE49-F238E27FC236}">
              <a16:creationId xmlns:a16="http://schemas.microsoft.com/office/drawing/2014/main" id="{00000000-0008-0000-0100-000082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78075" cy="427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zoomScale="80" zoomScaleNormal="80" workbookViewId="0">
      <selection activeCell="F15" sqref="F15"/>
    </sheetView>
  </sheetViews>
  <sheetFormatPr defaultRowHeight="12.75" x14ac:dyDescent="0.2"/>
  <cols>
    <col min="14" max="14" width="13" customWidth="1"/>
  </cols>
  <sheetData>
    <row r="1" spans="1:14" ht="33.75" x14ac:dyDescent="0.2">
      <c r="A1" s="90" t="s">
        <v>269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49.9" customHeight="1" x14ac:dyDescent="0.2">
      <c r="A2" s="91" t="s">
        <v>270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x14ac:dyDescent="0.2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4" ht="24.6" customHeight="1" x14ac:dyDescent="0.2">
      <c r="A4" s="94" t="s">
        <v>231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x14ac:dyDescent="0.2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14" ht="25.5" x14ac:dyDescent="0.2">
      <c r="A6" s="3" t="s">
        <v>230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5.5" x14ac:dyDescent="0.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5.5" x14ac:dyDescent="0.2">
      <c r="A8" s="3" t="s">
        <v>119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5.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5.5" x14ac:dyDescent="0.2">
      <c r="A10" s="88" t="s">
        <v>224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1:14" ht="25.5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25.5" x14ac:dyDescent="0.2">
      <c r="A12" s="88" t="s">
        <v>121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</row>
    <row r="13" spans="1:14" ht="25.5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70.150000000000006" customHeight="1" x14ac:dyDescent="0.2">
      <c r="A14" s="88" t="s">
        <v>120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</row>
    <row r="15" spans="1:14" x14ac:dyDescent="0.2">
      <c r="A15" t="s">
        <v>120</v>
      </c>
    </row>
  </sheetData>
  <sheetProtection password="EEDD" sheet="1" objects="1" scenarios="1"/>
  <mergeCells count="8">
    <mergeCell ref="A10:N10"/>
    <mergeCell ref="A12:N12"/>
    <mergeCell ref="A14:N14"/>
    <mergeCell ref="A1:N1"/>
    <mergeCell ref="A2:N2"/>
    <mergeCell ref="A3:N3"/>
    <mergeCell ref="A4:N4"/>
    <mergeCell ref="A5:N5"/>
  </mergeCells>
  <phoneticPr fontId="39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28"/>
  <sheetViews>
    <sheetView zoomScale="80" zoomScaleNormal="80" workbookViewId="0">
      <selection sqref="A1:XFD1048576"/>
    </sheetView>
  </sheetViews>
  <sheetFormatPr defaultRowHeight="12.75" x14ac:dyDescent="0.2"/>
  <sheetData>
    <row r="28" spans="10:10" x14ac:dyDescent="0.2">
      <c r="J28" s="64" t="s">
        <v>120</v>
      </c>
    </row>
  </sheetData>
  <sheetProtection password="EEDD" sheet="1" objects="1" scenarios="1"/>
  <phoneticPr fontId="39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L21"/>
  <sheetViews>
    <sheetView zoomScale="130" zoomScaleNormal="130" workbookViewId="0">
      <selection activeCell="D16" sqref="D16"/>
    </sheetView>
  </sheetViews>
  <sheetFormatPr defaultRowHeight="14.25" customHeight="1" x14ac:dyDescent="0.2"/>
  <cols>
    <col min="1" max="1" width="9.140625" style="10"/>
    <col min="2" max="2" width="25.140625" style="10" customWidth="1"/>
    <col min="3" max="3" width="1.5703125" style="10" bestFit="1" customWidth="1"/>
    <col min="4" max="4" width="6.5703125" style="10" bestFit="1" customWidth="1"/>
    <col min="5" max="5" width="3.7109375" style="10" bestFit="1" customWidth="1"/>
    <col min="6" max="6" width="46.7109375" style="10" customWidth="1"/>
    <col min="7" max="7" width="40" style="10" customWidth="1"/>
    <col min="8" max="8" width="36.140625" style="10" customWidth="1"/>
    <col min="9" max="9" width="16.5703125" style="10" customWidth="1"/>
    <col min="10" max="16384" width="9.140625" style="10"/>
  </cols>
  <sheetData>
    <row r="1" spans="1:12" s="4" customFormat="1" ht="14.25" customHeight="1" x14ac:dyDescent="0.25">
      <c r="A1" s="5" t="s">
        <v>122</v>
      </c>
      <c r="B1" s="6"/>
      <c r="C1" s="5"/>
      <c r="D1" s="5"/>
      <c r="E1" s="5"/>
      <c r="F1" s="5"/>
    </row>
    <row r="2" spans="1:12" s="4" customFormat="1" ht="14.25" customHeight="1" x14ac:dyDescent="0.25">
      <c r="A2" s="7" t="s">
        <v>126</v>
      </c>
      <c r="B2" s="8"/>
      <c r="C2" s="7"/>
      <c r="D2" s="7"/>
      <c r="E2" s="7"/>
      <c r="F2" s="7"/>
    </row>
    <row r="3" spans="1:12" s="9" customFormat="1" ht="14.25" customHeight="1" x14ac:dyDescent="0.25">
      <c r="A3" s="7" t="s">
        <v>123</v>
      </c>
      <c r="B3" s="8"/>
      <c r="C3" s="7"/>
      <c r="D3" s="7"/>
      <c r="E3" s="7"/>
      <c r="F3" s="7"/>
    </row>
    <row r="4" spans="1:12" s="9" customFormat="1" ht="14.25" customHeight="1" x14ac:dyDescent="0.25">
      <c r="A4" s="7" t="s">
        <v>124</v>
      </c>
      <c r="B4" s="8"/>
      <c r="C4" s="7"/>
      <c r="D4" s="7"/>
      <c r="E4" s="7"/>
      <c r="F4" s="7"/>
    </row>
    <row r="5" spans="1:12" s="9" customFormat="1" ht="14.25" customHeight="1" x14ac:dyDescent="0.25">
      <c r="A5" s="7" t="s">
        <v>125</v>
      </c>
      <c r="B5" s="8"/>
      <c r="C5" s="7"/>
      <c r="D5" s="7"/>
      <c r="E5" s="7"/>
      <c r="F5" s="7"/>
      <c r="G5" s="54" t="s">
        <v>247</v>
      </c>
      <c r="H5" s="54" t="s">
        <v>247</v>
      </c>
      <c r="I5" s="10"/>
      <c r="J5" s="10"/>
      <c r="K5" s="53" t="s">
        <v>120</v>
      </c>
      <c r="L5" s="58" t="s">
        <v>120</v>
      </c>
    </row>
    <row r="6" spans="1:12" ht="14.25" customHeight="1" x14ac:dyDescent="0.2">
      <c r="B6" s="11"/>
      <c r="C6" s="11"/>
      <c r="D6" s="11"/>
      <c r="E6" s="11"/>
      <c r="F6" s="11"/>
      <c r="G6" s="11"/>
      <c r="H6" s="11"/>
      <c r="I6" s="11"/>
    </row>
    <row r="7" spans="1:12" s="12" customFormat="1" ht="14.25" customHeight="1" x14ac:dyDescent="0.2">
      <c r="B7" s="13" t="s">
        <v>15</v>
      </c>
      <c r="C7" s="14"/>
      <c r="D7" s="71">
        <v>85</v>
      </c>
      <c r="E7" s="15" t="s">
        <v>0</v>
      </c>
      <c r="F7" s="24" t="s">
        <v>225</v>
      </c>
      <c r="G7" s="24"/>
      <c r="H7" s="24"/>
      <c r="I7" s="24"/>
    </row>
    <row r="8" spans="1:12" s="12" customFormat="1" ht="14.25" customHeight="1" x14ac:dyDescent="0.2">
      <c r="B8" s="13" t="s">
        <v>16</v>
      </c>
      <c r="C8" s="14"/>
      <c r="D8" s="71">
        <v>265</v>
      </c>
      <c r="E8" s="15" t="s">
        <v>0</v>
      </c>
      <c r="F8" s="24" t="s">
        <v>226</v>
      </c>
      <c r="G8" s="24"/>
      <c r="H8" s="24"/>
      <c r="I8" s="24"/>
    </row>
    <row r="9" spans="1:12" s="16" customFormat="1" ht="14.25" customHeight="1" x14ac:dyDescent="0.2">
      <c r="B9" s="13" t="s">
        <v>27</v>
      </c>
      <c r="C9" s="14"/>
      <c r="D9" s="71">
        <v>115</v>
      </c>
      <c r="E9" s="15" t="s">
        <v>0</v>
      </c>
      <c r="F9" s="15" t="s">
        <v>127</v>
      </c>
      <c r="G9" s="15"/>
      <c r="H9" s="15"/>
      <c r="I9" s="15"/>
    </row>
    <row r="10" spans="1:12" s="16" customFormat="1" ht="14.25" customHeight="1" x14ac:dyDescent="0.2">
      <c r="B10" s="13" t="s">
        <v>28</v>
      </c>
      <c r="C10" s="14"/>
      <c r="D10" s="71">
        <v>230</v>
      </c>
      <c r="E10" s="15" t="s">
        <v>0</v>
      </c>
      <c r="F10" s="15" t="s">
        <v>128</v>
      </c>
      <c r="G10" s="15"/>
      <c r="H10" s="15"/>
      <c r="I10" s="15"/>
    </row>
    <row r="11" spans="1:12" s="16" customFormat="1" ht="14.25" customHeight="1" x14ac:dyDescent="0.2">
      <c r="B11" s="13" t="s">
        <v>29</v>
      </c>
      <c r="C11" s="14"/>
      <c r="D11" s="71">
        <v>57</v>
      </c>
      <c r="E11" s="15" t="s">
        <v>31</v>
      </c>
      <c r="F11" s="24" t="s">
        <v>227</v>
      </c>
      <c r="G11" s="24"/>
      <c r="H11" s="24"/>
      <c r="I11" s="24"/>
    </row>
    <row r="12" spans="1:12" s="16" customFormat="1" ht="14.25" customHeight="1" x14ac:dyDescent="0.2">
      <c r="B12" s="13" t="s">
        <v>30</v>
      </c>
      <c r="C12" s="14"/>
      <c r="D12" s="71">
        <v>47</v>
      </c>
      <c r="E12" s="15" t="s">
        <v>31</v>
      </c>
      <c r="F12" s="24" t="s">
        <v>228</v>
      </c>
      <c r="G12" s="24"/>
      <c r="H12" s="24"/>
      <c r="I12" s="24"/>
    </row>
    <row r="13" spans="1:12" s="16" customFormat="1" ht="14.25" customHeight="1" x14ac:dyDescent="0.25">
      <c r="B13" s="65" t="s">
        <v>255</v>
      </c>
      <c r="C13" s="66"/>
      <c r="D13" s="71">
        <v>105</v>
      </c>
      <c r="E13" s="67" t="s">
        <v>12</v>
      </c>
      <c r="F13" s="69" t="s">
        <v>254</v>
      </c>
      <c r="G13" s="55" t="s">
        <v>246</v>
      </c>
      <c r="H13" s="69"/>
      <c r="I13" s="69"/>
    </row>
    <row r="14" spans="1:12" s="12" customFormat="1" ht="14.25" customHeight="1" x14ac:dyDescent="0.2">
      <c r="B14" s="13" t="s">
        <v>1</v>
      </c>
      <c r="C14" s="14" t="s">
        <v>120</v>
      </c>
      <c r="D14" s="71">
        <v>5</v>
      </c>
      <c r="E14" s="15" t="s">
        <v>0</v>
      </c>
      <c r="F14" s="24" t="s">
        <v>17</v>
      </c>
      <c r="G14" s="24"/>
      <c r="H14" s="24"/>
      <c r="I14" s="24"/>
    </row>
    <row r="15" spans="1:12" s="12" customFormat="1" ht="14.25" customHeight="1" x14ac:dyDescent="0.2">
      <c r="B15" s="13" t="s">
        <v>2</v>
      </c>
      <c r="C15" s="14" t="s">
        <v>120</v>
      </c>
      <c r="D15" s="71">
        <v>0.04</v>
      </c>
      <c r="E15" s="15" t="s">
        <v>3</v>
      </c>
      <c r="F15" s="24" t="s">
        <v>18</v>
      </c>
      <c r="G15" s="24"/>
      <c r="H15" s="24"/>
      <c r="I15" s="24"/>
    </row>
    <row r="16" spans="1:12" s="23" customFormat="1" ht="14.25" customHeight="1" x14ac:dyDescent="0.25">
      <c r="B16" s="78" t="s">
        <v>129</v>
      </c>
      <c r="C16" s="14" t="s">
        <v>120</v>
      </c>
      <c r="D16" s="71">
        <v>150</v>
      </c>
      <c r="E16" s="15" t="s">
        <v>75</v>
      </c>
      <c r="F16" s="24" t="s">
        <v>229</v>
      </c>
      <c r="G16" s="25"/>
      <c r="H16" s="25"/>
      <c r="I16" s="25"/>
    </row>
    <row r="17" spans="2:9" s="23" customFormat="1" ht="17.25" customHeight="1" x14ac:dyDescent="0.2">
      <c r="B17" s="13" t="s">
        <v>4</v>
      </c>
      <c r="C17" s="14" t="s">
        <v>120</v>
      </c>
      <c r="D17" s="71">
        <f>D14*D15</f>
        <v>0.2</v>
      </c>
      <c r="E17" s="15" t="s">
        <v>5</v>
      </c>
      <c r="F17" s="24" t="s">
        <v>19</v>
      </c>
      <c r="G17" s="56" t="s">
        <v>271</v>
      </c>
      <c r="H17" s="56" t="s">
        <v>272</v>
      </c>
      <c r="I17" s="24"/>
    </row>
    <row r="18" spans="2:9" s="23" customFormat="1" ht="17.25" customHeight="1" x14ac:dyDescent="0.25">
      <c r="B18" s="65" t="s">
        <v>253</v>
      </c>
      <c r="C18" s="66"/>
      <c r="D18" s="71">
        <v>0.5</v>
      </c>
      <c r="E18" s="67" t="s">
        <v>3</v>
      </c>
      <c r="F18" s="69" t="s">
        <v>257</v>
      </c>
      <c r="G18" s="56"/>
      <c r="H18" s="56"/>
      <c r="I18" s="69"/>
    </row>
    <row r="19" spans="2:9" s="23" customFormat="1" ht="17.25" customHeight="1" x14ac:dyDescent="0.25">
      <c r="B19" s="65" t="s">
        <v>263</v>
      </c>
      <c r="C19" s="66"/>
      <c r="D19" s="71">
        <v>1</v>
      </c>
      <c r="E19" s="67" t="s">
        <v>0</v>
      </c>
      <c r="F19" s="69" t="s">
        <v>252</v>
      </c>
      <c r="G19" s="56"/>
      <c r="H19" s="56"/>
      <c r="I19" s="69"/>
    </row>
    <row r="20" spans="2:9" s="23" customFormat="1" ht="14.25" customHeight="1" x14ac:dyDescent="0.2">
      <c r="B20" s="13" t="s">
        <v>84</v>
      </c>
      <c r="C20" s="14" t="s">
        <v>120</v>
      </c>
      <c r="D20" s="71">
        <v>75</v>
      </c>
      <c r="E20" s="15" t="s">
        <v>6</v>
      </c>
      <c r="F20" s="24"/>
      <c r="G20" s="24"/>
      <c r="H20" s="24"/>
      <c r="I20" s="24"/>
    </row>
    <row r="21" spans="2:9" ht="14.25" customHeight="1" x14ac:dyDescent="0.2">
      <c r="B21" s="53" t="s">
        <v>120</v>
      </c>
      <c r="F21" s="53" t="s">
        <v>120</v>
      </c>
    </row>
  </sheetData>
  <sheetProtection password="EEDD" sheet="1" objects="1" scenarios="1"/>
  <phoneticPr fontId="5" type="noConversion"/>
  <pageMargins left="0.75" right="0.75" top="1" bottom="1" header="0.5" footer="0.5"/>
  <pageSetup orientation="portrait" verticalDpi="300" r:id="rId1"/>
  <headerFooter alignWithMargins="0"/>
  <ignoredErrors>
    <ignoredError sqref="D1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B1:N96"/>
  <sheetViews>
    <sheetView tabSelected="1" topLeftCell="A46" zoomScale="140" zoomScaleNormal="140" workbookViewId="0">
      <selection activeCell="D40" sqref="D40"/>
    </sheetView>
  </sheetViews>
  <sheetFormatPr defaultRowHeight="14.25" customHeight="1" x14ac:dyDescent="0.2"/>
  <cols>
    <col min="1" max="1" width="4.7109375" style="10" customWidth="1"/>
    <col min="2" max="2" width="20.5703125" style="15" customWidth="1"/>
    <col min="3" max="3" width="4.5703125" style="10" customWidth="1"/>
    <col min="4" max="4" width="31.42578125" style="10" customWidth="1"/>
    <col min="5" max="5" width="6.42578125" style="10" customWidth="1"/>
    <col min="6" max="6" width="54.28515625" style="10" customWidth="1"/>
    <col min="7" max="7" width="40.140625" style="10" customWidth="1"/>
    <col min="8" max="11" width="9.140625" style="10" hidden="1" customWidth="1"/>
    <col min="12" max="12" width="32.7109375" style="10" customWidth="1"/>
    <col min="13" max="14" width="9.140625" style="10" customWidth="1"/>
    <col min="15" max="16384" width="9.140625" style="10"/>
  </cols>
  <sheetData>
    <row r="1" spans="2:14" ht="14.25" customHeight="1" x14ac:dyDescent="0.2">
      <c r="B1" s="96" t="s">
        <v>185</v>
      </c>
      <c r="C1" s="101"/>
      <c r="D1" s="101"/>
      <c r="E1" s="101"/>
      <c r="F1" s="101"/>
      <c r="G1" s="54" t="s">
        <v>247</v>
      </c>
      <c r="I1" s="10">
        <v>0.35399999999999998</v>
      </c>
      <c r="L1" s="54" t="s">
        <v>247</v>
      </c>
    </row>
    <row r="2" spans="2:14" ht="15.75" customHeight="1" x14ac:dyDescent="0.2">
      <c r="B2" s="13" t="s">
        <v>4</v>
      </c>
      <c r="C2" s="26"/>
      <c r="D2" s="22">
        <f>Specifications!D17</f>
        <v>0.2</v>
      </c>
      <c r="E2" s="15" t="s">
        <v>5</v>
      </c>
      <c r="F2" s="24" t="s">
        <v>153</v>
      </c>
      <c r="G2" s="56" t="s">
        <v>271</v>
      </c>
      <c r="H2" s="57" t="s">
        <v>232</v>
      </c>
      <c r="I2" s="55">
        <f>2*Specifications!D15/(D68*'UCC28910 Data'!D9)</f>
        <v>1.1680947405085337E-2</v>
      </c>
      <c r="J2" s="57" t="s">
        <v>3</v>
      </c>
      <c r="K2" s="55"/>
      <c r="L2" s="56" t="s">
        <v>272</v>
      </c>
    </row>
    <row r="3" spans="2:14" ht="14.25" customHeight="1" x14ac:dyDescent="0.2">
      <c r="B3" s="13" t="s">
        <v>104</v>
      </c>
      <c r="C3" s="26"/>
      <c r="D3" s="22">
        <f>Specifications!D20</f>
        <v>75</v>
      </c>
      <c r="E3" s="15" t="s">
        <v>6</v>
      </c>
      <c r="F3" s="24" t="s">
        <v>154</v>
      </c>
      <c r="H3" s="52" t="s">
        <v>233</v>
      </c>
      <c r="I3" s="10">
        <f>2*D62/((1-D60)*I2*I2*D44)</f>
        <v>47.270554741643799</v>
      </c>
      <c r="J3" s="52" t="s">
        <v>14</v>
      </c>
    </row>
    <row r="4" spans="2:14" ht="14.25" customHeight="1" x14ac:dyDescent="0.2">
      <c r="B4" s="13" t="s">
        <v>26</v>
      </c>
      <c r="C4" s="26"/>
      <c r="D4" s="22">
        <f>100*D2/D3</f>
        <v>0.26666666666666666</v>
      </c>
      <c r="E4" s="15" t="s">
        <v>5</v>
      </c>
      <c r="F4" s="24" t="s">
        <v>155</v>
      </c>
      <c r="H4" s="52" t="s">
        <v>234</v>
      </c>
      <c r="I4" s="10">
        <v>0.08</v>
      </c>
      <c r="J4" s="52" t="s">
        <v>58</v>
      </c>
    </row>
    <row r="5" spans="2:14" ht="14.25" customHeight="1" x14ac:dyDescent="0.25">
      <c r="B5" s="13" t="s">
        <v>130</v>
      </c>
      <c r="C5" s="26"/>
      <c r="D5" s="22">
        <f>SQRT(2)*Specifications!D7</f>
        <v>120.20815280171308</v>
      </c>
      <c r="E5" s="15" t="s">
        <v>0</v>
      </c>
      <c r="F5" s="24" t="s">
        <v>151</v>
      </c>
      <c r="H5" s="52" t="s">
        <v>235</v>
      </c>
      <c r="I5" s="10">
        <f>D21*I4/I3</f>
        <v>0.20147840432931283</v>
      </c>
      <c r="J5" s="52" t="s">
        <v>9</v>
      </c>
    </row>
    <row r="6" spans="2:14" ht="14.25" customHeight="1" x14ac:dyDescent="0.25">
      <c r="B6" s="32" t="s">
        <v>131</v>
      </c>
      <c r="C6" s="20"/>
      <c r="D6" s="71">
        <v>40</v>
      </c>
      <c r="E6" s="15" t="s">
        <v>6</v>
      </c>
      <c r="F6" s="24" t="s">
        <v>152</v>
      </c>
      <c r="H6" s="79" t="s">
        <v>120</v>
      </c>
      <c r="I6" s="80" t="s">
        <v>120</v>
      </c>
      <c r="J6" s="79" t="s">
        <v>120</v>
      </c>
      <c r="K6" s="79" t="s">
        <v>120</v>
      </c>
      <c r="L6" s="51"/>
      <c r="M6" s="51"/>
      <c r="N6" s="52"/>
    </row>
    <row r="7" spans="2:14" ht="14.25" customHeight="1" x14ac:dyDescent="0.2">
      <c r="B7" s="13" t="s">
        <v>32</v>
      </c>
      <c r="C7" s="26"/>
      <c r="D7" s="22">
        <f>D5*(1-D6/100)</f>
        <v>72.124891681027847</v>
      </c>
      <c r="E7" s="15" t="s">
        <v>0</v>
      </c>
      <c r="F7" s="24" t="s">
        <v>156</v>
      </c>
      <c r="H7" s="79" t="s">
        <v>120</v>
      </c>
      <c r="I7" s="80" t="s">
        <v>120</v>
      </c>
      <c r="J7" s="79" t="s">
        <v>120</v>
      </c>
      <c r="K7" s="79" t="s">
        <v>120</v>
      </c>
      <c r="L7" s="51"/>
      <c r="M7" s="51"/>
      <c r="N7" s="52"/>
    </row>
    <row r="8" spans="2:14" ht="14.25" customHeight="1" x14ac:dyDescent="0.25">
      <c r="B8" s="13" t="s">
        <v>132</v>
      </c>
      <c r="C8" s="26"/>
      <c r="D8" s="22">
        <f>SQRT(2)*Specifications!D7-D7</f>
        <v>48.083261120685236</v>
      </c>
      <c r="E8" s="15" t="s">
        <v>0</v>
      </c>
      <c r="F8" s="24" t="s">
        <v>157</v>
      </c>
      <c r="H8" s="79" t="s">
        <v>120</v>
      </c>
      <c r="I8" s="80" t="s">
        <v>120</v>
      </c>
      <c r="J8" s="79" t="s">
        <v>120</v>
      </c>
      <c r="K8" s="79" t="s">
        <v>120</v>
      </c>
      <c r="L8" s="51"/>
      <c r="M8" s="51"/>
      <c r="N8" s="52"/>
    </row>
    <row r="9" spans="2:14" ht="14.25" customHeight="1" x14ac:dyDescent="0.2">
      <c r="B9" s="13" t="s">
        <v>33</v>
      </c>
      <c r="C9" s="20"/>
      <c r="D9" s="77" t="s">
        <v>34</v>
      </c>
      <c r="E9" s="16"/>
      <c r="F9" s="24" t="s">
        <v>139</v>
      </c>
      <c r="I9" s="53" t="s">
        <v>120</v>
      </c>
      <c r="J9" s="53" t="s">
        <v>120</v>
      </c>
    </row>
    <row r="10" spans="2:14" ht="14.25" customHeight="1" x14ac:dyDescent="0.25">
      <c r="B10" s="13" t="s">
        <v>133</v>
      </c>
      <c r="C10" s="20"/>
      <c r="D10" s="71">
        <v>20</v>
      </c>
      <c r="E10" s="15" t="s">
        <v>6</v>
      </c>
      <c r="F10" s="24" t="s">
        <v>158</v>
      </c>
      <c r="I10" s="53" t="s">
        <v>120</v>
      </c>
    </row>
    <row r="11" spans="2:14" ht="14.25" customHeight="1" x14ac:dyDescent="0.2">
      <c r="B11" s="13" t="s">
        <v>7</v>
      </c>
      <c r="C11" s="20"/>
      <c r="D11" s="71">
        <v>0.75</v>
      </c>
      <c r="E11" s="15" t="s">
        <v>0</v>
      </c>
      <c r="F11" s="24" t="s">
        <v>140</v>
      </c>
      <c r="I11" s="53" t="s">
        <v>120</v>
      </c>
    </row>
    <row r="12" spans="2:14" ht="14.25" customHeight="1" x14ac:dyDescent="0.2">
      <c r="B12" s="13" t="s">
        <v>7</v>
      </c>
      <c r="C12" s="26"/>
      <c r="D12" s="22">
        <f>IF(D9="Full Bridge", 2*D11,D11)</f>
        <v>1.5</v>
      </c>
      <c r="E12" s="15" t="s">
        <v>0</v>
      </c>
      <c r="F12" s="24" t="s">
        <v>43</v>
      </c>
      <c r="I12" s="53" t="s">
        <v>120</v>
      </c>
    </row>
    <row r="13" spans="2:14" ht="14.25" customHeight="1" x14ac:dyDescent="0.2">
      <c r="B13" s="13" t="s">
        <v>25</v>
      </c>
      <c r="C13" s="26"/>
      <c r="D13" s="22">
        <f>Specifications!D7*SQRT(2)</f>
        <v>120.20815280171308</v>
      </c>
      <c r="E13" s="15" t="s">
        <v>0</v>
      </c>
      <c r="F13" s="24" t="s">
        <v>159</v>
      </c>
      <c r="G13" s="39" t="s">
        <v>120</v>
      </c>
    </row>
    <row r="14" spans="2:14" ht="14.25" customHeight="1" x14ac:dyDescent="0.2">
      <c r="B14" s="13" t="s">
        <v>102</v>
      </c>
      <c r="C14" s="26"/>
      <c r="D14" s="22">
        <f>Specifications!D11</f>
        <v>57</v>
      </c>
      <c r="E14" s="15" t="s">
        <v>31</v>
      </c>
      <c r="F14" s="24" t="s">
        <v>160</v>
      </c>
    </row>
    <row r="15" spans="2:14" ht="14.25" customHeight="1" x14ac:dyDescent="0.2">
      <c r="B15" s="13" t="s">
        <v>36</v>
      </c>
      <c r="C15" s="26"/>
      <c r="D15" s="22">
        <f>1000*ACOS(-D7/D13)/(2*PI()*D14)+IF(D9="Full Bridge",0,1000/(2*D14))</f>
        <v>6.1827435499923986</v>
      </c>
      <c r="E15" s="15" t="s">
        <v>37</v>
      </c>
      <c r="F15" s="24" t="s">
        <v>161</v>
      </c>
    </row>
    <row r="16" spans="2:14" ht="14.25" customHeight="1" x14ac:dyDescent="0.2">
      <c r="B16" s="13" t="s">
        <v>35</v>
      </c>
      <c r="C16" s="26"/>
      <c r="D16" s="22">
        <f>2000*D15*D4/((D13-D12)^2-D7^2)</f>
        <v>0.3709338724374463</v>
      </c>
      <c r="E16" s="15" t="s">
        <v>39</v>
      </c>
      <c r="F16" s="24" t="s">
        <v>162</v>
      </c>
    </row>
    <row r="17" spans="2:6" ht="14.25" customHeight="1" x14ac:dyDescent="0.2">
      <c r="B17" s="13" t="s">
        <v>38</v>
      </c>
      <c r="C17" s="27"/>
      <c r="D17" s="22">
        <f>D16/(1-D10/100)</f>
        <v>0.46366734054680786</v>
      </c>
      <c r="E17" s="15" t="s">
        <v>39</v>
      </c>
      <c r="F17" s="24" t="s">
        <v>44</v>
      </c>
    </row>
    <row r="18" spans="2:6" ht="14.25" customHeight="1" x14ac:dyDescent="0.2">
      <c r="B18" s="13" t="s">
        <v>40</v>
      </c>
      <c r="C18" s="26"/>
      <c r="D18" s="71">
        <v>16.8</v>
      </c>
      <c r="E18" s="15" t="s">
        <v>39</v>
      </c>
      <c r="F18" s="24" t="s">
        <v>45</v>
      </c>
    </row>
    <row r="19" spans="2:6" s="19" customFormat="1" ht="14.25" customHeight="1" x14ac:dyDescent="0.2">
      <c r="B19" s="13" t="s">
        <v>41</v>
      </c>
      <c r="C19" s="18"/>
      <c r="D19" s="87">
        <f>D5-((D4/(D5*D18*10^-6)*D15*10^-3))</f>
        <v>119.39174572598255</v>
      </c>
      <c r="E19" s="15" t="s">
        <v>0</v>
      </c>
      <c r="F19" s="24" t="s">
        <v>163</v>
      </c>
    </row>
    <row r="20" spans="2:6" ht="14.25" customHeight="1" x14ac:dyDescent="0.25">
      <c r="B20" s="13" t="s">
        <v>134</v>
      </c>
      <c r="C20" s="18"/>
      <c r="D20" s="22">
        <f>D5-D19</f>
        <v>0.81640707573053817</v>
      </c>
      <c r="E20" s="15" t="s">
        <v>0</v>
      </c>
      <c r="F20" s="24" t="s">
        <v>164</v>
      </c>
    </row>
    <row r="21" spans="2:6" s="28" customFormat="1" ht="14.25" customHeight="1" x14ac:dyDescent="0.2">
      <c r="B21" s="13" t="s">
        <v>42</v>
      </c>
      <c r="C21" s="26"/>
      <c r="D21" s="22">
        <f>(D19+D13-D12)/2</f>
        <v>119.04994926384782</v>
      </c>
      <c r="E21" s="15" t="s">
        <v>0</v>
      </c>
      <c r="F21" s="24" t="s">
        <v>165</v>
      </c>
    </row>
    <row r="22" spans="2:6" s="28" customFormat="1" ht="14.25" customHeight="1" x14ac:dyDescent="0.2">
      <c r="B22" s="96" t="s">
        <v>244</v>
      </c>
      <c r="C22" s="101"/>
      <c r="D22" s="101"/>
      <c r="E22" s="101"/>
      <c r="F22" s="101"/>
    </row>
    <row r="23" spans="2:6" s="29" customFormat="1" ht="14.25" customHeight="1" x14ac:dyDescent="0.25">
      <c r="B23" s="13" t="s">
        <v>135</v>
      </c>
      <c r="C23" s="26"/>
      <c r="D23" s="33">
        <f>D4/D21</f>
        <v>2.2399561555096433E-3</v>
      </c>
      <c r="E23" s="15" t="s">
        <v>3</v>
      </c>
      <c r="F23" s="24" t="s">
        <v>103</v>
      </c>
    </row>
    <row r="24" spans="2:6" s="29" customFormat="1" ht="14.25" customHeight="1" x14ac:dyDescent="0.25">
      <c r="B24" s="13" t="s">
        <v>136</v>
      </c>
      <c r="C24" s="26"/>
      <c r="D24" s="33">
        <f>IF(D9="Full Bridge",(1/PI())*(D19/D5),(1/(2*PI()))*(D19/D5))</f>
        <v>0.31614804909288974</v>
      </c>
      <c r="E24" s="15"/>
      <c r="F24" s="24" t="s">
        <v>87</v>
      </c>
    </row>
    <row r="25" spans="2:6" ht="14.25" customHeight="1" x14ac:dyDescent="0.25">
      <c r="B25" s="13" t="s">
        <v>137</v>
      </c>
      <c r="C25" s="26"/>
      <c r="D25" s="33">
        <f>D23*PI()/(2*D24)</f>
        <v>1.1129326628304974E-2</v>
      </c>
      <c r="E25" s="15" t="s">
        <v>3</v>
      </c>
      <c r="F25" s="15" t="s">
        <v>88</v>
      </c>
    </row>
    <row r="26" spans="2:6" ht="14.25" customHeight="1" x14ac:dyDescent="0.25">
      <c r="B26" s="13" t="s">
        <v>138</v>
      </c>
      <c r="C26" s="26"/>
      <c r="D26" s="33">
        <f>SQRT(D24*(D25*D25)*(1.7/3.14))</f>
        <v>4.6044077708796106E-3</v>
      </c>
      <c r="E26" s="15" t="s">
        <v>3</v>
      </c>
      <c r="F26" s="15" t="s">
        <v>89</v>
      </c>
    </row>
    <row r="27" spans="2:6" ht="14.25" customHeight="1" x14ac:dyDescent="0.25">
      <c r="B27" s="13" t="s">
        <v>141</v>
      </c>
      <c r="C27" s="26"/>
      <c r="D27" s="34">
        <f>CEILING(SQRT(2)*Specifications!D8*1.5,100)</f>
        <v>600</v>
      </c>
      <c r="E27" s="15" t="s">
        <v>0</v>
      </c>
      <c r="F27" s="15" t="s">
        <v>90</v>
      </c>
    </row>
    <row r="28" spans="2:6" ht="14.25" customHeight="1" x14ac:dyDescent="0.25">
      <c r="B28" s="13" t="s">
        <v>142</v>
      </c>
      <c r="C28" s="26"/>
      <c r="D28" s="67">
        <f>CEILING(3*D23,0.5)</f>
        <v>0.5</v>
      </c>
      <c r="E28" s="15" t="s">
        <v>3</v>
      </c>
      <c r="F28" s="15" t="s">
        <v>91</v>
      </c>
    </row>
    <row r="29" spans="2:6" ht="14.25" customHeight="1" x14ac:dyDescent="0.25">
      <c r="B29" s="13" t="s">
        <v>143</v>
      </c>
      <c r="C29" s="17"/>
      <c r="D29" s="70">
        <v>50</v>
      </c>
      <c r="E29" s="15" t="s">
        <v>3</v>
      </c>
      <c r="F29" s="15" t="s">
        <v>92</v>
      </c>
    </row>
    <row r="30" spans="2:6" ht="14.25" customHeight="1" x14ac:dyDescent="0.2">
      <c r="B30" s="96" t="s">
        <v>186</v>
      </c>
      <c r="C30" s="101"/>
      <c r="D30" s="101"/>
      <c r="E30" s="101"/>
      <c r="F30" s="101"/>
    </row>
    <row r="31" spans="2:6" ht="14.25" customHeight="1" x14ac:dyDescent="0.25">
      <c r="B31" s="13" t="s">
        <v>144</v>
      </c>
      <c r="C31" s="18"/>
      <c r="D31" s="13">
        <f>CEILING(SQRT(2)*Specifications!D8/D29,0.5)</f>
        <v>7.5</v>
      </c>
      <c r="E31" s="15" t="s">
        <v>57</v>
      </c>
      <c r="F31" s="15" t="s">
        <v>93</v>
      </c>
    </row>
    <row r="32" spans="2:6" ht="14.25" customHeight="1" x14ac:dyDescent="0.25">
      <c r="B32" s="13" t="s">
        <v>145</v>
      </c>
      <c r="C32" s="17"/>
      <c r="D32" s="86">
        <v>7.5</v>
      </c>
      <c r="E32" s="15" t="s">
        <v>57</v>
      </c>
      <c r="F32" s="15" t="s">
        <v>149</v>
      </c>
    </row>
    <row r="33" spans="2:7" s="21" customFormat="1" ht="14.25" customHeight="1" x14ac:dyDescent="0.25">
      <c r="B33" s="13" t="s">
        <v>146</v>
      </c>
      <c r="C33" s="31"/>
      <c r="D33" s="35">
        <f>D26*D26*D32</f>
        <v>1.5900428190402407E-4</v>
      </c>
      <c r="E33" s="24" t="s">
        <v>5</v>
      </c>
      <c r="F33" s="24" t="s">
        <v>150</v>
      </c>
    </row>
    <row r="34" spans="2:7" s="21" customFormat="1" ht="14.25" customHeight="1" x14ac:dyDescent="0.25">
      <c r="B34" s="13" t="s">
        <v>147</v>
      </c>
      <c r="C34" s="31"/>
      <c r="D34" s="36">
        <f>D11*D23*IF(D9="Full Bridge",2,1)</f>
        <v>3.3599342332644652E-3</v>
      </c>
      <c r="E34" s="24" t="s">
        <v>5</v>
      </c>
      <c r="F34" s="24" t="s">
        <v>94</v>
      </c>
    </row>
    <row r="35" spans="2:7" ht="14.25" customHeight="1" x14ac:dyDescent="0.25">
      <c r="B35" s="13" t="s">
        <v>148</v>
      </c>
      <c r="C35" s="31"/>
      <c r="D35" s="35">
        <f>D33+D34</f>
        <v>3.5189385151684891E-3</v>
      </c>
      <c r="E35" s="24" t="s">
        <v>5</v>
      </c>
      <c r="F35" s="24" t="s">
        <v>95</v>
      </c>
    </row>
    <row r="36" spans="2:7" ht="14.25" customHeight="1" x14ac:dyDescent="0.2">
      <c r="B36" s="102" t="s">
        <v>96</v>
      </c>
      <c r="C36" s="101"/>
      <c r="D36" s="101"/>
      <c r="E36" s="101"/>
      <c r="F36" s="101"/>
    </row>
    <row r="37" spans="2:7" s="29" customFormat="1" ht="14.25" customHeight="1" x14ac:dyDescent="0.2">
      <c r="B37" s="13" t="s">
        <v>70</v>
      </c>
      <c r="C37" s="20" t="s">
        <v>120</v>
      </c>
      <c r="D37" s="76" t="s">
        <v>71</v>
      </c>
      <c r="E37" s="10"/>
      <c r="F37" s="15" t="s">
        <v>170</v>
      </c>
    </row>
    <row r="38" spans="2:7" s="12" customFormat="1" ht="14.25" customHeight="1" x14ac:dyDescent="0.25">
      <c r="B38" s="13" t="s">
        <v>222</v>
      </c>
      <c r="C38" s="14" t="s">
        <v>120</v>
      </c>
      <c r="D38" s="15">
        <f>3*Specifications!D15</f>
        <v>0.12</v>
      </c>
      <c r="E38" s="15" t="s">
        <v>3</v>
      </c>
      <c r="F38" s="24" t="s">
        <v>223</v>
      </c>
    </row>
    <row r="39" spans="2:7" s="12" customFormat="1" ht="14.25" customHeight="1" x14ac:dyDescent="0.25">
      <c r="B39" s="13" t="s">
        <v>166</v>
      </c>
      <c r="C39" s="14" t="s">
        <v>120</v>
      </c>
      <c r="D39" s="34">
        <f>IF(Calculations!D37="Fast",1.2,1.4)*((SQRT(2)*Specifications!D8)/Calculations!D68)+Specifications!D14</f>
        <v>36.601008434434384</v>
      </c>
      <c r="E39" s="15" t="s">
        <v>0</v>
      </c>
      <c r="F39" s="24" t="s">
        <v>171</v>
      </c>
    </row>
    <row r="40" spans="2:7" ht="14.25" customHeight="1" x14ac:dyDescent="0.25">
      <c r="B40" s="13" t="s">
        <v>167</v>
      </c>
      <c r="C40" s="14" t="s">
        <v>120</v>
      </c>
      <c r="D40" s="22">
        <f>2*Specifications!D15/'UCC28910 Data'!D9</f>
        <v>0.19393939393939397</v>
      </c>
      <c r="E40" s="15" t="s">
        <v>3</v>
      </c>
      <c r="F40" s="15" t="s">
        <v>72</v>
      </c>
    </row>
    <row r="41" spans="2:7" ht="14.25" customHeight="1" x14ac:dyDescent="0.25">
      <c r="B41" s="13" t="s">
        <v>168</v>
      </c>
      <c r="C41" s="14" t="s">
        <v>120</v>
      </c>
      <c r="D41" s="22">
        <f>D40*SQRT('UCC28910 Data'!D9/3)</f>
        <v>7.191465199607916E-2</v>
      </c>
      <c r="E41" s="15" t="s">
        <v>3</v>
      </c>
      <c r="F41" s="15" t="s">
        <v>73</v>
      </c>
    </row>
    <row r="42" spans="2:7" ht="14.25" customHeight="1" x14ac:dyDescent="0.25">
      <c r="B42" s="13" t="s">
        <v>169</v>
      </c>
      <c r="C42" s="14" t="s">
        <v>120</v>
      </c>
      <c r="D42" s="38">
        <f>Specifications!D15</f>
        <v>0.04</v>
      </c>
      <c r="E42" s="15" t="s">
        <v>3</v>
      </c>
      <c r="F42" s="15" t="s">
        <v>74</v>
      </c>
    </row>
    <row r="43" spans="2:7" ht="14.25" customHeight="1" x14ac:dyDescent="0.2">
      <c r="B43" s="102" t="s">
        <v>256</v>
      </c>
      <c r="C43" s="101"/>
      <c r="D43" s="101"/>
      <c r="E43" s="101"/>
      <c r="F43" s="101"/>
    </row>
    <row r="44" spans="2:7" ht="14.25" customHeight="1" x14ac:dyDescent="0.25">
      <c r="B44" s="13" t="s">
        <v>255</v>
      </c>
      <c r="C44" s="20" t="s">
        <v>120</v>
      </c>
      <c r="D44" s="81">
        <f>fswmax</f>
        <v>105</v>
      </c>
      <c r="E44" s="15" t="s">
        <v>12</v>
      </c>
      <c r="F44" s="24" t="s">
        <v>189</v>
      </c>
      <c r="G44" s="61" t="s">
        <v>120</v>
      </c>
    </row>
    <row r="45" spans="2:7" ht="14.25" customHeight="1" x14ac:dyDescent="0.2">
      <c r="B45" s="102" t="s">
        <v>79</v>
      </c>
      <c r="C45" s="101"/>
      <c r="D45" s="101"/>
      <c r="E45" s="101"/>
      <c r="F45" s="101"/>
    </row>
    <row r="46" spans="2:7" s="30" customFormat="1" ht="14.25" customHeight="1" x14ac:dyDescent="0.25">
      <c r="B46" s="13" t="s">
        <v>172</v>
      </c>
      <c r="C46" s="14" t="s">
        <v>120</v>
      </c>
      <c r="D46" s="82">
        <f>Itran</f>
        <v>0.5</v>
      </c>
      <c r="E46" s="15" t="s">
        <v>3</v>
      </c>
      <c r="F46" s="15" t="s">
        <v>78</v>
      </c>
    </row>
    <row r="47" spans="2:7" s="30" customFormat="1" ht="14.25" customHeight="1" x14ac:dyDescent="0.25">
      <c r="B47" s="13" t="s">
        <v>173</v>
      </c>
      <c r="C47" s="14" t="s">
        <v>120</v>
      </c>
      <c r="D47" s="82">
        <f>Vocv-Vdroop</f>
        <v>4</v>
      </c>
      <c r="E47" s="15" t="s">
        <v>0</v>
      </c>
      <c r="F47" s="15" t="s">
        <v>174</v>
      </c>
    </row>
    <row r="48" spans="2:7" s="30" customFormat="1" ht="14.25" customHeight="1" x14ac:dyDescent="0.25">
      <c r="B48" s="13" t="s">
        <v>177</v>
      </c>
      <c r="C48" s="14" t="s">
        <v>120</v>
      </c>
      <c r="D48" s="68">
        <f>SQRT(D41*D41-D42*D42)</f>
        <v>5.9763845021192974E-2</v>
      </c>
      <c r="E48" s="15" t="s">
        <v>3</v>
      </c>
      <c r="F48" s="15" t="s">
        <v>175</v>
      </c>
    </row>
    <row r="49" spans="2:7" s="30" customFormat="1" ht="14.25" customHeight="1" x14ac:dyDescent="0.25">
      <c r="B49" s="13" t="s">
        <v>178</v>
      </c>
      <c r="C49" s="14" t="s">
        <v>120</v>
      </c>
      <c r="D49" s="68">
        <f>CEILING(1.2*D48,0.1)</f>
        <v>0.1</v>
      </c>
      <c r="E49" s="15" t="s">
        <v>3</v>
      </c>
      <c r="F49" s="15" t="s">
        <v>176</v>
      </c>
    </row>
    <row r="50" spans="2:7" s="30" customFormat="1" ht="14.25" customHeight="1" x14ac:dyDescent="0.25">
      <c r="B50" s="65" t="s">
        <v>260</v>
      </c>
      <c r="C50" s="66"/>
      <c r="D50" s="83">
        <f>Itran*10^3/(Vdroop*fswmin)</f>
        <v>1.1904761904761905</v>
      </c>
      <c r="E50" s="67" t="s">
        <v>66</v>
      </c>
      <c r="F50" s="67" t="s">
        <v>259</v>
      </c>
    </row>
    <row r="51" spans="2:7" s="30" customFormat="1" ht="14.25" customHeight="1" x14ac:dyDescent="0.25">
      <c r="B51" s="65" t="s">
        <v>261</v>
      </c>
      <c r="C51" s="66"/>
      <c r="D51" s="84">
        <f>400*Iocc/(Vocv*fswmax)</f>
        <v>3.0476190476190476E-2</v>
      </c>
      <c r="E51" s="67" t="s">
        <v>66</v>
      </c>
      <c r="F51" s="67" t="s">
        <v>258</v>
      </c>
    </row>
    <row r="52" spans="2:7" s="30" customFormat="1" ht="14.25" customHeight="1" x14ac:dyDescent="0.25">
      <c r="B52" s="13" t="s">
        <v>266</v>
      </c>
      <c r="C52" s="14" t="s">
        <v>120</v>
      </c>
      <c r="D52" s="68">
        <f>MAX(D50,D51)</f>
        <v>1.1904761904761905</v>
      </c>
      <c r="E52" s="15" t="s">
        <v>66</v>
      </c>
      <c r="F52" s="15" t="s">
        <v>262</v>
      </c>
    </row>
    <row r="53" spans="2:7" s="30" customFormat="1" ht="14.25" customHeight="1" x14ac:dyDescent="0.25">
      <c r="B53" s="13" t="s">
        <v>179</v>
      </c>
      <c r="C53" s="14" t="s">
        <v>120</v>
      </c>
      <c r="D53" s="68">
        <f>(Specifications!D16/Calculations!D40)*0.8</f>
        <v>618.75</v>
      </c>
      <c r="E53" s="15" t="s">
        <v>180</v>
      </c>
      <c r="F53" s="15" t="s">
        <v>76</v>
      </c>
    </row>
    <row r="54" spans="2:7" s="30" customFormat="1" ht="14.25" customHeight="1" x14ac:dyDescent="0.25">
      <c r="B54" s="13" t="s">
        <v>181</v>
      </c>
      <c r="C54" s="14" t="s">
        <v>120</v>
      </c>
      <c r="D54" s="67">
        <f>Specifications!D14*1.5</f>
        <v>7.5</v>
      </c>
      <c r="E54" s="15" t="s">
        <v>0</v>
      </c>
      <c r="F54" s="15" t="s">
        <v>248</v>
      </c>
      <c r="G54" s="54" t="s">
        <v>247</v>
      </c>
    </row>
    <row r="55" spans="2:7" s="30" customFormat="1" ht="33.75" customHeight="1" x14ac:dyDescent="0.25">
      <c r="B55" s="13" t="s">
        <v>182</v>
      </c>
      <c r="C55" s="14" t="s">
        <v>120</v>
      </c>
      <c r="D55" s="71">
        <v>1.2</v>
      </c>
      <c r="E55" s="15" t="s">
        <v>66</v>
      </c>
      <c r="F55" s="63" t="s">
        <v>265</v>
      </c>
      <c r="G55" s="60" t="s">
        <v>264</v>
      </c>
    </row>
    <row r="56" spans="2:7" s="30" customFormat="1" ht="14.25" customHeight="1" x14ac:dyDescent="0.25">
      <c r="B56" s="13" t="s">
        <v>183</v>
      </c>
      <c r="C56" s="14" t="s">
        <v>120</v>
      </c>
      <c r="D56" s="22">
        <f>Specifications!D14*Specifications!D14/(0.5*(1-Calculations!D60)*Calculations!D73*(1+Calculations!D70/100)*Calculations!D69*Calculations!D69*'UCC28910 Data'!D3/9-'UCC28910 Data'!D15*'UCC28910 Data'!D8)</f>
        <v>-30.164865554172078</v>
      </c>
      <c r="E56" s="15" t="s">
        <v>64</v>
      </c>
      <c r="F56" s="15" t="s">
        <v>184</v>
      </c>
      <c r="G56" s="59" t="s">
        <v>120</v>
      </c>
    </row>
    <row r="57" spans="2:7" s="30" customFormat="1" ht="14.25" customHeight="1" x14ac:dyDescent="0.2">
      <c r="B57" s="96" t="s">
        <v>220</v>
      </c>
      <c r="C57" s="97"/>
      <c r="D57" s="97"/>
      <c r="E57" s="97"/>
      <c r="F57" s="97"/>
      <c r="G57" s="58" t="s">
        <v>120</v>
      </c>
    </row>
    <row r="58" spans="2:7" ht="14.25" customHeight="1" x14ac:dyDescent="0.35">
      <c r="B58" s="40" t="s">
        <v>187</v>
      </c>
      <c r="C58" s="14" t="s">
        <v>120</v>
      </c>
      <c r="D58" s="71">
        <v>95</v>
      </c>
      <c r="E58" s="15" t="s">
        <v>6</v>
      </c>
      <c r="F58" s="24" t="s">
        <v>85</v>
      </c>
    </row>
    <row r="59" spans="2:7" ht="14.25" customHeight="1" x14ac:dyDescent="0.2">
      <c r="B59" s="13" t="s">
        <v>7</v>
      </c>
      <c r="C59" s="14" t="s">
        <v>120</v>
      </c>
      <c r="D59" s="71">
        <v>0.24</v>
      </c>
      <c r="E59" s="15" t="s">
        <v>0</v>
      </c>
      <c r="F59" s="24" t="s">
        <v>86</v>
      </c>
    </row>
    <row r="60" spans="2:7" ht="14.25" customHeight="1" x14ac:dyDescent="0.2">
      <c r="B60" s="13" t="s">
        <v>11</v>
      </c>
      <c r="C60" s="14" t="s">
        <v>120</v>
      </c>
      <c r="D60" s="71">
        <v>0.05</v>
      </c>
      <c r="E60" s="15"/>
      <c r="F60" s="24" t="s">
        <v>188</v>
      </c>
    </row>
    <row r="61" spans="2:7" ht="14.25" customHeight="1" x14ac:dyDescent="0.2">
      <c r="B61" s="13" t="s">
        <v>8</v>
      </c>
      <c r="C61" s="14" t="s">
        <v>120</v>
      </c>
      <c r="D61" s="71">
        <v>30</v>
      </c>
      <c r="E61" s="15" t="s">
        <v>0</v>
      </c>
      <c r="F61" s="24" t="s">
        <v>20</v>
      </c>
    </row>
    <row r="62" spans="2:7" ht="14.25" customHeight="1" x14ac:dyDescent="0.2">
      <c r="B62" s="13" t="s">
        <v>10</v>
      </c>
      <c r="C62" s="14" t="s">
        <v>120</v>
      </c>
      <c r="D62" s="22">
        <f>100*((Specifications!D14+D59)*Specifications!D15+(D61*'UCC28910 Data'!D7/1000))/D58</f>
        <v>0.32168421052631579</v>
      </c>
      <c r="E62" s="15" t="s">
        <v>5</v>
      </c>
      <c r="F62" s="24" t="s">
        <v>48</v>
      </c>
    </row>
    <row r="63" spans="2:7" ht="14.25" customHeight="1" x14ac:dyDescent="0.2">
      <c r="B63" s="13" t="s">
        <v>50</v>
      </c>
      <c r="C63" s="20" t="s">
        <v>120</v>
      </c>
      <c r="D63" s="71">
        <v>1.5</v>
      </c>
      <c r="E63" s="15" t="s">
        <v>49</v>
      </c>
      <c r="F63" s="24" t="s">
        <v>52</v>
      </c>
    </row>
    <row r="64" spans="2:7" ht="14.25" customHeight="1" x14ac:dyDescent="0.25">
      <c r="B64" s="13" t="s">
        <v>190</v>
      </c>
      <c r="C64" s="14" t="s">
        <v>120</v>
      </c>
      <c r="D64" s="22">
        <f>1-((D63/2000)*D44)-'UCC28910 Data'!D9</f>
        <v>0.50875000000000004</v>
      </c>
      <c r="E64" s="15"/>
      <c r="F64" s="24" t="s">
        <v>51</v>
      </c>
    </row>
    <row r="65" spans="2:6" ht="14.25" customHeight="1" x14ac:dyDescent="0.25">
      <c r="B65" s="13" t="s">
        <v>191</v>
      </c>
      <c r="C65" s="14" t="s">
        <v>120</v>
      </c>
      <c r="D65" s="22">
        <f>(D64*Calculations!D19/'UCC28910 Data'!D9)*0.9</f>
        <v>132.52483775584065</v>
      </c>
      <c r="E65" s="15" t="s">
        <v>0</v>
      </c>
      <c r="F65" s="24" t="s">
        <v>53</v>
      </c>
    </row>
    <row r="66" spans="2:6" ht="14.25" customHeight="1" x14ac:dyDescent="0.25">
      <c r="B66" s="13" t="s">
        <v>192</v>
      </c>
      <c r="C66" s="20" t="s">
        <v>120</v>
      </c>
      <c r="D66" s="71">
        <v>87</v>
      </c>
      <c r="E66" s="15" t="s">
        <v>0</v>
      </c>
      <c r="F66" s="24" t="s">
        <v>54</v>
      </c>
    </row>
    <row r="67" spans="2:6" ht="14.25" customHeight="1" x14ac:dyDescent="0.25">
      <c r="B67" s="13" t="s">
        <v>194</v>
      </c>
      <c r="C67" s="14" t="s">
        <v>120</v>
      </c>
      <c r="D67" s="22">
        <f>SQRT((1-D60)-(Calculations!D16*'UCC28910 Data'!D7)/(1000*D62))</f>
        <v>0.97278470480225943</v>
      </c>
      <c r="E67" s="15"/>
      <c r="F67" s="24" t="s">
        <v>245</v>
      </c>
    </row>
    <row r="68" spans="2:6" ht="14.25" customHeight="1" x14ac:dyDescent="0.25">
      <c r="B68" s="13" t="s">
        <v>195</v>
      </c>
      <c r="C68" s="14" t="s">
        <v>120</v>
      </c>
      <c r="D68" s="22">
        <f>D66/(Specifications!D14+D59)</f>
        <v>16.603053435114504</v>
      </c>
      <c r="E68" s="15"/>
      <c r="F68" s="24" t="s">
        <v>193</v>
      </c>
    </row>
    <row r="69" spans="2:6" ht="14.25" customHeight="1" x14ac:dyDescent="0.25">
      <c r="B69" s="13" t="s">
        <v>196</v>
      </c>
      <c r="C69" s="14" t="s">
        <v>120</v>
      </c>
      <c r="D69" s="33">
        <f>(I2/D67)+I5/1000</f>
        <v>1.2209220042762819E-2</v>
      </c>
      <c r="E69" s="15" t="s">
        <v>3</v>
      </c>
      <c r="F69" s="24" t="s">
        <v>55</v>
      </c>
    </row>
    <row r="70" spans="2:6" ht="14.25" customHeight="1" x14ac:dyDescent="0.2">
      <c r="B70" s="13" t="s">
        <v>22</v>
      </c>
      <c r="C70" s="14" t="s">
        <v>120</v>
      </c>
      <c r="D70" s="71">
        <v>30</v>
      </c>
      <c r="E70" s="15" t="s">
        <v>6</v>
      </c>
      <c r="F70" s="24" t="s">
        <v>199</v>
      </c>
    </row>
    <row r="71" spans="2:6" ht="14.25" customHeight="1" x14ac:dyDescent="0.2">
      <c r="B71" s="13" t="s">
        <v>23</v>
      </c>
      <c r="C71" s="14" t="s">
        <v>120</v>
      </c>
      <c r="D71" s="22">
        <f>2*D62/((1-D60)*D69*D69*D44)</f>
        <v>43.268415748745731</v>
      </c>
      <c r="E71" s="15" t="s">
        <v>14</v>
      </c>
      <c r="F71" s="24" t="s">
        <v>200</v>
      </c>
    </row>
    <row r="72" spans="2:6" ht="14.25" customHeight="1" x14ac:dyDescent="0.2">
      <c r="B72" s="13" t="s">
        <v>21</v>
      </c>
      <c r="C72" s="14" t="s">
        <v>120</v>
      </c>
      <c r="D72" s="33">
        <f>CEILING(D71/(1-D70/100),0.005)</f>
        <v>61.815000000000005</v>
      </c>
      <c r="E72" s="15" t="s">
        <v>14</v>
      </c>
      <c r="F72" s="24" t="s">
        <v>204</v>
      </c>
    </row>
    <row r="73" spans="2:6" ht="14.25" customHeight="1" x14ac:dyDescent="0.2">
      <c r="B73" s="13" t="s">
        <v>13</v>
      </c>
      <c r="C73" s="14" t="s">
        <v>120</v>
      </c>
      <c r="D73" s="72">
        <v>51.5</v>
      </c>
      <c r="E73" s="15" t="s">
        <v>14</v>
      </c>
      <c r="F73" s="24" t="s">
        <v>203</v>
      </c>
    </row>
    <row r="74" spans="2:6" ht="14.25" customHeight="1" x14ac:dyDescent="0.2">
      <c r="B74" s="13" t="s">
        <v>23</v>
      </c>
      <c r="C74" s="14" t="s">
        <v>120</v>
      </c>
      <c r="D74" s="33">
        <f>D73*(1-D70/100)</f>
        <v>36.049999999999997</v>
      </c>
      <c r="E74" s="15" t="s">
        <v>14</v>
      </c>
      <c r="F74" s="24" t="s">
        <v>202</v>
      </c>
    </row>
    <row r="75" spans="2:6" ht="14.25" customHeight="1" x14ac:dyDescent="0.2">
      <c r="B75" s="13" t="s">
        <v>24</v>
      </c>
      <c r="C75" s="14" t="s">
        <v>120</v>
      </c>
      <c r="D75" s="33">
        <f>D73*(1+D70/100)</f>
        <v>66.95</v>
      </c>
      <c r="E75" s="15" t="s">
        <v>14</v>
      </c>
      <c r="F75" s="24" t="s">
        <v>201</v>
      </c>
    </row>
    <row r="76" spans="2:6" ht="14.25" customHeight="1" x14ac:dyDescent="0.2">
      <c r="B76" s="37"/>
      <c r="C76" s="37"/>
      <c r="D76" s="39"/>
    </row>
    <row r="77" spans="2:6" ht="14.25" customHeight="1" x14ac:dyDescent="0.2">
      <c r="B77" s="13" t="s">
        <v>56</v>
      </c>
      <c r="C77" s="14" t="s">
        <v>120</v>
      </c>
      <c r="D77" s="22">
        <f>2*D62/(D69*D69*D73)</f>
        <v>83.806300406551202</v>
      </c>
      <c r="E77" s="15" t="s">
        <v>12</v>
      </c>
      <c r="F77" s="24" t="s">
        <v>208</v>
      </c>
    </row>
    <row r="78" spans="2:6" ht="14.25" customHeight="1" x14ac:dyDescent="0.2">
      <c r="B78" s="13" t="s">
        <v>205</v>
      </c>
      <c r="C78" s="14" t="s">
        <v>120</v>
      </c>
      <c r="D78" s="34">
        <f>1000*D69*SQRT((1/3)*D77*(D73*D69/Calculations!D21))</f>
        <v>4.6897381632455133</v>
      </c>
      <c r="E78" s="15" t="s">
        <v>9</v>
      </c>
      <c r="F78" s="24" t="s">
        <v>207</v>
      </c>
    </row>
    <row r="79" spans="2:6" ht="14.25" customHeight="1" x14ac:dyDescent="0.2">
      <c r="B79" s="13" t="s">
        <v>59</v>
      </c>
      <c r="C79" s="14" t="s">
        <v>120</v>
      </c>
      <c r="D79" s="38">
        <f>500*D69*D69*D73*D77/Calculations!D21</f>
        <v>2.7020944781200544</v>
      </c>
      <c r="E79" s="15" t="s">
        <v>9</v>
      </c>
      <c r="F79" s="24" t="s">
        <v>206</v>
      </c>
    </row>
    <row r="80" spans="2:6" ht="14.25" customHeight="1" x14ac:dyDescent="0.2">
      <c r="B80" s="13"/>
      <c r="C80" s="14"/>
      <c r="D80" s="38"/>
      <c r="E80" s="15"/>
      <c r="F80" s="24"/>
    </row>
    <row r="81" spans="2:7" ht="14.25" customHeight="1" x14ac:dyDescent="0.2">
      <c r="B81" s="98" t="s">
        <v>221</v>
      </c>
      <c r="C81" s="99"/>
      <c r="D81" s="99"/>
      <c r="E81" s="99"/>
      <c r="F81" s="99"/>
      <c r="G81" s="54" t="s">
        <v>247</v>
      </c>
    </row>
    <row r="82" spans="2:7" ht="14.25" customHeight="1" x14ac:dyDescent="0.25">
      <c r="B82" s="13" t="s">
        <v>197</v>
      </c>
      <c r="C82" s="14" t="s">
        <v>120</v>
      </c>
      <c r="D82" s="33">
        <f>'UCC28910 Data'!D4/(D69*1000)</f>
        <v>44.228869502609406</v>
      </c>
      <c r="E82" s="15" t="s">
        <v>64</v>
      </c>
      <c r="F82" s="24" t="s">
        <v>198</v>
      </c>
      <c r="G82" s="62" t="s">
        <v>238</v>
      </c>
    </row>
    <row r="83" spans="2:7" ht="14.25" customHeight="1" x14ac:dyDescent="0.25">
      <c r="B83" s="65" t="s">
        <v>197</v>
      </c>
      <c r="C83" s="66"/>
      <c r="D83" s="72">
        <v>1.72</v>
      </c>
      <c r="E83" s="67" t="s">
        <v>64</v>
      </c>
      <c r="F83" s="69" t="s">
        <v>251</v>
      </c>
      <c r="G83" s="75" t="s">
        <v>120</v>
      </c>
    </row>
    <row r="84" spans="2:7" ht="14.25" customHeight="1" x14ac:dyDescent="0.25">
      <c r="B84" s="85" t="s">
        <v>267</v>
      </c>
      <c r="D84" s="61" t="str">
        <f>IF(D83&gt;0.899,"O.K. ", "Error, Power Level is too High")</f>
        <v xml:space="preserve">O.K. </v>
      </c>
      <c r="E84" s="67"/>
      <c r="F84" s="75" t="s">
        <v>268</v>
      </c>
    </row>
    <row r="85" spans="2:7" ht="14.25" customHeight="1" x14ac:dyDescent="0.2">
      <c r="B85" s="96" t="s">
        <v>219</v>
      </c>
      <c r="C85" s="100"/>
      <c r="D85" s="100"/>
      <c r="E85" s="100"/>
      <c r="F85" s="100"/>
    </row>
    <row r="86" spans="2:7" ht="14.25" customHeight="1" x14ac:dyDescent="0.2">
      <c r="B86" s="13" t="s">
        <v>60</v>
      </c>
      <c r="C86" s="20" t="s">
        <v>120</v>
      </c>
      <c r="D86" s="71">
        <v>17.350000000000001</v>
      </c>
      <c r="E86" s="15" t="s">
        <v>0</v>
      </c>
      <c r="F86" s="24" t="s">
        <v>62</v>
      </c>
    </row>
    <row r="87" spans="2:7" ht="14.25" customHeight="1" x14ac:dyDescent="0.25">
      <c r="B87" s="13" t="s">
        <v>209</v>
      </c>
      <c r="C87" s="20" t="s">
        <v>120</v>
      </c>
      <c r="D87" s="71">
        <v>0.5</v>
      </c>
      <c r="E87" s="15" t="s">
        <v>0</v>
      </c>
      <c r="F87" s="24" t="s">
        <v>101</v>
      </c>
    </row>
    <row r="88" spans="2:7" ht="14.25" customHeight="1" x14ac:dyDescent="0.25">
      <c r="B88" s="13" t="s">
        <v>210</v>
      </c>
      <c r="C88" s="26" t="s">
        <v>120</v>
      </c>
      <c r="D88" s="22">
        <f>D66/(D86+D87)</f>
        <v>4.8739495798319323</v>
      </c>
      <c r="E88" s="15"/>
      <c r="F88" s="15" t="s">
        <v>61</v>
      </c>
    </row>
    <row r="89" spans="2:7" ht="14.25" customHeight="1" x14ac:dyDescent="0.25">
      <c r="B89" s="13" t="s">
        <v>211</v>
      </c>
      <c r="C89" s="26" t="s">
        <v>120</v>
      </c>
      <c r="D89" s="22">
        <f>1.15*(SQRT(2)*Specifications!D8/D88+D86+D87)</f>
        <v>108.95303171181186</v>
      </c>
      <c r="E89" s="15" t="s">
        <v>0</v>
      </c>
      <c r="F89" s="15" t="s">
        <v>65</v>
      </c>
    </row>
    <row r="90" spans="2:7" ht="14.25" customHeight="1" x14ac:dyDescent="0.25">
      <c r="B90" s="13" t="s">
        <v>212</v>
      </c>
      <c r="C90" s="26" t="s">
        <v>120</v>
      </c>
      <c r="D90" s="71">
        <v>33</v>
      </c>
      <c r="E90" s="15" t="s">
        <v>57</v>
      </c>
      <c r="F90" s="15" t="s">
        <v>77</v>
      </c>
    </row>
    <row r="91" spans="2:7" ht="14.25" customHeight="1" x14ac:dyDescent="0.25">
      <c r="B91" s="13" t="s">
        <v>213</v>
      </c>
      <c r="C91" s="26" t="s">
        <v>120</v>
      </c>
      <c r="D91" s="22">
        <f>Calculations!D55*Specifications!D14*'UCC28910 Data'!D7/('UCC28910 Data'!D14*Specifications!D15)</f>
        <v>160.00000000000003</v>
      </c>
      <c r="E91" s="15" t="s">
        <v>39</v>
      </c>
      <c r="F91" s="15" t="s">
        <v>68</v>
      </c>
    </row>
    <row r="92" spans="2:7" ht="14.25" customHeight="1" x14ac:dyDescent="0.25">
      <c r="B92" s="13" t="s">
        <v>214</v>
      </c>
      <c r="C92" s="20" t="s">
        <v>120</v>
      </c>
      <c r="D92" s="71">
        <v>10</v>
      </c>
      <c r="E92" s="15" t="s">
        <v>39</v>
      </c>
      <c r="F92" s="15" t="s">
        <v>67</v>
      </c>
    </row>
    <row r="93" spans="2:7" ht="14.25" customHeight="1" x14ac:dyDescent="0.25">
      <c r="B93" s="13" t="s">
        <v>215</v>
      </c>
      <c r="C93" s="26" t="s">
        <v>120</v>
      </c>
      <c r="D93" s="22">
        <f>(SQRT(2)*Specifications!D7-2)*0.9</f>
        <v>106.38733752154178</v>
      </c>
      <c r="E93" s="15" t="s">
        <v>0</v>
      </c>
      <c r="F93" s="15" t="s">
        <v>81</v>
      </c>
    </row>
    <row r="94" spans="2:7" ht="26.25" customHeight="1" x14ac:dyDescent="0.25">
      <c r="B94" s="13" t="s">
        <v>216</v>
      </c>
      <c r="C94" s="26" t="s">
        <v>120</v>
      </c>
      <c r="D94" s="22">
        <f>1000*D93/(D88*'UCC28910 Data'!D11)</f>
        <v>101.5244038898434</v>
      </c>
      <c r="E94" s="15" t="s">
        <v>64</v>
      </c>
      <c r="F94" s="63" t="s">
        <v>250</v>
      </c>
      <c r="G94" s="54" t="s">
        <v>247</v>
      </c>
    </row>
    <row r="95" spans="2:7" ht="14.25" customHeight="1" x14ac:dyDescent="0.25">
      <c r="B95" s="13" t="s">
        <v>217</v>
      </c>
      <c r="C95" s="20" t="s">
        <v>120</v>
      </c>
      <c r="D95" s="71">
        <v>100</v>
      </c>
      <c r="E95" s="15" t="s">
        <v>64</v>
      </c>
      <c r="F95" s="15" t="s">
        <v>80</v>
      </c>
      <c r="G95" s="62" t="s">
        <v>236</v>
      </c>
    </row>
    <row r="96" spans="2:7" ht="30" customHeight="1" x14ac:dyDescent="0.25">
      <c r="B96" s="13" t="s">
        <v>218</v>
      </c>
      <c r="C96" s="26" t="s">
        <v>120</v>
      </c>
      <c r="D96" s="22">
        <f>D95/((D68/D88)*(Specifications!D14+D59)/'UCC28910 Data'!D13-1)</f>
        <v>29.347826086956513</v>
      </c>
      <c r="E96" s="15" t="s">
        <v>64</v>
      </c>
      <c r="F96" s="63" t="s">
        <v>249</v>
      </c>
      <c r="G96" s="62" t="s">
        <v>237</v>
      </c>
    </row>
  </sheetData>
  <sheetProtection password="EEDD" sheet="1" objects="1" scenarios="1"/>
  <mergeCells count="9">
    <mergeCell ref="B57:F57"/>
    <mergeCell ref="B81:F81"/>
    <mergeCell ref="B85:F85"/>
    <mergeCell ref="B1:F1"/>
    <mergeCell ref="B22:F22"/>
    <mergeCell ref="B30:F30"/>
    <mergeCell ref="B36:F36"/>
    <mergeCell ref="B45:F45"/>
    <mergeCell ref="B43:F43"/>
  </mergeCells>
  <phoneticPr fontId="5" type="noConversion"/>
  <dataValidations disablePrompts="1" count="2">
    <dataValidation type="list" allowBlank="1" showInputMessage="1" showErrorMessage="1" sqref="D37" xr:uid="{00000000-0002-0000-0300-000000000000}">
      <formula1>"Shottky, Fast"</formula1>
    </dataValidation>
    <dataValidation type="list" allowBlank="1" showInputMessage="1" showErrorMessage="1" sqref="D9" xr:uid="{00000000-0002-0000-0300-000001000000}">
      <formula1>"Half Bridge, Full Bridge"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K38"/>
  <sheetViews>
    <sheetView zoomScale="140" zoomScaleNormal="140" workbookViewId="0">
      <selection activeCell="D15" sqref="D15"/>
    </sheetView>
  </sheetViews>
  <sheetFormatPr defaultRowHeight="14.25" customHeight="1" x14ac:dyDescent="0.2"/>
  <cols>
    <col min="1" max="1" width="4.7109375" style="41" customWidth="1"/>
    <col min="2" max="2" width="10.140625" style="41" bestFit="1" customWidth="1"/>
    <col min="3" max="3" width="1.5703125" style="41" bestFit="1" customWidth="1"/>
    <col min="4" max="4" width="7" style="41" bestFit="1" customWidth="1"/>
    <col min="5" max="5" width="4.28515625" style="41" bestFit="1" customWidth="1"/>
    <col min="6" max="9" width="9.140625" style="41"/>
    <col min="10" max="10" width="11.140625" style="41" customWidth="1"/>
    <col min="11" max="11" width="3" style="41" customWidth="1"/>
    <col min="12" max="16384" width="9.140625" style="41"/>
  </cols>
  <sheetData>
    <row r="1" spans="1:11" ht="14.25" customHeight="1" x14ac:dyDescent="0.2">
      <c r="A1" s="96" t="s">
        <v>273</v>
      </c>
      <c r="B1" s="97"/>
      <c r="C1" s="97"/>
      <c r="D1" s="97"/>
      <c r="E1" s="97"/>
      <c r="F1" s="97"/>
      <c r="G1" s="97"/>
      <c r="H1" s="97"/>
      <c r="I1" s="97"/>
      <c r="J1" s="103"/>
    </row>
    <row r="2" spans="1:11" ht="14.25" customHeight="1" x14ac:dyDescent="0.2">
      <c r="B2" s="42" t="s">
        <v>46</v>
      </c>
      <c r="C2" s="43" t="s">
        <v>120</v>
      </c>
      <c r="D2" s="73">
        <v>105</v>
      </c>
      <c r="E2" s="44" t="s">
        <v>12</v>
      </c>
      <c r="F2" s="45" t="s">
        <v>83</v>
      </c>
      <c r="G2" s="45"/>
      <c r="H2" s="45"/>
      <c r="I2" s="45"/>
      <c r="J2" s="45"/>
      <c r="K2" s="50"/>
    </row>
    <row r="3" spans="1:11" ht="14.25" customHeight="1" x14ac:dyDescent="0.2">
      <c r="B3" s="42" t="s">
        <v>69</v>
      </c>
      <c r="C3" s="43" t="s">
        <v>120</v>
      </c>
      <c r="D3" s="73">
        <v>420</v>
      </c>
      <c r="E3" s="44" t="s">
        <v>31</v>
      </c>
      <c r="F3" s="45" t="s">
        <v>82</v>
      </c>
      <c r="G3" s="45"/>
      <c r="H3" s="45"/>
      <c r="I3" s="45"/>
      <c r="J3" s="45"/>
      <c r="K3" s="50"/>
    </row>
    <row r="4" spans="1:11" ht="14.25" customHeight="1" x14ac:dyDescent="0.25">
      <c r="B4" s="42" t="s">
        <v>105</v>
      </c>
      <c r="C4" s="43" t="s">
        <v>120</v>
      </c>
      <c r="D4" s="74">
        <v>540</v>
      </c>
      <c r="E4" s="44" t="s">
        <v>0</v>
      </c>
      <c r="F4" s="45" t="s">
        <v>243</v>
      </c>
      <c r="G4" s="45"/>
      <c r="H4" s="45"/>
      <c r="I4" s="45"/>
      <c r="J4" s="45"/>
      <c r="K4" s="50"/>
    </row>
    <row r="5" spans="1:11" ht="14.25" customHeight="1" x14ac:dyDescent="0.25">
      <c r="B5" s="42" t="s">
        <v>106</v>
      </c>
      <c r="C5" s="43" t="s">
        <v>120</v>
      </c>
      <c r="D5" s="74">
        <v>3</v>
      </c>
      <c r="E5" s="44"/>
      <c r="F5" s="45" t="s">
        <v>107</v>
      </c>
      <c r="G5" s="45"/>
      <c r="H5" s="45"/>
      <c r="I5" s="45"/>
      <c r="J5" s="45"/>
    </row>
    <row r="6" spans="1:11" ht="14.25" customHeight="1" x14ac:dyDescent="0.25">
      <c r="B6" s="42" t="s">
        <v>108</v>
      </c>
      <c r="C6" s="43" t="s">
        <v>120</v>
      </c>
      <c r="D6" s="73">
        <v>260</v>
      </c>
      <c r="E6" s="44"/>
      <c r="F6" s="44" t="s">
        <v>47</v>
      </c>
      <c r="G6" s="44"/>
      <c r="H6" s="44"/>
      <c r="I6" s="44"/>
      <c r="J6" s="44"/>
    </row>
    <row r="7" spans="1:11" ht="14.25" customHeight="1" x14ac:dyDescent="0.25">
      <c r="B7" s="42" t="s">
        <v>109</v>
      </c>
      <c r="C7" s="43" t="s">
        <v>120</v>
      </c>
      <c r="D7" s="73">
        <v>3.2</v>
      </c>
      <c r="E7" s="44" t="s">
        <v>9</v>
      </c>
      <c r="F7" s="44" t="s">
        <v>239</v>
      </c>
      <c r="G7" s="44"/>
      <c r="H7" s="44"/>
      <c r="I7" s="44"/>
      <c r="J7" s="44"/>
    </row>
    <row r="8" spans="1:11" ht="14.25" customHeight="1" x14ac:dyDescent="0.25">
      <c r="B8" s="42" t="s">
        <v>110</v>
      </c>
      <c r="C8" s="43" t="s">
        <v>120</v>
      </c>
      <c r="D8" s="73">
        <v>0.15</v>
      </c>
      <c r="E8" s="44" t="s">
        <v>9</v>
      </c>
      <c r="F8" s="44" t="s">
        <v>240</v>
      </c>
      <c r="G8" s="44"/>
      <c r="H8" s="44"/>
      <c r="I8" s="44"/>
      <c r="J8" s="44"/>
    </row>
    <row r="9" spans="1:11" ht="14.25" customHeight="1" x14ac:dyDescent="0.25">
      <c r="B9" s="42" t="s">
        <v>111</v>
      </c>
      <c r="C9" s="43" t="s">
        <v>120</v>
      </c>
      <c r="D9" s="73">
        <v>0.41249999999999998</v>
      </c>
      <c r="E9" s="44"/>
      <c r="F9" s="45" t="s">
        <v>241</v>
      </c>
      <c r="G9" s="45"/>
      <c r="H9" s="45"/>
      <c r="I9" s="45"/>
      <c r="J9" s="44"/>
    </row>
    <row r="10" spans="1:11" ht="14.25" customHeight="1" x14ac:dyDescent="0.25">
      <c r="B10" s="42" t="s">
        <v>112</v>
      </c>
      <c r="C10" s="43" t="s">
        <v>120</v>
      </c>
      <c r="D10" s="73">
        <v>1.2</v>
      </c>
      <c r="E10" s="44" t="s">
        <v>58</v>
      </c>
      <c r="F10" s="44" t="s">
        <v>242</v>
      </c>
      <c r="G10" s="44"/>
      <c r="H10" s="44"/>
      <c r="I10" s="44"/>
      <c r="J10" s="44"/>
      <c r="K10" s="46"/>
    </row>
    <row r="11" spans="1:11" ht="14.25" customHeight="1" x14ac:dyDescent="0.25">
      <c r="B11" s="42" t="s">
        <v>113</v>
      </c>
      <c r="C11" s="43" t="s">
        <v>120</v>
      </c>
      <c r="D11" s="73">
        <v>215</v>
      </c>
      <c r="E11" s="44" t="s">
        <v>63</v>
      </c>
      <c r="F11" s="44" t="s">
        <v>97</v>
      </c>
      <c r="G11" s="44"/>
      <c r="H11" s="44"/>
      <c r="I11" s="44"/>
      <c r="J11" s="44"/>
      <c r="K11" s="46"/>
    </row>
    <row r="12" spans="1:11" ht="14.25" customHeight="1" x14ac:dyDescent="0.25">
      <c r="B12" s="47" t="s">
        <v>114</v>
      </c>
      <c r="C12" s="43" t="s">
        <v>120</v>
      </c>
      <c r="D12" s="73">
        <v>75</v>
      </c>
      <c r="E12" s="44" t="s">
        <v>63</v>
      </c>
      <c r="F12" s="44" t="s">
        <v>98</v>
      </c>
      <c r="G12" s="44"/>
      <c r="H12" s="44"/>
      <c r="I12" s="44"/>
      <c r="J12" s="44"/>
      <c r="K12" s="46"/>
    </row>
    <row r="13" spans="1:11" ht="14.25" customHeight="1" x14ac:dyDescent="0.25">
      <c r="B13" s="42" t="s">
        <v>115</v>
      </c>
      <c r="C13" s="43" t="s">
        <v>120</v>
      </c>
      <c r="D13" s="73">
        <v>4.05</v>
      </c>
      <c r="E13" s="44" t="s">
        <v>0</v>
      </c>
      <c r="F13" s="44" t="s">
        <v>100</v>
      </c>
      <c r="G13" s="44"/>
      <c r="H13" s="44"/>
      <c r="I13" s="44"/>
      <c r="J13" s="44"/>
      <c r="K13" s="46"/>
    </row>
    <row r="14" spans="1:11" ht="14.25" customHeight="1" x14ac:dyDescent="0.25">
      <c r="B14" s="42" t="s">
        <v>116</v>
      </c>
      <c r="C14" s="43" t="s">
        <v>120</v>
      </c>
      <c r="D14" s="73">
        <v>3</v>
      </c>
      <c r="E14" s="44" t="s">
        <v>0</v>
      </c>
      <c r="F14" s="44" t="s">
        <v>117</v>
      </c>
      <c r="G14" s="44"/>
      <c r="H14" s="44"/>
      <c r="I14" s="44"/>
      <c r="J14" s="44"/>
      <c r="K14" s="46"/>
    </row>
    <row r="15" spans="1:11" ht="14.25" customHeight="1" x14ac:dyDescent="0.25">
      <c r="B15" s="42" t="s">
        <v>118</v>
      </c>
      <c r="C15" s="43" t="s">
        <v>120</v>
      </c>
      <c r="D15" s="73">
        <v>7</v>
      </c>
      <c r="E15" s="44" t="s">
        <v>0</v>
      </c>
      <c r="F15" s="44" t="s">
        <v>99</v>
      </c>
      <c r="G15" s="44"/>
      <c r="H15" s="44"/>
      <c r="I15" s="44"/>
      <c r="J15" s="44"/>
      <c r="K15" s="46"/>
    </row>
    <row r="16" spans="1:11" ht="14.25" customHeight="1" x14ac:dyDescent="0.2">
      <c r="K16" s="46"/>
    </row>
    <row r="17" spans="2:11" ht="14.25" customHeight="1" x14ac:dyDescent="0.2">
      <c r="K17" s="46"/>
    </row>
    <row r="18" spans="2:11" ht="14.25" customHeight="1" x14ac:dyDescent="0.2">
      <c r="K18" s="46"/>
    </row>
    <row r="19" spans="2:11" ht="14.25" customHeight="1" x14ac:dyDescent="0.2">
      <c r="B19" s="48"/>
      <c r="C19" s="48"/>
      <c r="D19" s="44"/>
      <c r="E19" s="44"/>
      <c r="F19" s="44"/>
      <c r="G19" s="44"/>
      <c r="H19" s="44"/>
      <c r="I19" s="44"/>
      <c r="J19" s="44"/>
      <c r="K19" s="46"/>
    </row>
    <row r="20" spans="2:11" ht="14.25" customHeight="1" x14ac:dyDescent="0.2">
      <c r="B20" s="49"/>
      <c r="D20" s="46"/>
      <c r="E20" s="46"/>
      <c r="F20" s="46"/>
      <c r="G20" s="46"/>
      <c r="H20" s="46"/>
      <c r="I20" s="46"/>
      <c r="J20" s="46"/>
      <c r="K20" s="46"/>
    </row>
    <row r="21" spans="2:11" ht="14.25" customHeight="1" x14ac:dyDescent="0.2">
      <c r="B21" s="49"/>
      <c r="D21" s="46"/>
      <c r="E21" s="46"/>
      <c r="F21" s="46"/>
      <c r="G21" s="46"/>
      <c r="H21" s="46"/>
      <c r="I21" s="46"/>
      <c r="J21" s="46"/>
      <c r="K21" s="46"/>
    </row>
    <row r="22" spans="2:11" ht="14.25" customHeight="1" x14ac:dyDescent="0.2">
      <c r="B22" s="49"/>
      <c r="D22" s="46"/>
      <c r="E22" s="46"/>
      <c r="F22" s="46"/>
      <c r="G22" s="46"/>
      <c r="H22" s="46"/>
      <c r="I22" s="46"/>
      <c r="J22" s="46"/>
      <c r="K22" s="46"/>
    </row>
    <row r="23" spans="2:11" ht="14.25" customHeight="1" x14ac:dyDescent="0.2">
      <c r="B23" s="49"/>
      <c r="D23" s="46"/>
      <c r="E23" s="46"/>
      <c r="F23" s="46"/>
      <c r="G23" s="46"/>
      <c r="H23" s="46"/>
      <c r="I23" s="46"/>
      <c r="J23" s="46"/>
      <c r="K23" s="46"/>
    </row>
    <row r="24" spans="2:11" ht="14.25" customHeight="1" x14ac:dyDescent="0.2">
      <c r="B24" s="49"/>
      <c r="D24" s="46"/>
      <c r="E24" s="46"/>
      <c r="F24" s="46"/>
      <c r="G24" s="46"/>
      <c r="H24" s="46"/>
      <c r="I24" s="46"/>
      <c r="J24" s="46"/>
      <c r="K24" s="46"/>
    </row>
    <row r="25" spans="2:11" ht="14.25" customHeight="1" x14ac:dyDescent="0.2">
      <c r="B25" s="49"/>
      <c r="D25" s="46"/>
      <c r="E25" s="46"/>
      <c r="F25" s="46"/>
      <c r="G25" s="46"/>
      <c r="H25" s="46"/>
      <c r="I25" s="46"/>
      <c r="J25" s="46"/>
      <c r="K25" s="46"/>
    </row>
    <row r="26" spans="2:11" ht="14.25" customHeight="1" x14ac:dyDescent="0.2">
      <c r="B26" s="49"/>
      <c r="D26" s="46"/>
      <c r="E26" s="46"/>
      <c r="F26" s="46"/>
      <c r="G26" s="46"/>
      <c r="H26" s="46"/>
      <c r="I26" s="46"/>
      <c r="J26" s="46"/>
      <c r="K26" s="46"/>
    </row>
    <row r="27" spans="2:11" ht="14.25" customHeight="1" x14ac:dyDescent="0.2">
      <c r="B27" s="49"/>
      <c r="D27" s="46"/>
      <c r="E27" s="46"/>
      <c r="F27" s="46"/>
      <c r="G27" s="46"/>
      <c r="H27" s="46"/>
      <c r="I27" s="46"/>
      <c r="J27" s="46"/>
      <c r="K27" s="46"/>
    </row>
    <row r="28" spans="2:11" ht="14.25" customHeight="1" x14ac:dyDescent="0.2">
      <c r="B28" s="49"/>
      <c r="D28" s="46"/>
      <c r="E28" s="46"/>
      <c r="F28" s="46"/>
      <c r="G28" s="46"/>
      <c r="H28" s="46"/>
      <c r="I28" s="46"/>
      <c r="J28" s="46"/>
      <c r="K28" s="46"/>
    </row>
    <row r="29" spans="2:11" ht="14.25" customHeight="1" x14ac:dyDescent="0.2">
      <c r="B29" s="49"/>
      <c r="D29" s="46"/>
      <c r="E29" s="46"/>
      <c r="F29" s="46"/>
      <c r="G29" s="46"/>
      <c r="H29" s="46"/>
      <c r="I29" s="46"/>
      <c r="J29" s="46"/>
      <c r="K29" s="46"/>
    </row>
    <row r="30" spans="2:11" ht="14.25" customHeight="1" x14ac:dyDescent="0.2">
      <c r="D30" s="46"/>
      <c r="E30" s="46"/>
      <c r="F30" s="46"/>
      <c r="G30" s="46"/>
      <c r="H30" s="46"/>
      <c r="I30" s="46"/>
      <c r="J30" s="46"/>
      <c r="K30" s="46"/>
    </row>
    <row r="31" spans="2:11" ht="14.25" customHeight="1" x14ac:dyDescent="0.2">
      <c r="D31" s="46"/>
      <c r="E31" s="46"/>
      <c r="F31" s="46"/>
      <c r="G31" s="46"/>
      <c r="H31" s="46"/>
      <c r="I31" s="46"/>
      <c r="J31" s="46"/>
      <c r="K31" s="46"/>
    </row>
    <row r="32" spans="2:11" ht="14.25" customHeight="1" x14ac:dyDescent="0.2">
      <c r="D32" s="46"/>
      <c r="E32" s="46"/>
      <c r="F32" s="46"/>
      <c r="G32" s="46"/>
      <c r="H32" s="46"/>
      <c r="I32" s="46"/>
      <c r="J32" s="46"/>
      <c r="K32" s="46"/>
    </row>
    <row r="33" spans="4:11" ht="14.25" customHeight="1" x14ac:dyDescent="0.2">
      <c r="D33" s="46"/>
      <c r="E33" s="46"/>
      <c r="F33" s="46"/>
      <c r="G33" s="46"/>
      <c r="H33" s="46"/>
      <c r="I33" s="46"/>
      <c r="J33" s="46"/>
      <c r="K33" s="46"/>
    </row>
    <row r="34" spans="4:11" ht="14.25" customHeight="1" x14ac:dyDescent="0.2">
      <c r="D34" s="46"/>
      <c r="E34" s="46"/>
      <c r="F34" s="46"/>
      <c r="G34" s="46"/>
      <c r="H34" s="46"/>
      <c r="I34" s="46"/>
      <c r="J34" s="46"/>
      <c r="K34" s="46"/>
    </row>
    <row r="35" spans="4:11" ht="14.25" customHeight="1" x14ac:dyDescent="0.2">
      <c r="D35" s="44"/>
      <c r="E35" s="44"/>
      <c r="F35" s="44"/>
      <c r="G35" s="44"/>
      <c r="H35" s="44"/>
      <c r="I35" s="44"/>
      <c r="J35" s="44"/>
      <c r="K35" s="44"/>
    </row>
    <row r="36" spans="4:11" ht="14.25" customHeight="1" x14ac:dyDescent="0.2">
      <c r="D36" s="44"/>
      <c r="E36" s="44"/>
      <c r="F36" s="44"/>
      <c r="G36" s="44"/>
      <c r="H36" s="44"/>
      <c r="I36" s="44"/>
      <c r="J36" s="44"/>
      <c r="K36" s="44"/>
    </row>
    <row r="37" spans="4:11" ht="14.25" customHeight="1" x14ac:dyDescent="0.2">
      <c r="D37" s="44"/>
      <c r="E37" s="44"/>
      <c r="F37" s="44"/>
      <c r="G37" s="44"/>
      <c r="H37" s="44"/>
      <c r="I37" s="44"/>
      <c r="J37" s="44"/>
      <c r="K37" s="44"/>
    </row>
    <row r="38" spans="4:11" ht="14.25" customHeight="1" x14ac:dyDescent="0.2">
      <c r="D38" s="44"/>
      <c r="E38" s="44"/>
      <c r="F38" s="44"/>
      <c r="G38" s="44"/>
      <c r="H38" s="44"/>
      <c r="I38" s="44"/>
      <c r="J38" s="44"/>
      <c r="K38" s="44"/>
    </row>
  </sheetData>
  <sheetProtection password="EEDD" sheet="1" objects="1" scenarios="1"/>
  <mergeCells count="1">
    <mergeCell ref="A1:J1"/>
  </mergeCells>
  <phoneticPr fontId="5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3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Instructions</vt:lpstr>
      <vt:lpstr>Functional Schematic</vt:lpstr>
      <vt:lpstr>Specifications</vt:lpstr>
      <vt:lpstr>Calculations</vt:lpstr>
      <vt:lpstr>UCC28910 Data</vt:lpstr>
      <vt:lpstr>Sheet3</vt:lpstr>
      <vt:lpstr>fswmax</vt:lpstr>
      <vt:lpstr>fswmin</vt:lpstr>
      <vt:lpstr>Iocc</vt:lpstr>
      <vt:lpstr>Itran</vt:lpstr>
      <vt:lpstr>Vdroop</vt:lpstr>
      <vt:lpstr>Vocv</vt:lpstr>
    </vt:vector>
  </TitlesOfParts>
  <Company>Texas Instruments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 User</dc:creator>
  <cp:lastModifiedBy>Tadahiko Kuramochi</cp:lastModifiedBy>
  <dcterms:created xsi:type="dcterms:W3CDTF">2011-03-30T08:22:50Z</dcterms:created>
  <dcterms:modified xsi:type="dcterms:W3CDTF">2020-11-05T09:56:48Z</dcterms:modified>
</cp:coreProperties>
</file>