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2465" activeTab="1"/>
  </bookViews>
  <sheets>
    <sheet name="Design Information" sheetId="1" r:id="rId1"/>
    <sheet name="TYPICAL APPLICATION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<sst xmlns="http://schemas.openxmlformats.org/spreadsheetml/2006/main" count="186" uniqueCount="147">
  <si>
    <t>UCC2897A Controller Setup Tool</t>
  </si>
  <si>
    <t>Notes:</t>
  </si>
  <si>
    <r>
      <rPr>
        <b/>
        <sz val="14"/>
        <color theme="1"/>
        <rFont val="宋体"/>
        <charset val="134"/>
        <scheme val="minor"/>
      </rPr>
      <t>Please enter design parameters into the YELLOW</t>
    </r>
    <r>
      <rPr>
        <b/>
        <sz val="14"/>
        <color rgb="FFFFFF00"/>
        <rFont val="宋体"/>
        <charset val="134"/>
        <scheme val="minor"/>
      </rPr>
      <t xml:space="preserve"> </t>
    </r>
    <r>
      <rPr>
        <b/>
        <sz val="14"/>
        <color theme="1"/>
        <rFont val="宋体"/>
        <charset val="134"/>
        <scheme val="minor"/>
      </rPr>
      <t xml:space="preserve"> </t>
    </r>
  </si>
  <si>
    <t xml:space="preserve"> </t>
  </si>
  <si>
    <t>Calculated results are in GRAY</t>
  </si>
  <si>
    <t>Design Parameters</t>
  </si>
  <si>
    <t>Variable Names</t>
  </si>
  <si>
    <t>Units</t>
  </si>
  <si>
    <t>Input Characteristics</t>
  </si>
  <si>
    <t>Minimum Input Voltage</t>
  </si>
  <si>
    <t>VMIN</t>
  </si>
  <si>
    <t>V</t>
  </si>
  <si>
    <t>VNOM</t>
  </si>
  <si>
    <t>Maximum Input Voltage</t>
  </si>
  <si>
    <t>VMAX</t>
  </si>
  <si>
    <t>Maximum Duty Cycle</t>
  </si>
  <si>
    <t>DMAX</t>
  </si>
  <si>
    <t>Minimum Duty Cycle</t>
  </si>
  <si>
    <t>DMIN</t>
  </si>
  <si>
    <t>Output Ripple</t>
  </si>
  <si>
    <t>Δ IL</t>
  </si>
  <si>
    <t>%</t>
  </si>
  <si>
    <t>Input Overvoltage Limit</t>
  </si>
  <si>
    <t>VOV</t>
  </si>
  <si>
    <t>Input Undervoltage ON</t>
  </si>
  <si>
    <t>VUV(on)</t>
  </si>
  <si>
    <t>Input Undervoltage OFF</t>
  </si>
  <si>
    <t>VUV(off)</t>
  </si>
  <si>
    <t>Magnetizing Inductance</t>
  </si>
  <si>
    <r>
      <rPr>
        <sz val="11"/>
        <color theme="1"/>
        <rFont val="宋体"/>
        <charset val="134"/>
        <scheme val="minor"/>
      </rPr>
      <t>L</t>
    </r>
    <r>
      <rPr>
        <vertAlign val="subscript"/>
        <sz val="11"/>
        <color theme="1"/>
        <rFont val="宋体"/>
        <charset val="134"/>
        <scheme val="minor"/>
      </rPr>
      <t>MAG</t>
    </r>
  </si>
  <si>
    <t>µH</t>
  </si>
  <si>
    <t>Output Characteristics</t>
  </si>
  <si>
    <t>Output Voltage</t>
  </si>
  <si>
    <t>Output Voltage Ripple</t>
  </si>
  <si>
    <t>mVPP</t>
  </si>
  <si>
    <t>Minimum Output Current</t>
  </si>
  <si>
    <t>A</t>
  </si>
  <si>
    <t>Maximum Output Current</t>
  </si>
  <si>
    <t>Output Current Limit</t>
  </si>
  <si>
    <t>System Characteristics</t>
  </si>
  <si>
    <t>Switching Frequency</t>
  </si>
  <si>
    <t>kHz</t>
  </si>
  <si>
    <t>Soft Start Time</t>
  </si>
  <si>
    <t>ms</t>
  </si>
  <si>
    <t>Delay Time GDA to GDB</t>
  </si>
  <si>
    <t>µs</t>
  </si>
  <si>
    <t>Output Inductance</t>
  </si>
  <si>
    <t>Current Transformer Turns Ratio</t>
  </si>
  <si>
    <t>Min Full Load Efficiency</t>
  </si>
  <si>
    <t xml:space="preserve">Calculated Values </t>
  </si>
  <si>
    <t>Calculated Output Inductance</t>
  </si>
  <si>
    <t>Lo</t>
  </si>
  <si>
    <t>Selected Output Capacitance</t>
  </si>
  <si>
    <t>Secondary Current Ripple</t>
  </si>
  <si>
    <r>
      <rPr>
        <sz val="11"/>
        <color theme="1"/>
        <rFont val="Arial"/>
        <charset val="134"/>
      </rPr>
      <t>Δ</t>
    </r>
    <r>
      <rPr>
        <sz val="11"/>
        <color theme="1"/>
        <rFont val="Calibri"/>
        <charset val="134"/>
      </rPr>
      <t>I</t>
    </r>
    <r>
      <rPr>
        <vertAlign val="subscript"/>
        <sz val="11"/>
        <color theme="1"/>
        <rFont val="Calibri"/>
        <charset val="134"/>
      </rPr>
      <t>LO(PP)</t>
    </r>
  </si>
  <si>
    <t>Peak Secondary Current</t>
  </si>
  <si>
    <r>
      <rPr>
        <sz val="11"/>
        <rFont val="宋体"/>
        <charset val="134"/>
        <scheme val="minor"/>
      </rPr>
      <t>I</t>
    </r>
    <r>
      <rPr>
        <vertAlign val="subscript"/>
        <sz val="11"/>
        <rFont val="宋体"/>
        <charset val="134"/>
        <scheme val="minor"/>
      </rPr>
      <t>LO(PK)</t>
    </r>
  </si>
  <si>
    <t>Forward Diode Current</t>
  </si>
  <si>
    <r>
      <rPr>
        <sz val="11"/>
        <rFont val="宋体"/>
        <charset val="134"/>
        <scheme val="minor"/>
      </rPr>
      <t>I</t>
    </r>
    <r>
      <rPr>
        <vertAlign val="subscript"/>
        <sz val="11"/>
        <rFont val="宋体"/>
        <charset val="134"/>
        <scheme val="minor"/>
      </rPr>
      <t>QF(RMS)</t>
    </r>
  </si>
  <si>
    <t>Freewheel Diode Current</t>
  </si>
  <si>
    <r>
      <rPr>
        <sz val="11"/>
        <rFont val="宋体"/>
        <charset val="134"/>
        <scheme val="minor"/>
      </rPr>
      <t>I</t>
    </r>
    <r>
      <rPr>
        <vertAlign val="subscript"/>
        <sz val="11"/>
        <rFont val="宋体"/>
        <charset val="134"/>
        <scheme val="minor"/>
      </rPr>
      <t>QR(RMS)</t>
    </r>
  </si>
  <si>
    <t>Min Output Capacitance</t>
  </si>
  <si>
    <r>
      <rPr>
        <sz val="11"/>
        <rFont val="宋体"/>
        <charset val="134"/>
        <scheme val="minor"/>
      </rPr>
      <t>C</t>
    </r>
    <r>
      <rPr>
        <vertAlign val="subscript"/>
        <sz val="11"/>
        <rFont val="宋体"/>
        <charset val="134"/>
        <scheme val="minor"/>
      </rPr>
      <t>O(MIN)</t>
    </r>
  </si>
  <si>
    <t>µF</t>
  </si>
  <si>
    <t>Min Input Capacitance</t>
  </si>
  <si>
    <r>
      <rPr>
        <sz val="11"/>
        <rFont val="宋体"/>
        <charset val="134"/>
        <scheme val="minor"/>
      </rPr>
      <t>C</t>
    </r>
    <r>
      <rPr>
        <vertAlign val="subscript"/>
        <sz val="11"/>
        <rFont val="宋体"/>
        <charset val="134"/>
        <scheme val="minor"/>
      </rPr>
      <t>IN(MIN)</t>
    </r>
  </si>
  <si>
    <t>Delay Resitor</t>
  </si>
  <si>
    <t>RDEL(cal)</t>
  </si>
  <si>
    <r>
      <rPr>
        <sz val="11"/>
        <color theme="1"/>
        <rFont val="宋体"/>
        <charset val="134"/>
        <scheme val="minor"/>
      </rPr>
      <t>k</t>
    </r>
    <r>
      <rPr>
        <sz val="11"/>
        <color theme="1"/>
        <rFont val="Calibri"/>
        <charset val="134"/>
      </rPr>
      <t>Ω</t>
    </r>
  </si>
  <si>
    <t>RDEL selected</t>
  </si>
  <si>
    <t>RDEL</t>
  </si>
  <si>
    <t>kΩ</t>
  </si>
  <si>
    <t>RON(calculated)</t>
  </si>
  <si>
    <t>RON(cal)</t>
  </si>
  <si>
    <t>Ton</t>
  </si>
  <si>
    <t>RON(chosen)</t>
  </si>
  <si>
    <t xml:space="preserve">RON </t>
  </si>
  <si>
    <t>ROFF(calculated)</t>
  </si>
  <si>
    <t>ROFF(cal)</t>
  </si>
  <si>
    <t>Toff</t>
  </si>
  <si>
    <t>ROFF(chosen)</t>
  </si>
  <si>
    <t xml:space="preserve">ROFF </t>
  </si>
  <si>
    <t>Soft Start Capacitor</t>
  </si>
  <si>
    <t>CSS(cal)</t>
  </si>
  <si>
    <t>nF</t>
  </si>
  <si>
    <t>CSS(chosen)</t>
  </si>
  <si>
    <t xml:space="preserve">CSS </t>
  </si>
  <si>
    <t>IHYS</t>
  </si>
  <si>
    <t>RIN1(calculated)</t>
  </si>
  <si>
    <t>RIN1(cal)</t>
  </si>
  <si>
    <t>RIN1(chosen)</t>
  </si>
  <si>
    <t>RIN1</t>
  </si>
  <si>
    <t>RIN2(calculated)</t>
  </si>
  <si>
    <t>RIN2(cal)</t>
  </si>
  <si>
    <t>RIN2(chosen)</t>
  </si>
  <si>
    <t>RIN2</t>
  </si>
  <si>
    <t>Current Sense Capacitor</t>
  </si>
  <si>
    <r>
      <rPr>
        <sz val="11"/>
        <color theme="1"/>
        <rFont val="宋体"/>
        <charset val="134"/>
        <scheme val="minor"/>
      </rPr>
      <t>C</t>
    </r>
    <r>
      <rPr>
        <vertAlign val="subscript"/>
        <sz val="11"/>
        <color theme="1"/>
        <rFont val="宋体"/>
        <charset val="134"/>
        <scheme val="minor"/>
      </rPr>
      <t>F</t>
    </r>
  </si>
  <si>
    <t>pF</t>
  </si>
  <si>
    <t>RF(calculated)</t>
  </si>
  <si>
    <r>
      <rPr>
        <sz val="11"/>
        <color theme="1"/>
        <rFont val="宋体"/>
        <charset val="134"/>
        <scheme val="minor"/>
      </rPr>
      <t>R</t>
    </r>
    <r>
      <rPr>
        <vertAlign val="subscript"/>
        <sz val="11"/>
        <color theme="1"/>
        <rFont val="宋体"/>
        <charset val="134"/>
        <scheme val="minor"/>
      </rPr>
      <t>F(cal)</t>
    </r>
  </si>
  <si>
    <t>Ω</t>
  </si>
  <si>
    <t>RF(chosen)</t>
  </si>
  <si>
    <r>
      <rPr>
        <sz val="11"/>
        <color theme="1"/>
        <rFont val="宋体"/>
        <charset val="134"/>
        <scheme val="minor"/>
      </rPr>
      <t>R</t>
    </r>
    <r>
      <rPr>
        <vertAlign val="subscript"/>
        <sz val="11"/>
        <color theme="1"/>
        <rFont val="宋体"/>
        <charset val="134"/>
        <scheme val="minor"/>
      </rPr>
      <t xml:space="preserve">F </t>
    </r>
  </si>
  <si>
    <t>Current Sense Resistor</t>
  </si>
  <si>
    <r>
      <rPr>
        <sz val="11"/>
        <color theme="1"/>
        <rFont val="宋体"/>
        <charset val="134"/>
        <scheme val="minor"/>
      </rPr>
      <t>R</t>
    </r>
    <r>
      <rPr>
        <vertAlign val="subscript"/>
        <sz val="11"/>
        <color theme="1"/>
        <rFont val="宋体"/>
        <charset val="134"/>
        <scheme val="minor"/>
      </rPr>
      <t>CS</t>
    </r>
  </si>
  <si>
    <t>IPR(PK)</t>
  </si>
  <si>
    <t>Peak Sec Voltage at Min Input</t>
  </si>
  <si>
    <t>VS(MIN)</t>
  </si>
  <si>
    <t xml:space="preserve">Main Transformer Turns Ratio </t>
  </si>
  <si>
    <t>N</t>
  </si>
  <si>
    <t>dVL/dt</t>
  </si>
  <si>
    <t>Slope Resistor</t>
  </si>
  <si>
    <r>
      <rPr>
        <sz val="11"/>
        <color theme="1"/>
        <rFont val="宋体"/>
        <charset val="134"/>
        <scheme val="minor"/>
      </rPr>
      <t>R</t>
    </r>
    <r>
      <rPr>
        <vertAlign val="subscript"/>
        <sz val="11"/>
        <color theme="1"/>
        <rFont val="宋体"/>
        <charset val="134"/>
        <scheme val="minor"/>
      </rPr>
      <t>SLOPE</t>
    </r>
  </si>
  <si>
    <t>Magnetizing Current</t>
  </si>
  <si>
    <r>
      <rPr>
        <sz val="11"/>
        <color theme="1"/>
        <rFont val="宋体"/>
        <charset val="134"/>
        <scheme val="minor"/>
      </rPr>
      <t>I</t>
    </r>
    <r>
      <rPr>
        <vertAlign val="subscript"/>
        <sz val="11"/>
        <color theme="1"/>
        <rFont val="宋体"/>
        <charset val="134"/>
        <scheme val="minor"/>
      </rPr>
      <t>MAG</t>
    </r>
  </si>
  <si>
    <t>Peak Primary Current</t>
  </si>
  <si>
    <r>
      <rPr>
        <sz val="11"/>
        <color theme="1"/>
        <rFont val="宋体"/>
        <charset val="134"/>
        <scheme val="minor"/>
      </rPr>
      <t>I</t>
    </r>
    <r>
      <rPr>
        <vertAlign val="subscript"/>
        <sz val="11"/>
        <color theme="1"/>
        <rFont val="宋体"/>
        <charset val="134"/>
        <scheme val="minor"/>
      </rPr>
      <t>PRI(PK)</t>
    </r>
  </si>
  <si>
    <r>
      <rPr>
        <sz val="11"/>
        <color theme="1"/>
        <rFont val="宋体"/>
        <charset val="134"/>
        <scheme val="minor"/>
      </rPr>
      <t>I</t>
    </r>
    <r>
      <rPr>
        <vertAlign val="subscript"/>
        <sz val="11"/>
        <color theme="1"/>
        <rFont val="宋体"/>
        <charset val="134"/>
        <scheme val="minor"/>
      </rPr>
      <t>PRI(RMS)</t>
    </r>
  </si>
  <si>
    <t>Peak Primary Drain Voltage</t>
  </si>
  <si>
    <r>
      <rPr>
        <sz val="11"/>
        <color theme="1"/>
        <rFont val="宋体"/>
        <charset val="134"/>
        <scheme val="minor"/>
      </rPr>
      <t>V</t>
    </r>
    <r>
      <rPr>
        <vertAlign val="subscript"/>
        <sz val="11"/>
        <color theme="1"/>
        <rFont val="宋体"/>
        <charset val="134"/>
        <scheme val="minor"/>
      </rPr>
      <t>DS(QMAIN)</t>
    </r>
  </si>
  <si>
    <t>Min Clamp Capacitor</t>
  </si>
  <si>
    <r>
      <rPr>
        <sz val="11"/>
        <color theme="1"/>
        <rFont val="宋体"/>
        <charset val="134"/>
        <scheme val="minor"/>
      </rPr>
      <t>C</t>
    </r>
    <r>
      <rPr>
        <vertAlign val="subscript"/>
        <sz val="11"/>
        <color theme="1"/>
        <rFont val="宋体"/>
        <charset val="134"/>
        <scheme val="minor"/>
      </rPr>
      <t>CL</t>
    </r>
  </si>
  <si>
    <t>Power Stage</t>
  </si>
  <si>
    <t>功率范围W</t>
  </si>
  <si>
    <r>
      <rPr>
        <sz val="11"/>
        <color theme="1"/>
        <rFont val="宋体"/>
        <charset val="134"/>
        <scheme val="minor"/>
      </rPr>
      <t>150</t>
    </r>
    <r>
      <rPr>
        <sz val="11"/>
        <color theme="1"/>
        <rFont val="宋体"/>
        <charset val="134"/>
      </rPr>
      <t>～</t>
    </r>
    <r>
      <rPr>
        <sz val="11"/>
        <color theme="1"/>
        <rFont val="宋体"/>
        <charset val="134"/>
      </rPr>
      <t>200W</t>
    </r>
  </si>
  <si>
    <t>感值</t>
  </si>
  <si>
    <t>345uH</t>
  </si>
  <si>
    <t>最大额定电流</t>
  </si>
  <si>
    <t>3.34A</t>
  </si>
  <si>
    <t>饱和电流（A）</t>
  </si>
  <si>
    <t>3.89A</t>
  </si>
  <si>
    <t>直流电阻DCR（MΩ）</t>
  </si>
  <si>
    <t>主线圈a最大25mΩ，主线圈b最大25mΩ，次级线圈最大0.875mΩ</t>
  </si>
  <si>
    <t>温升电流（A)</t>
  </si>
  <si>
    <t>2.78A</t>
  </si>
  <si>
    <t>匝数比</t>
  </si>
  <si>
    <t>Npa：Npb：Naux：Ns=1:1:1.3：1</t>
  </si>
  <si>
    <t>封装尺寸长×宽×高（mm）</t>
  </si>
  <si>
    <t>23.4mm x 21.6mmx 8.6mm</t>
  </si>
  <si>
    <t>频率范围</t>
  </si>
  <si>
    <t>200kHz～700kHz</t>
  </si>
  <si>
    <t>隔离度</t>
  </si>
  <si>
    <t>1750VDC以上</t>
  </si>
  <si>
    <t>Controller Stage</t>
  </si>
  <si>
    <t>励磁电感Lo</t>
  </si>
  <si>
    <t>448uH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</si>
</sst>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"/>
    <numFmt numFmtId="178" formatCode="0.000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FFFF00"/>
      <name val="宋体"/>
      <charset val="134"/>
      <scheme val="minor"/>
    </font>
    <font>
      <vertAlign val="subscript"/>
      <sz val="11"/>
      <color theme="1"/>
      <name val="宋体"/>
      <charset val="134"/>
      <scheme val="minor"/>
    </font>
    <font>
      <vertAlign val="subscript"/>
      <sz val="11"/>
      <color theme="1"/>
      <name val="Calibri"/>
      <charset val="134"/>
    </font>
    <font>
      <vertAlign val="subscript"/>
      <sz val="1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27" borderId="3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27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8" borderId="26" applyNumberFormat="0" applyAlignment="0" applyProtection="0">
      <alignment vertical="center"/>
    </xf>
    <xf numFmtId="0" fontId="27" fillId="18" borderId="30" applyNumberFormat="0" applyAlignment="0" applyProtection="0">
      <alignment vertical="center"/>
    </xf>
    <xf numFmtId="0" fontId="9" fillId="10" borderId="2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0" borderId="0" xfId="0" applyFill="1" applyBorder="1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/>
    </xf>
    <xf numFmtId="176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2" fontId="0" fillId="0" borderId="0" xfId="0" applyNumberFormat="1" applyFill="1" applyBorder="1" applyAlignment="1" applyProtection="1">
      <alignment horizontal="left" vertical="center"/>
      <protection hidden="1"/>
    </xf>
    <xf numFmtId="2" fontId="0" fillId="0" borderId="0" xfId="0" applyNumberFormat="1" applyFill="1" applyBorder="1" applyAlignment="1" applyProtection="1">
      <alignment horizontal="left"/>
      <protection locked="0"/>
    </xf>
    <xf numFmtId="0" fontId="3" fillId="0" borderId="0" xfId="0" applyFont="1" applyFill="1" applyBorder="1"/>
    <xf numFmtId="0" fontId="2" fillId="0" borderId="0" xfId="0" applyFont="1" applyFill="1" applyBorder="1"/>
    <xf numFmtId="2" fontId="0" fillId="0" borderId="0" xfId="0" applyNumberFormat="1" applyFill="1" applyBorder="1" applyAlignment="1" applyProtection="1">
      <alignment horizontal="left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 applyAlignment="1" applyProtection="1">
      <alignment horizontal="left"/>
      <protection hidden="1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3" borderId="2" xfId="0" applyFont="1" applyFill="1" applyBorder="1"/>
    <xf numFmtId="0" fontId="5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7" xfId="0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2" xfId="0" applyBorder="1"/>
    <xf numFmtId="0" fontId="0" fillId="3" borderId="2" xfId="0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right"/>
    </xf>
    <xf numFmtId="0" fontId="0" fillId="4" borderId="2" xfId="0" applyFill="1" applyBorder="1" applyAlignment="1" applyProtection="1">
      <alignment horizontal="left"/>
      <protection hidden="1"/>
    </xf>
    <xf numFmtId="0" fontId="7" fillId="0" borderId="2" xfId="0" applyFont="1" applyBorder="1"/>
    <xf numFmtId="0" fontId="0" fillId="2" borderId="11" xfId="0" applyFill="1" applyBorder="1"/>
    <xf numFmtId="0" fontId="0" fillId="0" borderId="12" xfId="0" applyFill="1" applyBorder="1"/>
    <xf numFmtId="177" fontId="0" fillId="3" borderId="0" xfId="0" applyNumberFormat="1" applyFill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right"/>
    </xf>
    <xf numFmtId="0" fontId="0" fillId="0" borderId="14" xfId="0" applyBorder="1"/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right"/>
    </xf>
    <xf numFmtId="0" fontId="1" fillId="5" borderId="16" xfId="0" applyFont="1" applyFill="1" applyBorder="1" applyAlignment="1">
      <alignment horizontal="center" shrinkToFit="1"/>
    </xf>
    <xf numFmtId="0" fontId="6" fillId="5" borderId="17" xfId="0" applyFont="1" applyFill="1" applyBorder="1" applyAlignment="1">
      <alignment horizontal="center" shrinkToFit="1"/>
    </xf>
    <xf numFmtId="0" fontId="0" fillId="5" borderId="18" xfId="0" applyFill="1" applyBorder="1" applyAlignment="1">
      <alignment horizontal="center" shrinkToFit="1"/>
    </xf>
    <xf numFmtId="0" fontId="2" fillId="0" borderId="10" xfId="0" applyFont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2" fillId="0" borderId="15" xfId="0" applyFont="1" applyBorder="1" applyAlignment="1">
      <alignment horizontal="right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2" fontId="0" fillId="4" borderId="7" xfId="0" applyNumberFormat="1" applyFill="1" applyBorder="1" applyAlignment="1" applyProtection="1">
      <alignment horizontal="left"/>
      <protection hidden="1"/>
    </xf>
    <xf numFmtId="0" fontId="2" fillId="0" borderId="8" xfId="0" applyFont="1" applyBorder="1" applyAlignment="1">
      <alignment horizontal="right"/>
    </xf>
    <xf numFmtId="2" fontId="0" fillId="3" borderId="2" xfId="0" applyNumberFormat="1" applyFill="1" applyBorder="1" applyAlignment="1" applyProtection="1">
      <alignment horizontal="left"/>
      <protection locked="0"/>
    </xf>
    <xf numFmtId="0" fontId="3" fillId="2" borderId="9" xfId="0" applyFont="1" applyFill="1" applyBorder="1"/>
    <xf numFmtId="0" fontId="2" fillId="0" borderId="2" xfId="0" applyFont="1" applyBorder="1"/>
    <xf numFmtId="2" fontId="0" fillId="4" borderId="2" xfId="0" applyNumberFormat="1" applyFill="1" applyBorder="1" applyAlignment="1" applyProtection="1">
      <alignment horizontal="left"/>
      <protection hidden="1"/>
    </xf>
    <xf numFmtId="0" fontId="3" fillId="0" borderId="2" xfId="0" applyFont="1" applyBorder="1"/>
    <xf numFmtId="0" fontId="3" fillId="2" borderId="2" xfId="0" applyFont="1" applyFill="1" applyBorder="1"/>
    <xf numFmtId="2" fontId="0" fillId="2" borderId="2" xfId="0" applyNumberFormat="1" applyFill="1" applyBorder="1" applyAlignment="1">
      <alignment horizontal="left"/>
    </xf>
    <xf numFmtId="0" fontId="2" fillId="2" borderId="10" xfId="0" applyFont="1" applyFill="1" applyBorder="1" applyAlignment="1">
      <alignment horizontal="right"/>
    </xf>
    <xf numFmtId="1" fontId="0" fillId="4" borderId="2" xfId="0" applyNumberFormat="1" applyFill="1" applyBorder="1" applyAlignment="1" applyProtection="1">
      <alignment horizontal="left"/>
      <protection hidden="1"/>
    </xf>
    <xf numFmtId="0" fontId="3" fillId="2" borderId="14" xfId="0" applyFont="1" applyFill="1" applyBorder="1"/>
    <xf numFmtId="0" fontId="3" fillId="0" borderId="0" xfId="0" applyFont="1" applyBorder="1"/>
    <xf numFmtId="2" fontId="0" fillId="2" borderId="0" xfId="0" applyNumberFormat="1" applyFill="1" applyBorder="1" applyAlignment="1">
      <alignment horizontal="left"/>
    </xf>
    <xf numFmtId="0" fontId="0" fillId="2" borderId="9" xfId="0" applyFill="1" applyBorder="1"/>
    <xf numFmtId="0" fontId="0" fillId="2" borderId="9" xfId="0" applyFont="1" applyFill="1" applyBorder="1"/>
    <xf numFmtId="0" fontId="0" fillId="0" borderId="2" xfId="0" applyBorder="1" applyAlignment="1">
      <alignment horizontal="left"/>
    </xf>
    <xf numFmtId="0" fontId="0" fillId="2" borderId="2" xfId="0" applyFill="1" applyBorder="1"/>
    <xf numFmtId="178" fontId="0" fillId="4" borderId="2" xfId="0" applyNumberFormat="1" applyFill="1" applyBorder="1" applyAlignment="1" applyProtection="1">
      <alignment horizontal="left"/>
      <protection hidden="1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13" xfId="0" applyBorder="1" applyAlignment="1">
      <alignment horizontal="right"/>
    </xf>
    <xf numFmtId="177" fontId="0" fillId="4" borderId="2" xfId="0" applyNumberForma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15" xfId="0" applyBorder="1"/>
    <xf numFmtId="2" fontId="0" fillId="4" borderId="2" xfId="0" applyNumberFormat="1" applyFill="1" applyBorder="1" applyProtection="1">
      <protection hidden="1"/>
    </xf>
    <xf numFmtId="2" fontId="0" fillId="2" borderId="2" xfId="0" applyNumberFormat="1" applyFill="1" applyBorder="1"/>
    <xf numFmtId="0" fontId="0" fillId="2" borderId="10" xfId="0" applyFill="1" applyBorder="1" applyAlignment="1">
      <alignment horizontal="right"/>
    </xf>
    <xf numFmtId="1" fontId="0" fillId="4" borderId="2" xfId="0" applyNumberFormat="1" applyFill="1" applyBorder="1" applyProtection="1">
      <protection hidden="1"/>
    </xf>
    <xf numFmtId="0" fontId="0" fillId="2" borderId="21" xfId="0" applyFill="1" applyBorder="1"/>
    <xf numFmtId="0" fontId="0" fillId="0" borderId="22" xfId="0" applyBorder="1"/>
    <xf numFmtId="2" fontId="0" fillId="4" borderId="22" xfId="0" applyNumberFormat="1" applyFill="1" applyBorder="1" applyAlignment="1" applyProtection="1">
      <alignment horizontal="right"/>
      <protection hidden="1"/>
    </xf>
    <xf numFmtId="0" fontId="0" fillId="0" borderId="23" xfId="0" applyBorder="1" applyAlignment="1">
      <alignment horizontal="right"/>
    </xf>
    <xf numFmtId="2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106680</xdr:colOff>
      <xdr:row>0</xdr:row>
      <xdr:rowOff>22860</xdr:rowOff>
    </xdr:from>
    <xdr:to>
      <xdr:col>7</xdr:col>
      <xdr:colOff>305187</xdr:colOff>
      <xdr:row>29</xdr:row>
      <xdr:rowOff>133825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22860"/>
          <a:ext cx="4998720" cy="516826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</xdr:row>
      <xdr:rowOff>57150</xdr:rowOff>
    </xdr:from>
    <xdr:to>
      <xdr:col>14</xdr:col>
      <xdr:colOff>356709</xdr:colOff>
      <xdr:row>15</xdr:row>
      <xdr:rowOff>19237</xdr:rowOff>
    </xdr:to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629275" y="571500"/>
          <a:ext cx="6156960" cy="20193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33</xdr:row>
      <xdr:rowOff>0</xdr:rowOff>
    </xdr:from>
    <xdr:to>
      <xdr:col>9</xdr:col>
      <xdr:colOff>228600</xdr:colOff>
      <xdr:row>36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495925" y="5848350"/>
          <a:ext cx="1981200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84"/>
  <sheetViews>
    <sheetView zoomScale="110" zoomScaleNormal="110" topLeftCell="A10" workbookViewId="0">
      <selection activeCell="D40" sqref="D40"/>
    </sheetView>
  </sheetViews>
  <sheetFormatPr defaultColWidth="9" defaultRowHeight="13.5"/>
  <cols>
    <col min="2" max="2" width="30.125" customWidth="1"/>
    <col min="3" max="3" width="14.25" customWidth="1"/>
    <col min="4" max="4" width="13.875" customWidth="1"/>
    <col min="8" max="8" width="9" hidden="1" customWidth="1"/>
    <col min="9" max="9" width="12" hidden="1" customWidth="1"/>
    <col min="11" max="13" width="9" hidden="1" customWidth="1"/>
  </cols>
  <sheetData>
    <row r="1" ht="22.5" spans="2:5">
      <c r="B1" s="21" t="s">
        <v>0</v>
      </c>
      <c r="C1" s="22"/>
      <c r="D1" s="22"/>
      <c r="E1" s="22"/>
    </row>
    <row r="3" spans="2:2">
      <c r="B3" t="s">
        <v>1</v>
      </c>
    </row>
    <row r="4" ht="14.45" customHeight="1" spans="2:11">
      <c r="B4" s="23" t="s">
        <v>2</v>
      </c>
      <c r="C4" s="23"/>
      <c r="D4" s="23"/>
      <c r="E4" s="24"/>
      <c r="F4" s="25" t="s">
        <v>3</v>
      </c>
      <c r="G4" s="2"/>
      <c r="K4" s="36"/>
    </row>
    <row r="5" ht="18.75" spans="2:13">
      <c r="B5" s="23" t="s">
        <v>4</v>
      </c>
      <c r="C5" s="23"/>
      <c r="D5" s="23"/>
      <c r="E5" s="23"/>
      <c r="F5" s="26" t="s">
        <v>3</v>
      </c>
      <c r="G5" s="2" t="s">
        <v>3</v>
      </c>
      <c r="K5" s="73"/>
      <c r="L5" s="63"/>
      <c r="M5" s="73"/>
    </row>
    <row r="6" spans="11:13">
      <c r="K6" s="73"/>
      <c r="L6" s="63"/>
      <c r="M6" s="73"/>
    </row>
    <row r="7" spans="11:13">
      <c r="K7" s="73"/>
      <c r="L7" s="20"/>
      <c r="M7" s="73"/>
    </row>
    <row r="8" ht="19.5" spans="2:13">
      <c r="B8" s="27" t="s">
        <v>5</v>
      </c>
      <c r="C8" s="2" t="s">
        <v>6</v>
      </c>
      <c r="D8" s="2"/>
      <c r="E8" s="27" t="s">
        <v>7</v>
      </c>
      <c r="K8" s="36"/>
      <c r="L8" s="36"/>
      <c r="M8" s="36"/>
    </row>
    <row r="9" ht="19.5" spans="2:5">
      <c r="B9" s="28" t="s">
        <v>8</v>
      </c>
      <c r="C9" s="29"/>
      <c r="D9" s="29"/>
      <c r="E9" s="30"/>
    </row>
    <row r="10" spans="2:5">
      <c r="B10" s="31" t="s">
        <v>9</v>
      </c>
      <c r="C10" s="32" t="s">
        <v>10</v>
      </c>
      <c r="D10" s="33">
        <v>69</v>
      </c>
      <c r="E10" s="34" t="s">
        <v>11</v>
      </c>
    </row>
    <row r="11" spans="2:5">
      <c r="B11" s="35" t="s">
        <v>9</v>
      </c>
      <c r="C11" s="36" t="s">
        <v>12</v>
      </c>
      <c r="D11" s="37">
        <v>110</v>
      </c>
      <c r="E11" s="38" t="s">
        <v>11</v>
      </c>
    </row>
    <row r="12" spans="2:5">
      <c r="B12" s="35" t="s">
        <v>13</v>
      </c>
      <c r="C12" s="36" t="s">
        <v>14</v>
      </c>
      <c r="D12" s="37">
        <v>160</v>
      </c>
      <c r="E12" s="38" t="s">
        <v>11</v>
      </c>
    </row>
    <row r="13" spans="2:5">
      <c r="B13" s="35" t="s">
        <v>15</v>
      </c>
      <c r="C13" s="36" t="s">
        <v>16</v>
      </c>
      <c r="D13" s="37">
        <v>0.7</v>
      </c>
      <c r="E13" s="38"/>
    </row>
    <row r="14" spans="2:5">
      <c r="B14" s="35" t="s">
        <v>17</v>
      </c>
      <c r="C14" s="36" t="s">
        <v>18</v>
      </c>
      <c r="D14" s="39">
        <f>D13*D10/D12</f>
        <v>0.301875</v>
      </c>
      <c r="E14" s="38"/>
    </row>
    <row r="15" ht="14.25" spans="2:5">
      <c r="B15" s="35" t="s">
        <v>19</v>
      </c>
      <c r="C15" s="40" t="s">
        <v>20</v>
      </c>
      <c r="D15" s="37">
        <v>10</v>
      </c>
      <c r="E15" s="38" t="s">
        <v>21</v>
      </c>
    </row>
    <row r="16" spans="2:5">
      <c r="B16" s="35" t="s">
        <v>22</v>
      </c>
      <c r="C16" s="36" t="s">
        <v>23</v>
      </c>
      <c r="D16" s="37">
        <v>161</v>
      </c>
      <c r="E16" s="38" t="s">
        <v>11</v>
      </c>
    </row>
    <row r="17" spans="2:5">
      <c r="B17" s="35" t="s">
        <v>24</v>
      </c>
      <c r="C17" s="36" t="s">
        <v>25</v>
      </c>
      <c r="D17" s="37">
        <v>69</v>
      </c>
      <c r="E17" s="38" t="s">
        <v>11</v>
      </c>
    </row>
    <row r="18" spans="2:5">
      <c r="B18" s="35" t="s">
        <v>26</v>
      </c>
      <c r="C18" s="36" t="s">
        <v>27</v>
      </c>
      <c r="D18" s="37">
        <v>68</v>
      </c>
      <c r="E18" s="38" t="s">
        <v>11</v>
      </c>
    </row>
    <row r="19" ht="16.5" spans="2:5">
      <c r="B19" s="41" t="s">
        <v>28</v>
      </c>
      <c r="C19" s="42" t="s">
        <v>29</v>
      </c>
      <c r="D19" s="43">
        <v>345</v>
      </c>
      <c r="E19" s="44" t="s">
        <v>30</v>
      </c>
    </row>
    <row r="20" ht="19.5" spans="2:5">
      <c r="B20" s="28" t="s">
        <v>31</v>
      </c>
      <c r="C20" s="29"/>
      <c r="D20" s="29"/>
      <c r="E20" s="30"/>
    </row>
    <row r="21" spans="2:5">
      <c r="B21" s="31" t="s">
        <v>32</v>
      </c>
      <c r="C21" s="32"/>
      <c r="D21" s="33">
        <v>48</v>
      </c>
      <c r="E21" s="34" t="s">
        <v>11</v>
      </c>
    </row>
    <row r="22" spans="2:5">
      <c r="B22" s="35" t="s">
        <v>33</v>
      </c>
      <c r="C22" s="36"/>
      <c r="D22" s="37">
        <v>30</v>
      </c>
      <c r="E22" s="38" t="s">
        <v>34</v>
      </c>
    </row>
    <row r="23" spans="2:5">
      <c r="B23" s="35" t="s">
        <v>35</v>
      </c>
      <c r="C23" s="36"/>
      <c r="D23" s="37">
        <v>0</v>
      </c>
      <c r="E23" s="38" t="s">
        <v>36</v>
      </c>
    </row>
    <row r="24" spans="2:5">
      <c r="B24" s="35" t="s">
        <v>37</v>
      </c>
      <c r="C24" s="36"/>
      <c r="D24" s="37">
        <v>3</v>
      </c>
      <c r="E24" s="38" t="s">
        <v>36</v>
      </c>
    </row>
    <row r="25" spans="2:7">
      <c r="B25" s="35" t="s">
        <v>38</v>
      </c>
      <c r="C25" s="36"/>
      <c r="D25" s="37">
        <v>3.4</v>
      </c>
      <c r="E25" s="38" t="s">
        <v>36</v>
      </c>
      <c r="G25" s="19"/>
    </row>
    <row r="26" ht="14.25" spans="2:5">
      <c r="B26" s="45"/>
      <c r="C26" s="19"/>
      <c r="D26" s="46"/>
      <c r="E26" s="47"/>
    </row>
    <row r="27" ht="19.5" spans="2:5">
      <c r="B27" s="48" t="s">
        <v>39</v>
      </c>
      <c r="C27" s="49"/>
      <c r="D27" s="49"/>
      <c r="E27" s="50"/>
    </row>
    <row r="28" spans="2:5">
      <c r="B28" s="31" t="s">
        <v>40</v>
      </c>
      <c r="C28" s="32"/>
      <c r="D28" s="33">
        <v>250</v>
      </c>
      <c r="E28" s="34" t="s">
        <v>41</v>
      </c>
    </row>
    <row r="29" spans="2:5">
      <c r="B29" s="35" t="s">
        <v>42</v>
      </c>
      <c r="C29" s="36"/>
      <c r="D29" s="37">
        <v>30</v>
      </c>
      <c r="E29" s="38" t="s">
        <v>43</v>
      </c>
    </row>
    <row r="30" ht="15" spans="2:5">
      <c r="B30" s="35" t="s">
        <v>44</v>
      </c>
      <c r="C30" s="36"/>
      <c r="D30" s="37">
        <v>0.1</v>
      </c>
      <c r="E30" s="51" t="s">
        <v>45</v>
      </c>
    </row>
    <row r="31" ht="15" spans="2:5">
      <c r="B31" s="35" t="s">
        <v>46</v>
      </c>
      <c r="C31" s="36"/>
      <c r="D31" s="37">
        <v>2000</v>
      </c>
      <c r="E31" s="51" t="s">
        <v>30</v>
      </c>
    </row>
    <row r="32" ht="15" spans="2:5">
      <c r="B32" s="35" t="s">
        <v>47</v>
      </c>
      <c r="C32" s="36"/>
      <c r="D32" s="37">
        <v>100</v>
      </c>
      <c r="E32" s="51"/>
    </row>
    <row r="33" ht="15" spans="2:5">
      <c r="B33" s="35" t="s">
        <v>48</v>
      </c>
      <c r="C33" s="36"/>
      <c r="D33" s="37">
        <v>93</v>
      </c>
      <c r="E33" s="51" t="s">
        <v>21</v>
      </c>
    </row>
    <row r="34" s="19" customFormat="1" ht="15.75" spans="2:5">
      <c r="B34" s="45"/>
      <c r="D34" s="52"/>
      <c r="E34" s="53"/>
    </row>
    <row r="35" s="2" customFormat="1" ht="19.5" spans="2:5">
      <c r="B35" s="28" t="s">
        <v>49</v>
      </c>
      <c r="C35" s="54"/>
      <c r="D35" s="54"/>
      <c r="E35" s="55"/>
    </row>
    <row r="36" ht="15" spans="2:5">
      <c r="B36" s="31" t="s">
        <v>50</v>
      </c>
      <c r="C36" s="32" t="s">
        <v>51</v>
      </c>
      <c r="D36" s="56">
        <f>D21*(1-D14)*1000000/(D15*D24*D28*10)</f>
        <v>446.8</v>
      </c>
      <c r="E36" s="57" t="s">
        <v>30</v>
      </c>
    </row>
    <row r="37" ht="15" spans="2:5">
      <c r="B37" s="35" t="s">
        <v>52</v>
      </c>
      <c r="C37" s="36" t="s">
        <v>51</v>
      </c>
      <c r="D37" s="58">
        <v>200</v>
      </c>
      <c r="E37" s="51" t="s">
        <v>30</v>
      </c>
    </row>
    <row r="38" ht="18.75" spans="2:5">
      <c r="B38" s="59" t="s">
        <v>53</v>
      </c>
      <c r="C38" s="60" t="s">
        <v>54</v>
      </c>
      <c r="D38" s="61">
        <f>D21*(1-D14)/(D37*D28*0.001)</f>
        <v>0.6702</v>
      </c>
      <c r="E38" s="51"/>
    </row>
    <row r="39" ht="15.75" spans="2:5">
      <c r="B39" s="59" t="s">
        <v>55</v>
      </c>
      <c r="C39" s="62" t="s">
        <v>56</v>
      </c>
      <c r="D39" s="61">
        <f>D24+D38/2</f>
        <v>3.3351</v>
      </c>
      <c r="E39" s="51" t="s">
        <v>36</v>
      </c>
    </row>
    <row r="40" ht="15.75" spans="2:5">
      <c r="B40" s="59" t="s">
        <v>57</v>
      </c>
      <c r="C40" s="62" t="s">
        <v>58</v>
      </c>
      <c r="D40" s="61">
        <f>D24*SQRT(D13)</f>
        <v>2.50998007960223</v>
      </c>
      <c r="E40" s="51" t="s">
        <v>36</v>
      </c>
    </row>
    <row r="41" ht="15.75" spans="2:5">
      <c r="B41" s="59" t="s">
        <v>59</v>
      </c>
      <c r="C41" s="62" t="s">
        <v>60</v>
      </c>
      <c r="D41" s="61">
        <f>D24*SQRT(1-D14)</f>
        <v>2.50661624506026</v>
      </c>
      <c r="E41" s="51" t="s">
        <v>36</v>
      </c>
    </row>
    <row r="42" s="20" customFormat="1" ht="15" spans="2:5">
      <c r="B42" s="59"/>
      <c r="C42" s="63"/>
      <c r="D42" s="64"/>
      <c r="E42" s="65"/>
    </row>
    <row r="43" ht="15.75" spans="2:5">
      <c r="B43" s="59" t="s">
        <v>61</v>
      </c>
      <c r="C43" s="62" t="s">
        <v>62</v>
      </c>
      <c r="D43" s="66">
        <f>D38*1000000/(8*D28*D22)</f>
        <v>11.17</v>
      </c>
      <c r="E43" s="51" t="s">
        <v>63</v>
      </c>
    </row>
    <row r="44" s="20" customFormat="1" ht="15" spans="2:5">
      <c r="B44" s="59"/>
      <c r="C44" s="63"/>
      <c r="D44" s="64"/>
      <c r="E44" s="65"/>
    </row>
    <row r="45" ht="15.75" spans="2:5">
      <c r="B45" s="59" t="s">
        <v>64</v>
      </c>
      <c r="C45" s="62" t="s">
        <v>65</v>
      </c>
      <c r="D45" s="61">
        <f>1.25*1000000*(D21*D24+D77*0.01*D33*D10)*(1-D13)/(0.01*D33*D10*D28*1000*0.05*D10)</f>
        <v>1.21914750899445</v>
      </c>
      <c r="E45" s="51" t="s">
        <v>63</v>
      </c>
    </row>
    <row r="46" ht="15" spans="2:5">
      <c r="B46" s="67"/>
      <c r="C46" s="68"/>
      <c r="D46" s="69"/>
      <c r="E46" s="53"/>
    </row>
    <row r="47" ht="15" spans="2:5">
      <c r="B47" s="35" t="s">
        <v>66</v>
      </c>
      <c r="C47" s="36" t="s">
        <v>67</v>
      </c>
      <c r="D47" s="61">
        <f>(D30-0.015)*1000/11.1</f>
        <v>7.65765765765766</v>
      </c>
      <c r="E47" s="38" t="s">
        <v>68</v>
      </c>
    </row>
    <row r="48" spans="2:5">
      <c r="B48" s="70" t="s">
        <v>69</v>
      </c>
      <c r="C48" s="36" t="s">
        <v>70</v>
      </c>
      <c r="D48" s="58">
        <v>8.45</v>
      </c>
      <c r="E48" s="38" t="s">
        <v>71</v>
      </c>
    </row>
    <row r="49" ht="15" spans="2:9">
      <c r="B49" s="35" t="s">
        <v>72</v>
      </c>
      <c r="C49" s="36" t="s">
        <v>73</v>
      </c>
      <c r="D49" s="61">
        <f>(I49+D30)*1000/36.1</f>
        <v>80.3324099722992</v>
      </c>
      <c r="E49" s="38" t="s">
        <v>68</v>
      </c>
      <c r="H49" t="s">
        <v>74</v>
      </c>
      <c r="I49">
        <f>D13*1000/D28</f>
        <v>2.8</v>
      </c>
    </row>
    <row r="50" spans="2:5">
      <c r="B50" s="70" t="s">
        <v>75</v>
      </c>
      <c r="C50" s="36" t="s">
        <v>76</v>
      </c>
      <c r="D50" s="58">
        <v>69.8</v>
      </c>
      <c r="E50" s="38" t="s">
        <v>71</v>
      </c>
    </row>
    <row r="51" ht="15" spans="2:9">
      <c r="B51" s="35" t="s">
        <v>77</v>
      </c>
      <c r="C51" s="36" t="s">
        <v>78</v>
      </c>
      <c r="D51" s="61">
        <f>(I51-D30-0.17)*1000/15</f>
        <v>62</v>
      </c>
      <c r="E51" s="38" t="s">
        <v>68</v>
      </c>
      <c r="H51" t="s">
        <v>79</v>
      </c>
      <c r="I51">
        <f>(1-D13)*1000/D28</f>
        <v>1.2</v>
      </c>
    </row>
    <row r="52" spans="2:5">
      <c r="B52" s="70" t="s">
        <v>80</v>
      </c>
      <c r="C52" s="36" t="s">
        <v>81</v>
      </c>
      <c r="D52" s="37">
        <v>88.7</v>
      </c>
      <c r="E52" s="38" t="s">
        <v>71</v>
      </c>
    </row>
    <row r="53" spans="2:5">
      <c r="B53" s="35" t="s">
        <v>82</v>
      </c>
      <c r="C53" s="36" t="s">
        <v>83</v>
      </c>
      <c r="D53" s="66">
        <f>2.5*0.43*D29*0.001*1000000000/(D49*1000*2)</f>
        <v>200.728448275862</v>
      </c>
      <c r="E53" s="38" t="s">
        <v>84</v>
      </c>
    </row>
    <row r="54" spans="2:5">
      <c r="B54" s="71" t="s">
        <v>85</v>
      </c>
      <c r="C54" s="36" t="s">
        <v>86</v>
      </c>
      <c r="D54" s="37">
        <v>220</v>
      </c>
      <c r="E54" s="38" t="s">
        <v>84</v>
      </c>
    </row>
    <row r="55" spans="2:9">
      <c r="B55" s="35"/>
      <c r="C55" s="36"/>
      <c r="D55" s="72"/>
      <c r="E55" s="38"/>
      <c r="H55" t="s">
        <v>87</v>
      </c>
      <c r="I55">
        <f>2.5*0.05/(D48*1000)</f>
        <v>1.4792899408284e-5</v>
      </c>
    </row>
    <row r="56" ht="15" spans="2:5">
      <c r="B56" s="35" t="s">
        <v>88</v>
      </c>
      <c r="C56" s="36" t="s">
        <v>89</v>
      </c>
      <c r="D56" s="39">
        <f>(D17-D18)*0.001/I55</f>
        <v>67.6</v>
      </c>
      <c r="E56" s="38" t="s">
        <v>68</v>
      </c>
    </row>
    <row r="57" spans="2:5">
      <c r="B57" s="35" t="s">
        <v>90</v>
      </c>
      <c r="C57" s="36" t="s">
        <v>91</v>
      </c>
      <c r="D57" s="37">
        <v>26.7</v>
      </c>
      <c r="E57" s="38" t="s">
        <v>71</v>
      </c>
    </row>
    <row r="58" spans="2:5">
      <c r="B58" s="35" t="s">
        <v>92</v>
      </c>
      <c r="C58" s="36" t="s">
        <v>93</v>
      </c>
      <c r="D58" s="61">
        <f>D56*1.27/(34.6-1.27)</f>
        <v>2.57581758175818</v>
      </c>
      <c r="E58" s="38" t="s">
        <v>71</v>
      </c>
    </row>
    <row r="59" spans="2:5">
      <c r="B59" s="35" t="s">
        <v>94</v>
      </c>
      <c r="C59" s="36" t="s">
        <v>95</v>
      </c>
      <c r="D59" s="37">
        <v>1</v>
      </c>
      <c r="E59" s="38" t="s">
        <v>71</v>
      </c>
    </row>
    <row r="60" hidden="1" spans="2:5">
      <c r="B60" s="35"/>
      <c r="C60" s="36"/>
      <c r="D60" s="72"/>
      <c r="E60" s="38"/>
    </row>
    <row r="61" spans="2:5">
      <c r="B61" s="35"/>
      <c r="C61" s="36"/>
      <c r="D61" s="72"/>
      <c r="E61" s="38"/>
    </row>
    <row r="62" ht="15.75" spans="2:5">
      <c r="B62" s="70" t="s">
        <v>96</v>
      </c>
      <c r="C62" s="36" t="s">
        <v>97</v>
      </c>
      <c r="D62" s="37">
        <v>100</v>
      </c>
      <c r="E62" s="38" t="s">
        <v>98</v>
      </c>
    </row>
    <row r="63" ht="15.75" spans="2:5">
      <c r="B63" s="35" t="s">
        <v>99</v>
      </c>
      <c r="C63" s="36" t="s">
        <v>100</v>
      </c>
      <c r="D63" s="66">
        <f>1/(2*3.14*D28*10000*D62*0.000000000001)</f>
        <v>636.942675159236</v>
      </c>
      <c r="E63" s="51" t="s">
        <v>101</v>
      </c>
    </row>
    <row r="64" ht="15.75" spans="2:5">
      <c r="B64" s="70" t="s">
        <v>102</v>
      </c>
      <c r="C64" s="36" t="s">
        <v>103</v>
      </c>
      <c r="D64" s="37">
        <v>680</v>
      </c>
      <c r="E64" s="51" t="s">
        <v>101</v>
      </c>
    </row>
    <row r="65" spans="2:5">
      <c r="B65" s="35"/>
      <c r="C65" s="36"/>
      <c r="D65" s="72"/>
      <c r="E65" s="38"/>
    </row>
    <row r="66" ht="15.75" spans="2:9">
      <c r="B66" s="35" t="s">
        <v>104</v>
      </c>
      <c r="C66" s="36" t="s">
        <v>105</v>
      </c>
      <c r="D66" s="74">
        <f>0.43/I66</f>
        <v>0.115211795770741</v>
      </c>
      <c r="E66" s="51" t="s">
        <v>101</v>
      </c>
      <c r="H66" t="s">
        <v>106</v>
      </c>
      <c r="I66" s="90">
        <f>(D25+D25*D15/100)/D71</f>
        <v>3.73225672877847</v>
      </c>
    </row>
    <row r="67" hidden="1" spans="2:5">
      <c r="B67" s="75"/>
      <c r="C67" s="76"/>
      <c r="D67" s="77"/>
      <c r="E67" s="78"/>
    </row>
    <row r="68" spans="2:5">
      <c r="B68" s="45"/>
      <c r="C68" s="19"/>
      <c r="D68" s="46"/>
      <c r="E68" s="47"/>
    </row>
    <row r="69" spans="2:5">
      <c r="B69" s="45"/>
      <c r="C69" s="19"/>
      <c r="D69" s="46"/>
      <c r="E69" s="47"/>
    </row>
    <row r="70" spans="2:5">
      <c r="B70" s="35" t="s">
        <v>107</v>
      </c>
      <c r="C70" s="36" t="s">
        <v>108</v>
      </c>
      <c r="D70" s="79">
        <f>(D21+0.2)/D13</f>
        <v>68.8571428571429</v>
      </c>
      <c r="E70" s="38"/>
    </row>
    <row r="71" spans="2:5">
      <c r="B71" s="35" t="s">
        <v>109</v>
      </c>
      <c r="C71" s="36" t="s">
        <v>110</v>
      </c>
      <c r="D71" s="61">
        <f>D10/D70</f>
        <v>1.00207468879668</v>
      </c>
      <c r="E71" s="38"/>
    </row>
    <row r="72" hidden="1" spans="2:9">
      <c r="B72" s="35"/>
      <c r="C72" s="36"/>
      <c r="D72" s="72"/>
      <c r="E72" s="38"/>
      <c r="H72" t="s">
        <v>111</v>
      </c>
      <c r="I72">
        <f>(D10-D21*D71)*100*D66/(D71^2*D36*D32)</f>
        <v>0.00536708538709697</v>
      </c>
    </row>
    <row r="73" spans="2:8">
      <c r="B73" s="35"/>
      <c r="C73" s="36"/>
      <c r="D73" s="72"/>
      <c r="E73" s="38"/>
      <c r="H73" t="s">
        <v>3</v>
      </c>
    </row>
    <row r="74" ht="15.75" spans="2:5">
      <c r="B74" s="35" t="s">
        <v>112</v>
      </c>
      <c r="C74" s="36" t="s">
        <v>113</v>
      </c>
      <c r="D74" s="66">
        <f>9*D64*D28*0.001/(D13*I72*1000)</f>
        <v>407.244179675056</v>
      </c>
      <c r="E74" s="38" t="s">
        <v>71</v>
      </c>
    </row>
    <row r="75" spans="2:5">
      <c r="B75" s="45"/>
      <c r="C75" s="19"/>
      <c r="D75" s="80"/>
      <c r="E75" s="81"/>
    </row>
    <row r="76" spans="2:5">
      <c r="B76" s="45"/>
      <c r="C76" s="19"/>
      <c r="D76" s="19"/>
      <c r="E76" s="81"/>
    </row>
    <row r="77" ht="15.75" spans="2:5">
      <c r="B77" s="70" t="s">
        <v>114</v>
      </c>
      <c r="C77" s="36" t="s">
        <v>115</v>
      </c>
      <c r="D77" s="82">
        <f>D10*D13/(D28*D19*0.001)</f>
        <v>0.56</v>
      </c>
      <c r="E77" s="38" t="s">
        <v>36</v>
      </c>
    </row>
    <row r="78" ht="15.75" spans="2:5">
      <c r="B78" s="70" t="s">
        <v>116</v>
      </c>
      <c r="C78" s="36" t="s">
        <v>117</v>
      </c>
      <c r="D78" s="82">
        <f>D77+D39/D71</f>
        <v>3.8881950310559</v>
      </c>
      <c r="E78" s="38" t="s">
        <v>36</v>
      </c>
    </row>
    <row r="79" ht="15.75" spans="2:5">
      <c r="B79" s="70" t="s">
        <v>116</v>
      </c>
      <c r="C79" s="36" t="s">
        <v>118</v>
      </c>
      <c r="D79" s="82">
        <f>(D40/D71)+D77/2</f>
        <v>2.78478343347469</v>
      </c>
      <c r="E79" s="38" t="s">
        <v>36</v>
      </c>
    </row>
    <row r="80" s="20" customFormat="1" spans="2:5">
      <c r="B80" s="70"/>
      <c r="C80" s="73"/>
      <c r="D80" s="83"/>
      <c r="E80" s="84"/>
    </row>
    <row r="81" ht="15.75" spans="2:5">
      <c r="B81" s="70" t="s">
        <v>119</v>
      </c>
      <c r="C81" s="36" t="s">
        <v>120</v>
      </c>
      <c r="D81" s="85">
        <f>D12/(1-D14)</f>
        <v>229.185317815577</v>
      </c>
      <c r="E81" s="38" t="s">
        <v>11</v>
      </c>
    </row>
    <row r="82" spans="2:5">
      <c r="B82" s="45"/>
      <c r="C82" s="19"/>
      <c r="D82" s="19"/>
      <c r="E82" s="81"/>
    </row>
    <row r="83" spans="2:5">
      <c r="B83" s="45"/>
      <c r="C83" s="19"/>
      <c r="D83" s="19"/>
      <c r="E83" s="81"/>
    </row>
    <row r="84" ht="16.5" spans="2:5">
      <c r="B84" s="86" t="s">
        <v>121</v>
      </c>
      <c r="C84" s="87" t="s">
        <v>122</v>
      </c>
      <c r="D84" s="88">
        <f>1000000000*10*(1-D14)^2/((D19*0.000001)*(2*3.14159*D28*1000)^2)</f>
        <v>5.72543205879032</v>
      </c>
      <c r="E84" s="89" t="s">
        <v>84</v>
      </c>
    </row>
  </sheetData>
  <sheetProtection password="BCDD" sheet="1" objects="1" scenarios="1"/>
  <mergeCells count="7">
    <mergeCell ref="B1:E1"/>
    <mergeCell ref="B4:E4"/>
    <mergeCell ref="B5:E5"/>
    <mergeCell ref="B9:E9"/>
    <mergeCell ref="B20:E20"/>
    <mergeCell ref="B27:D27"/>
    <mergeCell ref="B35:E3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M50"/>
  <sheetViews>
    <sheetView tabSelected="1" workbookViewId="0">
      <selection activeCell="G33" sqref="G33"/>
    </sheetView>
  </sheetViews>
  <sheetFormatPr defaultColWidth="9" defaultRowHeight="13.5"/>
  <cols>
    <col min="9" max="9" width="23.125" customWidth="1"/>
    <col min="11" max="11" width="18.875" customWidth="1"/>
    <col min="16" max="16" width="8.875" customWidth="1"/>
  </cols>
  <sheetData>
    <row r="18" ht="18.75" spans="11:11">
      <c r="K18" s="2" t="s">
        <v>123</v>
      </c>
    </row>
    <row r="23" spans="9:11">
      <c r="I23" t="s">
        <v>124</v>
      </c>
      <c r="K23" s="3" t="s">
        <v>125</v>
      </c>
    </row>
    <row r="24" spans="9:11">
      <c r="I24" t="s">
        <v>126</v>
      </c>
      <c r="K24" s="3" t="s">
        <v>127</v>
      </c>
    </row>
    <row r="25" spans="9:11">
      <c r="I25" t="s">
        <v>128</v>
      </c>
      <c r="K25" s="3" t="s">
        <v>129</v>
      </c>
    </row>
    <row r="26" spans="9:11">
      <c r="I26" t="s">
        <v>130</v>
      </c>
      <c r="K26" s="3" t="s">
        <v>131</v>
      </c>
    </row>
    <row r="27" spans="9:11">
      <c r="I27" t="s">
        <v>132</v>
      </c>
      <c r="K27" s="3" t="s">
        <v>133</v>
      </c>
    </row>
    <row r="28" ht="15" spans="8:13">
      <c r="H28" s="1"/>
      <c r="I28" t="s">
        <v>134</v>
      </c>
      <c r="J28" s="1"/>
      <c r="K28" s="4" t="s">
        <v>135</v>
      </c>
      <c r="L28" s="5"/>
      <c r="M28" s="1"/>
    </row>
    <row r="29" spans="8:13">
      <c r="H29" s="1"/>
      <c r="I29" t="s">
        <v>136</v>
      </c>
      <c r="J29" s="1"/>
      <c r="K29" s="6" t="s">
        <v>137</v>
      </c>
      <c r="L29" s="1"/>
      <c r="M29" s="1"/>
    </row>
    <row r="30" spans="8:13">
      <c r="H30" s="1"/>
      <c r="I30" t="s">
        <v>138</v>
      </c>
      <c r="J30" s="1"/>
      <c r="K30" s="7" t="s">
        <v>139</v>
      </c>
      <c r="L30" s="1"/>
      <c r="M30" s="1"/>
    </row>
    <row r="31" ht="15" spans="8:13">
      <c r="H31" s="1"/>
      <c r="I31" s="1" t="s">
        <v>140</v>
      </c>
      <c r="J31" s="1"/>
      <c r="K31" s="8" t="s">
        <v>141</v>
      </c>
      <c r="L31" s="5"/>
      <c r="M31" s="1"/>
    </row>
    <row r="32" ht="15" spans="8:13">
      <c r="H32" s="1"/>
      <c r="I32" s="1" t="s">
        <v>142</v>
      </c>
      <c r="J32" s="1"/>
      <c r="K32" s="9" t="s">
        <v>143</v>
      </c>
      <c r="L32" s="5"/>
      <c r="M32" s="1"/>
    </row>
    <row r="33" ht="18.75" spans="3:13">
      <c r="C33" s="2" t="s">
        <v>144</v>
      </c>
      <c r="H33" s="1"/>
      <c r="I33" s="10"/>
      <c r="J33" s="11"/>
      <c r="K33" s="12"/>
      <c r="L33" s="5"/>
      <c r="M33" s="1"/>
    </row>
    <row r="34" ht="15" spans="8:13">
      <c r="H34" s="1"/>
      <c r="I34" s="10"/>
      <c r="J34" s="10"/>
      <c r="K34" s="12"/>
      <c r="L34" s="5"/>
      <c r="M34" s="1"/>
    </row>
    <row r="35" ht="15" customHeight="1" spans="8:13">
      <c r="H35" s="1"/>
      <c r="I35" s="10"/>
      <c r="J35" s="10"/>
      <c r="K35" s="13" t="s">
        <v>145</v>
      </c>
      <c r="L35" s="14" t="s">
        <v>146</v>
      </c>
      <c r="M35" s="1"/>
    </row>
    <row r="36" ht="15" customHeight="1" spans="8:13">
      <c r="H36" s="1"/>
      <c r="I36" s="10"/>
      <c r="J36" s="10"/>
      <c r="K36" s="13"/>
      <c r="L36" s="14"/>
      <c r="M36" s="1"/>
    </row>
    <row r="37" ht="15" spans="8:13">
      <c r="H37" s="1"/>
      <c r="I37" s="10"/>
      <c r="J37" s="10"/>
      <c r="K37" s="15"/>
      <c r="L37" s="5"/>
      <c r="M37" s="1"/>
    </row>
    <row r="38" ht="15" spans="8:13">
      <c r="H38" s="1"/>
      <c r="I38" s="10"/>
      <c r="J38" s="10"/>
      <c r="K38" s="16"/>
      <c r="L38" s="5"/>
      <c r="M38" s="1"/>
    </row>
    <row r="39" ht="15" spans="8:13">
      <c r="H39" s="1"/>
      <c r="I39" s="10"/>
      <c r="J39" s="10"/>
      <c r="K39" s="15"/>
      <c r="L39" s="5"/>
      <c r="M39" s="1"/>
    </row>
    <row r="40" ht="15" spans="8:13">
      <c r="H40" s="1"/>
      <c r="I40" s="10"/>
      <c r="J40" s="10"/>
      <c r="K40" s="12"/>
      <c r="L40" s="5"/>
      <c r="M40" s="1"/>
    </row>
    <row r="41" ht="15" spans="8:13">
      <c r="H41" s="1"/>
      <c r="I41" s="10"/>
      <c r="J41" s="10"/>
      <c r="K41" s="15"/>
      <c r="L41" s="5"/>
      <c r="M41" s="1"/>
    </row>
    <row r="42" spans="8:13">
      <c r="H42" s="1"/>
      <c r="I42" s="1"/>
      <c r="J42" s="1"/>
      <c r="K42" s="12"/>
      <c r="L42" s="17"/>
      <c r="M42" s="1"/>
    </row>
    <row r="43" spans="8:13">
      <c r="H43" s="1"/>
      <c r="I43" s="1"/>
      <c r="J43" s="1"/>
      <c r="K43" s="9"/>
      <c r="L43" s="17"/>
      <c r="M43" s="1"/>
    </row>
    <row r="44" spans="8:13">
      <c r="H44" s="1"/>
      <c r="I44" s="1"/>
      <c r="J44" s="1"/>
      <c r="K44" s="12"/>
      <c r="L44" s="17"/>
      <c r="M44" s="1"/>
    </row>
    <row r="45" spans="8:13">
      <c r="H45" s="1"/>
      <c r="I45" s="1"/>
      <c r="J45" s="1"/>
      <c r="K45" s="9"/>
      <c r="L45" s="17"/>
      <c r="M45" s="1"/>
    </row>
    <row r="46" spans="8:13">
      <c r="H46" s="1"/>
      <c r="I46" s="1"/>
      <c r="J46" s="1"/>
      <c r="K46" s="12"/>
      <c r="L46" s="17"/>
      <c r="M46" s="1"/>
    </row>
    <row r="47" spans="8:13">
      <c r="H47" s="1"/>
      <c r="I47" s="1"/>
      <c r="J47" s="1"/>
      <c r="K47" s="18"/>
      <c r="L47" s="17"/>
      <c r="M47" s="1"/>
    </row>
    <row r="48" spans="8:13">
      <c r="H48" s="1"/>
      <c r="I48" s="1"/>
      <c r="J48" s="1"/>
      <c r="K48" s="16"/>
      <c r="L48" s="17"/>
      <c r="M48" s="1"/>
    </row>
    <row r="49" spans="8:13">
      <c r="H49" s="1"/>
      <c r="I49" s="1"/>
      <c r="J49" s="1"/>
      <c r="K49" s="1"/>
      <c r="L49" s="1"/>
      <c r="M49" s="1"/>
    </row>
    <row r="50" spans="8:13">
      <c r="H50" s="1"/>
      <c r="I50" s="1"/>
      <c r="J50" s="1"/>
      <c r="K50" s="1"/>
      <c r="L50" s="1"/>
      <c r="M50" s="1"/>
    </row>
  </sheetData>
  <mergeCells count="2">
    <mergeCell ref="K35:K36"/>
    <mergeCell ref="L35:L36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Texas Instruments Incorporated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Design Information</vt:lpstr>
      <vt:lpstr>TYPICAL APPLICATION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Tracy</cp:lastModifiedBy>
  <dcterms:created xsi:type="dcterms:W3CDTF">2018-06-22T13:09:00Z</dcterms:created>
  <dcterms:modified xsi:type="dcterms:W3CDTF">2019-06-26T06:58:18Z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