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8004" yWindow="120" windowWidth="11544" windowHeight="9036" tabRatio="559" activeTab="1"/>
  </bookViews>
  <sheets>
    <sheet name="INSTRUCTIONS READ ME FIRST!" sheetId="4" r:id="rId1"/>
    <sheet name="CALCULATIONS" sheetId="1" r:id="rId2"/>
    <sheet name="SCHEMATIC" sheetId="5" r:id="rId3"/>
    <sheet name="data" sheetId="2" r:id="rId4"/>
  </sheets>
  <definedNames>
    <definedName name="_Rfb1">CALCULATIONS!$C$123</definedName>
    <definedName name="_Rfb2">CALCULATIONS!$C$127</definedName>
    <definedName name="a_1">data!$H$78</definedName>
    <definedName name="a_2">data!$H$88</definedName>
    <definedName name="a_3">data!$H$99</definedName>
    <definedName name="a_4">#REF!</definedName>
    <definedName name="b_1">data!$H$79</definedName>
    <definedName name="b_2">data!$H$89</definedName>
    <definedName name="b_3">data!$H$100</definedName>
    <definedName name="b_4">#REF!</definedName>
    <definedName name="c_1">data!$H$80</definedName>
    <definedName name="c_2">data!$H$90</definedName>
    <definedName name="c_3">#REF!</definedName>
    <definedName name="Cicomp">CALCULATIONS!$C$175</definedName>
    <definedName name="Cin">CALCULATIONS!$C$52</definedName>
    <definedName name="Cisense">CALCULATIONS!$C$105</definedName>
    <definedName name="Coss">CALCULATIONS!$C$84</definedName>
    <definedName name="Cout">CALCULATIONS!$C$113</definedName>
    <definedName name="Cvcomp">CALCULATIONS!$C$265</definedName>
    <definedName name="Cvcomp_p">CALCULATIONS!$C$271</definedName>
    <definedName name="Cvins">CALCULATIONS!$C$334</definedName>
    <definedName name="Cvins_hu">CALCULATIONS!$C$326</definedName>
    <definedName name="Cvsense">CALCULATIONS!$C$139</definedName>
    <definedName name="d_1">data!$H$81</definedName>
    <definedName name="d_2">data!$H$91</definedName>
    <definedName name="delta_Rfb1">CALCULATIONS!$C$124</definedName>
    <definedName name="delta_Rfb2">CALCULATIONS!$C$128</definedName>
    <definedName name="Dmax">CALCULATIONS!$C$56</definedName>
    <definedName name="e_1">data!$H$82</definedName>
    <definedName name="e_2">data!$H$92</definedName>
    <definedName name="eff">CALCULATIONS!$C$16</definedName>
    <definedName name="f_1">data!$H$83</definedName>
    <definedName name="f_2">data!$H$93</definedName>
    <definedName name="f_Iavg">CALCULATIONS!$C$173</definedName>
    <definedName name="f_iavgactual">CALCULATIONS!$C$176</definedName>
    <definedName name="fline_max">CALCULATIONS!$C$26</definedName>
    <definedName name="fline_min">CALCULATIONS!$C$25</definedName>
    <definedName name="fline_nom">CALCULATIONS!$C$27</definedName>
    <definedName name="fpole">CALCULATIONS!$C$269</definedName>
    <definedName name="fPWM_PSpole">CALCULATIONS!$C$261</definedName>
    <definedName name="fsw">data!$C$2</definedName>
    <definedName name="ftyp">#REF!</definedName>
    <definedName name="fv">CALCULATIONS!$C$262</definedName>
    <definedName name="fzero">CALCULATIONS!$C$268</definedName>
    <definedName name="g_1">data!$H$84</definedName>
    <definedName name="g_2">data!$H$94</definedName>
    <definedName name="g_mi">data!$H$72</definedName>
    <definedName name="g_mv">data!$H$71</definedName>
    <definedName name="GVL_dB">CALCULATIONS!$C$263</definedName>
    <definedName name="HU_rqment">CALCULATIONS!$C$320</definedName>
    <definedName name="I_Lpeak">CALCULATIONS!$C$57</definedName>
    <definedName name="Ibridge">CALCULATIONS!$C$41</definedName>
    <definedName name="Icout_2fline">CALCULATIONS!$C$116</definedName>
    <definedName name="Icout_HF">CALCULATIONS!$C$117</definedName>
    <definedName name="Icout_rms">CALCULATIONS!$C$118</definedName>
    <definedName name="Ids_rms">CALCULATIONS!$C$79</definedName>
    <definedName name="Ifuse">CALCULATIONS!$C$34</definedName>
    <definedName name="Iin_avg_max">CALCULATIONS!$C$33</definedName>
    <definedName name="Iin_peak_max">CALCULATIONS!$C$32</definedName>
    <definedName name="Iin_rms_max">CALCULATIONS!$C$31</definedName>
    <definedName name="Iinrush">CALCULATIONS!$C$102</definedName>
    <definedName name="IISENSE">data!$H$18</definedName>
    <definedName name="Il_peak_actual">CALCULATIONS!$C$61</definedName>
    <definedName name="Iout">CALCULATIONS!$C$18</definedName>
    <definedName name="Iout_OC">CALCULATIONS!$C$99</definedName>
    <definedName name="Ipcl">CALCULATIONS!$C$100</definedName>
    <definedName name="Iripple">CALCULATIONS!$C$50</definedName>
    <definedName name="Iripple_actual">CALCULATIONS!$C$60</definedName>
    <definedName name="Isoc">CALCULATIONS!$C$97</definedName>
    <definedName name="Ivins">data!$H$19</definedName>
    <definedName name="K_1">data!$H$68</definedName>
    <definedName name="K_1V2">#REF!</definedName>
    <definedName name="K_1V3">#REF!</definedName>
    <definedName name="K_2V2">#REF!</definedName>
    <definedName name="K_2V3">#REF!</definedName>
    <definedName name="K_3V2">#REF!</definedName>
    <definedName name="K_3V3">#REF!</definedName>
    <definedName name="K_4V2">#REF!</definedName>
    <definedName name="K_4V3">#REF!</definedName>
    <definedName name="K_5V3">#REF!</definedName>
    <definedName name="K_fq">data!$H$69</definedName>
    <definedName name="kHz">data!$C$5</definedName>
    <definedName name="kOhm">data!$C$16</definedName>
    <definedName name="L_I_ripple_factor">CALCULATIONS!$C$48</definedName>
    <definedName name="Lbst">CALCULATIONS!$C$59</definedName>
    <definedName name="M_1">CALCULATIONS!$C$170</definedName>
    <definedName name="M_2">CALCULATIONS!$C$171</definedName>
    <definedName name="M_3">CALCULATIONS!$C$172</definedName>
    <definedName name="M1M2">CALCULATIONS!#REF!</definedName>
    <definedName name="M1M2_calc">CALCULATIONS!$C$168</definedName>
    <definedName name="mA">data!$C$8</definedName>
    <definedName name="MegOhm">data!$C$20</definedName>
    <definedName name="mH">data!$C$21</definedName>
    <definedName name="MHz">data!$C$14</definedName>
    <definedName name="mOhm">data!$C$6</definedName>
    <definedName name="mOhms">#REF!</definedName>
    <definedName name="ms">data!$C$7</definedName>
    <definedName name="mSiemens">data!$C$23</definedName>
    <definedName name="mV">data!$C$3</definedName>
    <definedName name="mW">data!$C$12</definedName>
    <definedName name="nC">data!$C$17</definedName>
    <definedName name="Ndropout">CALCULATIONS!$C$110</definedName>
    <definedName name="nF">data!$C$18</definedName>
    <definedName name="Nibop">CALCULATIONS!$C$333</definedName>
    <definedName name="Ninput_hup">CALCULATIONS!$C$323</definedName>
    <definedName name="ns">data!$C$11</definedName>
    <definedName name="P_FET">CALCULATIONS!$C$90</definedName>
    <definedName name="P_FETcond">CALCULATIONS!$C$88</definedName>
    <definedName name="P_FETgate">CALCULATIONS!$C$87</definedName>
    <definedName name="P_FETsw">CALCULATIONS!$C$89</definedName>
    <definedName name="P_Rsense">CALCULATIONS!$C$98</definedName>
    <definedName name="P_rvins">CALCULATIONS!$C$315</definedName>
    <definedName name="P_rvins1">CALCULATIONS!$C$315</definedName>
    <definedName name="Pbridge">CALCULATIONS!$C$43</definedName>
    <definedName name="Pdiode">CALCULATIONS!$C$72</definedName>
    <definedName name="Pdiode_cond">CALCULATIONS!$C$70</definedName>
    <definedName name="Pdiode_reverse">CALCULATIONS!$C$71</definedName>
    <definedName name="Pdivider">CALCULATIONS!$C$140</definedName>
    <definedName name="PF">CALCULATIONS!$C$15</definedName>
    <definedName name="picoF">data!$C$13</definedName>
    <definedName name="Pin_max">CALCULATIONS!$C$30</definedName>
    <definedName name="Pout">CALCULATIONS!$C$13</definedName>
    <definedName name="_xlnm.Print_Area" localSheetId="1">CALCULATIONS!$A$1:$E$33</definedName>
    <definedName name="Prsense">CALCULATIONS!$C$98</definedName>
    <definedName name="Pvins">CALCULATIONS!$C$315</definedName>
    <definedName name="Qg">CALCULATIONS!$C$81</definedName>
    <definedName name="Qrr">CALCULATIONS!$C$66</definedName>
    <definedName name="Rds_on">CALCULATIONS!$C$80</definedName>
    <definedName name="Rfb1_tempco">CALCULATIONS!$C$125</definedName>
    <definedName name="Rfb2_tempco">CALCULATIONS!$C$129</definedName>
    <definedName name="Risense">CALCULATIONS!$C$103</definedName>
    <definedName name="Risense_actual">CALCULATIONS!$C$104</definedName>
    <definedName name="Rjc_bridge">CALCULATIONS!$C$39</definedName>
    <definedName name="Rsense">CALCULATIONS!$C$96</definedName>
    <definedName name="Rth_case_hs">CALCULATIONS!$C$69</definedName>
    <definedName name="Rth_diode">CALCULATIONS!$C$68</definedName>
    <definedName name="Rth_hs_bridge">CALCULATIONS!$C$44</definedName>
    <definedName name="Rth_hs_diode">CALCULATIONS!$C$73</definedName>
    <definedName name="Rth_hs_FET">CALCULATIONS!$C$91</definedName>
    <definedName name="Rth_jc_FET">CALCULATIONS!$C$86</definedName>
    <definedName name="Rtherm">CALCULATIONS!$C$101</definedName>
    <definedName name="Rvcomp">CALCULATIONS!$C$267</definedName>
    <definedName name="Rvins1">CALCULATIONS!$C$309</definedName>
    <definedName name="Rvins2">CALCULATIONS!$C$311</definedName>
    <definedName name="t_dropout_hu">CALCULATIONS!$C$111</definedName>
    <definedName name="t_RFB2Cvsense">data!$H$11</definedName>
    <definedName name="Tamb">CALCULATIONS!$C$17</definedName>
    <definedName name="tf_FET">CALCULATIONS!$C$83</definedName>
    <definedName name="tinput_hu">CALCULATIONS!$C$324</definedName>
    <definedName name="Tj_bridge">CALCULATIONS!$C$40</definedName>
    <definedName name="Tj_diode">CALCULATIONS!$C$67</definedName>
    <definedName name="Tj_FET">CALCULATIONS!$C$85</definedName>
    <definedName name="tr_FET">CALCULATIONS!$C$82</definedName>
    <definedName name="uA">data!$C$15</definedName>
    <definedName name="uC">data!$C$19</definedName>
    <definedName name="uF">data!$C$4</definedName>
    <definedName name="uH">data!$C$10</definedName>
    <definedName name="us">data!$C$9</definedName>
    <definedName name="uSiemens">data!$C$22</definedName>
    <definedName name="V_ripplefactor">CALCULATIONS!$C$49</definedName>
    <definedName name="Vac_off">CALCULATIONS!$C$327</definedName>
    <definedName name="Vac_on">CALCULATIONS!$C$307</definedName>
    <definedName name="Vacin_max">CALCULATIONS!$C$23</definedName>
    <definedName name="Vacin_min">CALCULATIONS!$C$22</definedName>
    <definedName name="Vacin_nom">#REF!</definedName>
    <definedName name="Vacoff_desired">CALCULATIONS!$C$318</definedName>
    <definedName name="VCC">CALCULATIONS!$C$77</definedName>
    <definedName name="Vcomp">data!$H$105</definedName>
    <definedName name="VCOMP1">data!$H$76</definedName>
    <definedName name="VCOMP2">data!$H$85</definedName>
    <definedName name="VCOMP3">data!$H$95</definedName>
    <definedName name="VCOMP4">data!$H$101</definedName>
    <definedName name="VCOMP5">#REF!</definedName>
    <definedName name="Vf">CALCULATIONS!$C$65</definedName>
    <definedName name="Vf_bridge">CALCULATIONS!$C$38</definedName>
    <definedName name="Vgs">CALCULATIONS!$C$78</definedName>
    <definedName name="Vin_max">CALCULATIONS!$C$23</definedName>
    <definedName name="Vin_min">CALCULATIONS!$C$22</definedName>
    <definedName name="Vin_nom">CALCULATIONS!$C$24</definedName>
    <definedName name="Vin_rect_max">CALCULATIONS!$C$29</definedName>
    <definedName name="Vin_rect_min">CALCULATIONS!$C$28</definedName>
    <definedName name="Vin_ripple">CALCULATIONS!$C$51</definedName>
    <definedName name="VINnom">CALCULATIONS!$C$24</definedName>
    <definedName name="Vins_brnmax">data!$H$16</definedName>
    <definedName name="Vins_brnmin">data!$H$15</definedName>
    <definedName name="Vins_brnnom">data!$H$17</definedName>
    <definedName name="Vins_enmax">data!$H$12</definedName>
    <definedName name="Vins_enmin">data!$H$13</definedName>
    <definedName name="Vins_ennom">data!$H$14</definedName>
    <definedName name="Visense_soc">data!$H$2</definedName>
    <definedName name="Vout">CALCULATIONS!$C$14</definedName>
    <definedName name="Vout_holdup">CALCULATIONS!$C$109</definedName>
    <definedName name="Vout_max">CALCULATIONS!$C$132</definedName>
    <definedName name="Vout_min">CALCULATIONS!$C$131</definedName>
    <definedName name="Vout_nom">CALCULATIONS!$C$130</definedName>
    <definedName name="Vout_ripplepp">CALCULATIONS!$C$114</definedName>
    <definedName name="Vovp">CALCULATIONS!$C$133</definedName>
    <definedName name="Vpcl_max">data!$H$3</definedName>
    <definedName name="Vref">data!$H$4</definedName>
    <definedName name="Vref_ovp">data!$H$5</definedName>
    <definedName name="Vref_ovpmax">data!$H$6</definedName>
    <definedName name="Vref_ovpmin">data!$H$7</definedName>
    <definedName name="Vref_uvd">data!$H$8</definedName>
    <definedName name="Vref_uvdmax">data!$H$9</definedName>
    <definedName name="Vref_uvdmin">data!$H$10</definedName>
    <definedName name="Vuvd">CALCULATIONS!$C$136</definedName>
  </definedNames>
  <calcPr calcId="124519"/>
</workbook>
</file>

<file path=xl/calcChain.xml><?xml version="1.0" encoding="utf-8"?>
<calcChain xmlns="http://schemas.openxmlformats.org/spreadsheetml/2006/main">
  <c r="A322" i="1"/>
  <c r="D91" i="5"/>
  <c r="D64"/>
  <c r="C310" i="1"/>
  <c r="C308"/>
  <c r="C324"/>
  <c r="C329" s="1"/>
  <c r="C270"/>
  <c r="C268"/>
  <c r="C255" i="2"/>
  <c r="C256"/>
  <c r="C257"/>
  <c r="C258"/>
  <c r="C259"/>
  <c r="C260"/>
  <c r="C261"/>
  <c r="C262"/>
  <c r="C263"/>
  <c r="C264"/>
  <c r="C265"/>
  <c r="B256"/>
  <c r="B257"/>
  <c r="B258"/>
  <c r="B259"/>
  <c r="B260"/>
  <c r="B261"/>
  <c r="B262"/>
  <c r="B263"/>
  <c r="B264"/>
  <c r="B265"/>
  <c r="C332" i="1" l="1"/>
  <c r="C312"/>
  <c r="C313"/>
  <c r="C331"/>
  <c r="C314"/>
  <c r="C330"/>
  <c r="C327"/>
  <c r="C328"/>
  <c r="C325"/>
  <c r="C34" i="2" l="1"/>
  <c r="A34"/>
  <c r="B34" s="1"/>
  <c r="D34" l="1"/>
  <c r="A35"/>
  <c r="C35" s="1"/>
  <c r="B35"/>
  <c r="D35" s="1"/>
  <c r="C22"/>
  <c r="H71" s="1"/>
  <c r="C23"/>
  <c r="H72" s="1"/>
  <c r="C100" i="1"/>
  <c r="C97"/>
  <c r="C21" i="2"/>
  <c r="C20"/>
  <c r="C19"/>
  <c r="C18"/>
  <c r="C17"/>
  <c r="C16"/>
  <c r="C15"/>
  <c r="C14"/>
  <c r="C13"/>
  <c r="C12"/>
  <c r="C11"/>
  <c r="C10"/>
  <c r="C9"/>
  <c r="C8"/>
  <c r="C7"/>
  <c r="C111" i="1" s="1"/>
  <c r="C6" i="2"/>
  <c r="C5"/>
  <c r="C2" s="1"/>
  <c r="C105" i="1" s="1"/>
  <c r="C4" i="2"/>
  <c r="C3"/>
  <c r="C60" i="1" l="1"/>
  <c r="A36" i="2"/>
  <c r="C36" s="1"/>
  <c r="B36"/>
  <c r="C133" i="1"/>
  <c r="C126"/>
  <c r="C139"/>
  <c r="C130"/>
  <c r="C137"/>
  <c r="C135"/>
  <c r="C134"/>
  <c r="D69" i="5" s="1"/>
  <c r="C138" i="1"/>
  <c r="C112"/>
  <c r="C136"/>
  <c r="H69" i="2"/>
  <c r="C71" i="1"/>
  <c r="H70" i="2"/>
  <c r="A37" l="1"/>
  <c r="A38" s="1"/>
  <c r="D36"/>
  <c r="C140" i="1"/>
  <c r="C131"/>
  <c r="C132"/>
  <c r="C31"/>
  <c r="C32" s="1"/>
  <c r="C89" s="1"/>
  <c r="D39" i="5"/>
  <c r="C29" i="1"/>
  <c r="D87" i="5"/>
  <c r="D89"/>
  <c r="D85"/>
  <c r="D83"/>
  <c r="D81"/>
  <c r="D79"/>
  <c r="D77"/>
  <c r="D75"/>
  <c r="D73"/>
  <c r="C18" i="1"/>
  <c r="C168" s="1"/>
  <c r="C28"/>
  <c r="C56" s="1"/>
  <c r="D50" i="5" s="1"/>
  <c r="D68"/>
  <c r="E57"/>
  <c r="D49"/>
  <c r="D46"/>
  <c r="E66"/>
  <c r="E62"/>
  <c r="D61"/>
  <c r="E59"/>
  <c r="E58"/>
  <c r="E56"/>
  <c r="E54"/>
  <c r="E43"/>
  <c r="E53"/>
  <c r="D53"/>
  <c r="E52"/>
  <c r="E49"/>
  <c r="E48"/>
  <c r="E47"/>
  <c r="D47"/>
  <c r="E42"/>
  <c r="E41"/>
  <c r="E40"/>
  <c r="E39"/>
  <c r="E48" i="1"/>
  <c r="C99"/>
  <c r="C78"/>
  <c r="C87" s="1"/>
  <c r="C30"/>
  <c r="E16"/>
  <c r="E15"/>
  <c r="J209" i="2"/>
  <c r="J210"/>
  <c r="J211"/>
  <c r="J212"/>
  <c r="J213"/>
  <c r="J214"/>
  <c r="J215"/>
  <c r="J216"/>
  <c r="J217"/>
  <c r="J218"/>
  <c r="J219"/>
  <c r="J220"/>
  <c r="J221"/>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06"/>
  <c r="J207"/>
  <c r="J208"/>
  <c r="J205"/>
  <c r="B283"/>
  <c r="C283" s="1"/>
  <c r="B295"/>
  <c r="C295" s="1"/>
  <c r="B273"/>
  <c r="C273" s="1"/>
  <c r="B274"/>
  <c r="C274" s="1"/>
  <c r="B275"/>
  <c r="C275" s="1"/>
  <c r="B276"/>
  <c r="C276" s="1"/>
  <c r="B277"/>
  <c r="C277" s="1"/>
  <c r="B278"/>
  <c r="C278" s="1"/>
  <c r="B279"/>
  <c r="C279" s="1"/>
  <c r="B280"/>
  <c r="C280" s="1"/>
  <c r="B281"/>
  <c r="C281" s="1"/>
  <c r="B282"/>
  <c r="C282" s="1"/>
  <c r="H235"/>
  <c r="I235" s="1"/>
  <c r="H236"/>
  <c r="I236" s="1"/>
  <c r="H237"/>
  <c r="I237" s="1"/>
  <c r="P237" s="1"/>
  <c r="Q237" s="1"/>
  <c r="H206"/>
  <c r="I206"/>
  <c r="H207"/>
  <c r="I207" s="1"/>
  <c r="P207" s="1"/>
  <c r="Q207" s="1"/>
  <c r="H208"/>
  <c r="I208" s="1"/>
  <c r="H209"/>
  <c r="I209" s="1"/>
  <c r="P209" s="1"/>
  <c r="Q209" s="1"/>
  <c r="H210"/>
  <c r="I210" s="1"/>
  <c r="H211"/>
  <c r="I211" s="1"/>
  <c r="P211" s="1"/>
  <c r="Q211" s="1"/>
  <c r="H212"/>
  <c r="I212" s="1"/>
  <c r="H213"/>
  <c r="I213" s="1"/>
  <c r="P213" s="1"/>
  <c r="Q213" s="1"/>
  <c r="H214"/>
  <c r="I214"/>
  <c r="H215"/>
  <c r="I215" s="1"/>
  <c r="P215" s="1"/>
  <c r="Q215" s="1"/>
  <c r="H216"/>
  <c r="I216" s="1"/>
  <c r="H217"/>
  <c r="I217" s="1"/>
  <c r="P217" s="1"/>
  <c r="Q217" s="1"/>
  <c r="H218"/>
  <c r="I218" s="1"/>
  <c r="H219"/>
  <c r="I219" s="1"/>
  <c r="P219" s="1"/>
  <c r="Q219" s="1"/>
  <c r="H220"/>
  <c r="I220"/>
  <c r="H221"/>
  <c r="I221" s="1"/>
  <c r="P221" s="1"/>
  <c r="Q221" s="1"/>
  <c r="H222"/>
  <c r="I222" s="1"/>
  <c r="H223"/>
  <c r="I223" s="1"/>
  <c r="P223" s="1"/>
  <c r="Q223" s="1"/>
  <c r="H224"/>
  <c r="I224" s="1"/>
  <c r="H225"/>
  <c r="I225" s="1"/>
  <c r="P225" s="1"/>
  <c r="Q225" s="1"/>
  <c r="H226"/>
  <c r="I226"/>
  <c r="H227"/>
  <c r="I227" s="1"/>
  <c r="P227" s="1"/>
  <c r="Q227" s="1"/>
  <c r="H228"/>
  <c r="I228" s="1"/>
  <c r="H229"/>
  <c r="I229" s="1"/>
  <c r="P229" s="1"/>
  <c r="Q229" s="1"/>
  <c r="H230"/>
  <c r="I230" s="1"/>
  <c r="H231"/>
  <c r="I231" s="1"/>
  <c r="P231" s="1"/>
  <c r="Q231" s="1"/>
  <c r="H232"/>
  <c r="I232" s="1"/>
  <c r="H233"/>
  <c r="I233" s="1"/>
  <c r="P233" s="1"/>
  <c r="Q233" s="1"/>
  <c r="H234"/>
  <c r="I234"/>
  <c r="H238"/>
  <c r="I238" s="1"/>
  <c r="H239"/>
  <c r="I239" s="1"/>
  <c r="P239" s="1"/>
  <c r="Q239" s="1"/>
  <c r="H240"/>
  <c r="I240" s="1"/>
  <c r="H241"/>
  <c r="I241" s="1"/>
  <c r="P241" s="1"/>
  <c r="Q241" s="1"/>
  <c r="H242"/>
  <c r="I242" s="1"/>
  <c r="H243"/>
  <c r="I243" s="1"/>
  <c r="P243" s="1"/>
  <c r="Q243" s="1"/>
  <c r="H244"/>
  <c r="I244" s="1"/>
  <c r="H245"/>
  <c r="I245" s="1"/>
  <c r="P245" s="1"/>
  <c r="Q245" s="1"/>
  <c r="H246"/>
  <c r="I246" s="1"/>
  <c r="H247"/>
  <c r="I247"/>
  <c r="P247" s="1"/>
  <c r="Q247" s="1"/>
  <c r="H248"/>
  <c r="I248" s="1"/>
  <c r="H249"/>
  <c r="I249" s="1"/>
  <c r="P249" s="1"/>
  <c r="Q249" s="1"/>
  <c r="H250"/>
  <c r="I250" s="1"/>
  <c r="H251"/>
  <c r="I251" s="1"/>
  <c r="P251" s="1"/>
  <c r="Q251" s="1"/>
  <c r="H252"/>
  <c r="I252" s="1"/>
  <c r="H253"/>
  <c r="I253"/>
  <c r="P253" s="1"/>
  <c r="Q253" s="1"/>
  <c r="H254"/>
  <c r="I254" s="1"/>
  <c r="H255"/>
  <c r="I255" s="1"/>
  <c r="P255" s="1"/>
  <c r="Q255" s="1"/>
  <c r="H256"/>
  <c r="I256" s="1"/>
  <c r="H257"/>
  <c r="I257"/>
  <c r="P257" s="1"/>
  <c r="Q257" s="1"/>
  <c r="H258"/>
  <c r="I258" s="1"/>
  <c r="H259"/>
  <c r="I259" s="1"/>
  <c r="P259" s="1"/>
  <c r="Q259" s="1"/>
  <c r="H260"/>
  <c r="I260" s="1"/>
  <c r="H261"/>
  <c r="I261" s="1"/>
  <c r="P261" s="1"/>
  <c r="Q261" s="1"/>
  <c r="H262"/>
  <c r="I262" s="1"/>
  <c r="H263"/>
  <c r="I263"/>
  <c r="P263" s="1"/>
  <c r="Q263" s="1"/>
  <c r="H264"/>
  <c r="I264" s="1"/>
  <c r="H265"/>
  <c r="I265" s="1"/>
  <c r="P265" s="1"/>
  <c r="Q265" s="1"/>
  <c r="H205"/>
  <c r="I205" s="1"/>
  <c r="P205" s="1"/>
  <c r="Q205" s="1"/>
  <c r="B205"/>
  <c r="C205" s="1"/>
  <c r="C33"/>
  <c r="B382"/>
  <c r="C382" s="1"/>
  <c r="B381"/>
  <c r="C381" s="1"/>
  <c r="B380"/>
  <c r="C380" s="1"/>
  <c r="B379"/>
  <c r="C379" s="1"/>
  <c r="B378"/>
  <c r="C378" s="1"/>
  <c r="B377"/>
  <c r="C377" s="1"/>
  <c r="B376"/>
  <c r="C376" s="1"/>
  <c r="B375"/>
  <c r="C375" s="1"/>
  <c r="B374"/>
  <c r="C374" s="1"/>
  <c r="B373"/>
  <c r="C373" s="1"/>
  <c r="B372"/>
  <c r="C372" s="1"/>
  <c r="B371"/>
  <c r="C371" s="1"/>
  <c r="B370"/>
  <c r="C370" s="1"/>
  <c r="B369"/>
  <c r="C369" s="1"/>
  <c r="B368"/>
  <c r="C368" s="1"/>
  <c r="B367"/>
  <c r="C367" s="1"/>
  <c r="B366"/>
  <c r="C366" s="1"/>
  <c r="B365"/>
  <c r="C365" s="1"/>
  <c r="B364"/>
  <c r="C364" s="1"/>
  <c r="B363"/>
  <c r="C363" s="1"/>
  <c r="B362"/>
  <c r="C362" s="1"/>
  <c r="B361"/>
  <c r="C361" s="1"/>
  <c r="B360"/>
  <c r="C360" s="1"/>
  <c r="B359"/>
  <c r="C359" s="1"/>
  <c r="B358"/>
  <c r="C358" s="1"/>
  <c r="B357"/>
  <c r="C357" s="1"/>
  <c r="B356"/>
  <c r="C356" s="1"/>
  <c r="B355"/>
  <c r="C355" s="1"/>
  <c r="B354"/>
  <c r="C354" s="1"/>
  <c r="B353"/>
  <c r="C353" s="1"/>
  <c r="B352"/>
  <c r="C352" s="1"/>
  <c r="B351"/>
  <c r="C351" s="1"/>
  <c r="B350"/>
  <c r="C350" s="1"/>
  <c r="B349"/>
  <c r="C349" s="1"/>
  <c r="B348"/>
  <c r="C348" s="1"/>
  <c r="B347"/>
  <c r="C347" s="1"/>
  <c r="B346"/>
  <c r="C346" s="1"/>
  <c r="B345"/>
  <c r="C345" s="1"/>
  <c r="B344"/>
  <c r="C344" s="1"/>
  <c r="B343"/>
  <c r="C343" s="1"/>
  <c r="B342"/>
  <c r="C342" s="1"/>
  <c r="B341"/>
  <c r="C341" s="1"/>
  <c r="B340"/>
  <c r="C340" s="1"/>
  <c r="B339"/>
  <c r="C339" s="1"/>
  <c r="B338"/>
  <c r="C338" s="1"/>
  <c r="B337"/>
  <c r="C337" s="1"/>
  <c r="B336"/>
  <c r="C336" s="1"/>
  <c r="B335"/>
  <c r="C335" s="1"/>
  <c r="B334"/>
  <c r="C334" s="1"/>
  <c r="B333"/>
  <c r="C333" s="1"/>
  <c r="B332"/>
  <c r="C332" s="1"/>
  <c r="B331"/>
  <c r="C331" s="1"/>
  <c r="B330"/>
  <c r="C330" s="1"/>
  <c r="B329"/>
  <c r="C329" s="1"/>
  <c r="B328"/>
  <c r="C328" s="1"/>
  <c r="B327"/>
  <c r="C327" s="1"/>
  <c r="B326"/>
  <c r="C326" s="1"/>
  <c r="B325"/>
  <c r="C325" s="1"/>
  <c r="B324"/>
  <c r="C324" s="1"/>
  <c r="B323"/>
  <c r="C323" s="1"/>
  <c r="B322"/>
  <c r="C322" s="1"/>
  <c r="B321"/>
  <c r="C321" s="1"/>
  <c r="B320"/>
  <c r="C320" s="1"/>
  <c r="B319"/>
  <c r="C319" s="1"/>
  <c r="B318"/>
  <c r="C318" s="1"/>
  <c r="B317"/>
  <c r="C317" s="1"/>
  <c r="B316"/>
  <c r="C316" s="1"/>
  <c r="B315"/>
  <c r="C315" s="1"/>
  <c r="B314"/>
  <c r="C314" s="1"/>
  <c r="B313"/>
  <c r="C313" s="1"/>
  <c r="B312"/>
  <c r="C312" s="1"/>
  <c r="B311"/>
  <c r="C311" s="1"/>
  <c r="B310"/>
  <c r="C310" s="1"/>
  <c r="B309"/>
  <c r="C309" s="1"/>
  <c r="B308"/>
  <c r="C308" s="1"/>
  <c r="B307"/>
  <c r="C307" s="1"/>
  <c r="B306"/>
  <c r="C306" s="1"/>
  <c r="B305"/>
  <c r="C305" s="1"/>
  <c r="B304"/>
  <c r="C304" s="1"/>
  <c r="B303"/>
  <c r="C303" s="1"/>
  <c r="B302"/>
  <c r="C302" s="1"/>
  <c r="B301"/>
  <c r="C301" s="1"/>
  <c r="B300"/>
  <c r="C300" s="1"/>
  <c r="B299"/>
  <c r="C299" s="1"/>
  <c r="B298"/>
  <c r="C298" s="1"/>
  <c r="B297"/>
  <c r="C297" s="1"/>
  <c r="B296"/>
  <c r="C296" s="1"/>
  <c r="B294"/>
  <c r="C294" s="1"/>
  <c r="B293"/>
  <c r="C293" s="1"/>
  <c r="B292"/>
  <c r="C292" s="1"/>
  <c r="B291"/>
  <c r="C291" s="1"/>
  <c r="B290"/>
  <c r="C290" s="1"/>
  <c r="B289"/>
  <c r="C289" s="1"/>
  <c r="B288"/>
  <c r="C288" s="1"/>
  <c r="B287"/>
  <c r="C287" s="1"/>
  <c r="B284"/>
  <c r="C284" s="1"/>
  <c r="B285"/>
  <c r="C285" s="1"/>
  <c r="B286"/>
  <c r="C286" s="1"/>
  <c r="B244"/>
  <c r="C244" s="1"/>
  <c r="B245"/>
  <c r="C245" s="1"/>
  <c r="B246"/>
  <c r="C246" s="1"/>
  <c r="B247"/>
  <c r="C247" s="1"/>
  <c r="B248"/>
  <c r="C248" s="1"/>
  <c r="B249"/>
  <c r="C249" s="1"/>
  <c r="B250"/>
  <c r="C250" s="1"/>
  <c r="B251"/>
  <c r="C251" s="1"/>
  <c r="B252"/>
  <c r="C252" s="1"/>
  <c r="B253"/>
  <c r="C253" s="1"/>
  <c r="B254"/>
  <c r="C254" s="1"/>
  <c r="B255"/>
  <c r="B206"/>
  <c r="C206" s="1"/>
  <c r="B207"/>
  <c r="C207" s="1"/>
  <c r="B208"/>
  <c r="C208" s="1"/>
  <c r="B209"/>
  <c r="C209" s="1"/>
  <c r="B210"/>
  <c r="C210" s="1"/>
  <c r="B211"/>
  <c r="C211" s="1"/>
  <c r="B212"/>
  <c r="C212" s="1"/>
  <c r="B213"/>
  <c r="C213" s="1"/>
  <c r="B214"/>
  <c r="C214" s="1"/>
  <c r="B215"/>
  <c r="C215" s="1"/>
  <c r="B216"/>
  <c r="C216" s="1"/>
  <c r="B217"/>
  <c r="C217" s="1"/>
  <c r="B218"/>
  <c r="C218" s="1"/>
  <c r="B219"/>
  <c r="C219" s="1"/>
  <c r="B220"/>
  <c r="C220" s="1"/>
  <c r="B221"/>
  <c r="C221" s="1"/>
  <c r="B222"/>
  <c r="C222" s="1"/>
  <c r="B223"/>
  <c r="C223" s="1"/>
  <c r="B224"/>
  <c r="C224" s="1"/>
  <c r="B225"/>
  <c r="C225" s="1"/>
  <c r="B226"/>
  <c r="C226" s="1"/>
  <c r="B227"/>
  <c r="C227" s="1"/>
  <c r="B228"/>
  <c r="C228" s="1"/>
  <c r="B229"/>
  <c r="C229" s="1"/>
  <c r="B230"/>
  <c r="C230" s="1"/>
  <c r="B231"/>
  <c r="C231" s="1"/>
  <c r="B232"/>
  <c r="C232" s="1"/>
  <c r="B233"/>
  <c r="C233" s="1"/>
  <c r="B234"/>
  <c r="C234" s="1"/>
  <c r="B235"/>
  <c r="C235" s="1"/>
  <c r="B236"/>
  <c r="C236" s="1"/>
  <c r="B237"/>
  <c r="C237" s="1"/>
  <c r="B238"/>
  <c r="C238" s="1"/>
  <c r="B239"/>
  <c r="C239" s="1"/>
  <c r="B240"/>
  <c r="C240" s="1"/>
  <c r="B241"/>
  <c r="C241" s="1"/>
  <c r="B242"/>
  <c r="C242" s="1"/>
  <c r="B243"/>
  <c r="C243" s="1"/>
  <c r="B33"/>
  <c r="E14" i="1" l="1"/>
  <c r="C315"/>
  <c r="H101" i="2"/>
  <c r="D293"/>
  <c r="D309"/>
  <c r="D325"/>
  <c r="D341"/>
  <c r="D357"/>
  <c r="D373"/>
  <c r="D288"/>
  <c r="D302"/>
  <c r="D318"/>
  <c r="D334"/>
  <c r="D350"/>
  <c r="D366"/>
  <c r="D382"/>
  <c r="D280"/>
  <c r="D304"/>
  <c r="D320"/>
  <c r="D336"/>
  <c r="D352"/>
  <c r="D368"/>
  <c r="D283"/>
  <c r="D273"/>
  <c r="D335"/>
  <c r="D281"/>
  <c r="D315"/>
  <c r="D323"/>
  <c r="D286"/>
  <c r="D290"/>
  <c r="D299"/>
  <c r="D321"/>
  <c r="D314"/>
  <c r="D362"/>
  <c r="D300"/>
  <c r="D348"/>
  <c r="D278"/>
  <c r="D375"/>
  <c r="D359"/>
  <c r="D297"/>
  <c r="D313"/>
  <c r="D329"/>
  <c r="D345"/>
  <c r="D361"/>
  <c r="D377"/>
  <c r="D279"/>
  <c r="D306"/>
  <c r="D322"/>
  <c r="D338"/>
  <c r="D354"/>
  <c r="D370"/>
  <c r="D285"/>
  <c r="D292"/>
  <c r="D308"/>
  <c r="D324"/>
  <c r="D340"/>
  <c r="D356"/>
  <c r="D372"/>
  <c r="D287"/>
  <c r="D275"/>
  <c r="D351"/>
  <c r="D311"/>
  <c r="D379"/>
  <c r="D339"/>
  <c r="D295"/>
  <c r="D331"/>
  <c r="D347"/>
  <c r="D353"/>
  <c r="D298"/>
  <c r="D346"/>
  <c r="D276"/>
  <c r="D332"/>
  <c r="D380"/>
  <c r="D282"/>
  <c r="D371"/>
  <c r="D301"/>
  <c r="D317"/>
  <c r="D333"/>
  <c r="D349"/>
  <c r="D365"/>
  <c r="D381"/>
  <c r="D294"/>
  <c r="D310"/>
  <c r="D326"/>
  <c r="D342"/>
  <c r="D358"/>
  <c r="D374"/>
  <c r="D289"/>
  <c r="D296"/>
  <c r="D312"/>
  <c r="D328"/>
  <c r="D344"/>
  <c r="D360"/>
  <c r="D376"/>
  <c r="D274"/>
  <c r="D303"/>
  <c r="D367"/>
  <c r="D343"/>
  <c r="D291"/>
  <c r="D355"/>
  <c r="D327"/>
  <c r="D363"/>
  <c r="D305"/>
  <c r="D337"/>
  <c r="D369"/>
  <c r="D284"/>
  <c r="D330"/>
  <c r="D378"/>
  <c r="D316"/>
  <c r="D364"/>
  <c r="D319"/>
  <c r="D307"/>
  <c r="D277"/>
  <c r="C261" i="1"/>
  <c r="C37" i="2"/>
  <c r="D37" s="1"/>
  <c r="B37"/>
  <c r="A39"/>
  <c r="B38"/>
  <c r="C38"/>
  <c r="H95"/>
  <c r="H85"/>
  <c r="H76"/>
  <c r="H74"/>
  <c r="D33"/>
  <c r="C42" i="1"/>
  <c r="D41" i="5" s="1"/>
  <c r="C102" i="1"/>
  <c r="C103" s="1"/>
  <c r="C114"/>
  <c r="A115" s="1"/>
  <c r="D58" i="5"/>
  <c r="C79" i="1"/>
  <c r="D56" i="5" s="1"/>
  <c r="C117" i="1"/>
  <c r="D71" i="5" s="1"/>
  <c r="C34" i="1"/>
  <c r="D40" i="5" s="1"/>
  <c r="C98" i="1"/>
  <c r="D62" i="5" s="1"/>
  <c r="C116" i="1"/>
  <c r="D70" i="5" s="1"/>
  <c r="C61" i="1"/>
  <c r="C50"/>
  <c r="C58" s="1"/>
  <c r="C33"/>
  <c r="P235" i="2"/>
  <c r="Q235" s="1"/>
  <c r="P236"/>
  <c r="Q236" s="1"/>
  <c r="W205"/>
  <c r="C51" i="1"/>
  <c r="C70"/>
  <c r="C72" s="1"/>
  <c r="P208" i="2"/>
  <c r="Q208" s="1"/>
  <c r="P206"/>
  <c r="Q206" s="1"/>
  <c r="P264"/>
  <c r="Q264" s="1"/>
  <c r="P262"/>
  <c r="Q262" s="1"/>
  <c r="P260"/>
  <c r="Q260" s="1"/>
  <c r="P258"/>
  <c r="Q258" s="1"/>
  <c r="P256"/>
  <c r="Q256" s="1"/>
  <c r="P254"/>
  <c r="Q254" s="1"/>
  <c r="P252"/>
  <c r="Q252" s="1"/>
  <c r="P250"/>
  <c r="Q250" s="1"/>
  <c r="P248"/>
  <c r="Q248" s="1"/>
  <c r="P246"/>
  <c r="Q246" s="1"/>
  <c r="P244"/>
  <c r="Q244" s="1"/>
  <c r="P242"/>
  <c r="Q242" s="1"/>
  <c r="P240"/>
  <c r="Q240" s="1"/>
  <c r="P238"/>
  <c r="Q238" s="1"/>
  <c r="P234"/>
  <c r="Q234" s="1"/>
  <c r="P232"/>
  <c r="Q232" s="1"/>
  <c r="P230"/>
  <c r="Q230" s="1"/>
  <c r="P228"/>
  <c r="Q228" s="1"/>
  <c r="P226"/>
  <c r="Q226" s="1"/>
  <c r="P224"/>
  <c r="Q224" s="1"/>
  <c r="P222"/>
  <c r="Q222" s="1"/>
  <c r="P220"/>
  <c r="Q220" s="1"/>
  <c r="P218"/>
  <c r="Q218" s="1"/>
  <c r="P216"/>
  <c r="Q216" s="1"/>
  <c r="P214"/>
  <c r="Q214" s="1"/>
  <c r="P212"/>
  <c r="Q212" s="1"/>
  <c r="P210"/>
  <c r="Q210" s="1"/>
  <c r="Y205"/>
  <c r="X205"/>
  <c r="C266" i="1" l="1"/>
  <c r="D38" i="2"/>
  <c r="A40"/>
  <c r="B39"/>
  <c r="C39"/>
  <c r="D66" i="5"/>
  <c r="H105" i="2"/>
  <c r="C172" i="1" s="1"/>
  <c r="C52"/>
  <c r="D45" i="5" s="1"/>
  <c r="C57" i="1"/>
  <c r="C95" s="1"/>
  <c r="C88"/>
  <c r="C90" s="1"/>
  <c r="D59" i="5" s="1"/>
  <c r="C118" i="1"/>
  <c r="D54" i="5"/>
  <c r="C73" i="1"/>
  <c r="D48" i="5"/>
  <c r="D57"/>
  <c r="D52"/>
  <c r="C43" i="1"/>
  <c r="C41"/>
  <c r="D42" i="5" s="1"/>
  <c r="K260" i="2" l="1"/>
  <c r="M260" s="1"/>
  <c r="R260" s="1"/>
  <c r="K264"/>
  <c r="M264" s="1"/>
  <c r="R264" s="1"/>
  <c r="K243"/>
  <c r="M243" s="1"/>
  <c r="R243" s="1"/>
  <c r="K247"/>
  <c r="M247" s="1"/>
  <c r="R247" s="1"/>
  <c r="K251"/>
  <c r="M251" s="1"/>
  <c r="R251" s="1"/>
  <c r="K255"/>
  <c r="M255" s="1"/>
  <c r="R255" s="1"/>
  <c r="K259"/>
  <c r="M259" s="1"/>
  <c r="R259" s="1"/>
  <c r="K225"/>
  <c r="M225" s="1"/>
  <c r="R225" s="1"/>
  <c r="K229"/>
  <c r="M229" s="1"/>
  <c r="R229" s="1"/>
  <c r="K233"/>
  <c r="M233" s="1"/>
  <c r="R233" s="1"/>
  <c r="K237"/>
  <c r="M237" s="1"/>
  <c r="R237" s="1"/>
  <c r="K206"/>
  <c r="M206" s="1"/>
  <c r="K210"/>
  <c r="M210" s="1"/>
  <c r="R210" s="1"/>
  <c r="K214"/>
  <c r="M214" s="1"/>
  <c r="R214" s="1"/>
  <c r="K218"/>
  <c r="M218" s="1"/>
  <c r="R218" s="1"/>
  <c r="K205"/>
  <c r="K241"/>
  <c r="M241" s="1"/>
  <c r="R241" s="1"/>
  <c r="K261"/>
  <c r="M261" s="1"/>
  <c r="R261" s="1"/>
  <c r="K265"/>
  <c r="M265" s="1"/>
  <c r="R265" s="1"/>
  <c r="K244"/>
  <c r="M244" s="1"/>
  <c r="R244" s="1"/>
  <c r="K248"/>
  <c r="M248" s="1"/>
  <c r="R248" s="1"/>
  <c r="K252"/>
  <c r="M252" s="1"/>
  <c r="R252" s="1"/>
  <c r="K256"/>
  <c r="M256" s="1"/>
  <c r="R256" s="1"/>
  <c r="K222"/>
  <c r="M222" s="1"/>
  <c r="R222" s="1"/>
  <c r="K226"/>
  <c r="M226" s="1"/>
  <c r="R226" s="1"/>
  <c r="K230"/>
  <c r="M230" s="1"/>
  <c r="R230" s="1"/>
  <c r="K234"/>
  <c r="M234" s="1"/>
  <c r="R234" s="1"/>
  <c r="K238"/>
  <c r="M238" s="1"/>
  <c r="R238" s="1"/>
  <c r="K207"/>
  <c r="M207" s="1"/>
  <c r="R207" s="1"/>
  <c r="K211"/>
  <c r="M211" s="1"/>
  <c r="R211" s="1"/>
  <c r="K215"/>
  <c r="M215" s="1"/>
  <c r="R215" s="1"/>
  <c r="K219"/>
  <c r="M219" s="1"/>
  <c r="R219" s="1"/>
  <c r="C263" i="1"/>
  <c r="C264" s="1"/>
  <c r="K245" i="2"/>
  <c r="M245" s="1"/>
  <c r="R245" s="1"/>
  <c r="K263"/>
  <c r="M263" s="1"/>
  <c r="R263" s="1"/>
  <c r="K242"/>
  <c r="M242" s="1"/>
  <c r="R242" s="1"/>
  <c r="K246"/>
  <c r="M246" s="1"/>
  <c r="R246" s="1"/>
  <c r="K250"/>
  <c r="M250" s="1"/>
  <c r="R250" s="1"/>
  <c r="K254"/>
  <c r="K258"/>
  <c r="M258" s="1"/>
  <c r="R258" s="1"/>
  <c r="K224"/>
  <c r="M224" s="1"/>
  <c r="R224" s="1"/>
  <c r="K228"/>
  <c r="M228" s="1"/>
  <c r="R228" s="1"/>
  <c r="K232"/>
  <c r="M232" s="1"/>
  <c r="R232" s="1"/>
  <c r="K236"/>
  <c r="M236" s="1"/>
  <c r="R236" s="1"/>
  <c r="K240"/>
  <c r="M240" s="1"/>
  <c r="R240" s="1"/>
  <c r="K209"/>
  <c r="M209" s="1"/>
  <c r="R209" s="1"/>
  <c r="K213"/>
  <c r="M213" s="1"/>
  <c r="R213" s="1"/>
  <c r="K217"/>
  <c r="M217" s="1"/>
  <c r="R217" s="1"/>
  <c r="K221"/>
  <c r="M221" s="1"/>
  <c r="R221" s="1"/>
  <c r="K262"/>
  <c r="M262" s="1"/>
  <c r="R262" s="1"/>
  <c r="K249"/>
  <c r="M249" s="1"/>
  <c r="R249" s="1"/>
  <c r="K227"/>
  <c r="M227" s="1"/>
  <c r="R227" s="1"/>
  <c r="K208"/>
  <c r="M208" s="1"/>
  <c r="R208" s="1"/>
  <c r="K253"/>
  <c r="M253" s="1"/>
  <c r="R253" s="1"/>
  <c r="K231"/>
  <c r="M231" s="1"/>
  <c r="R231" s="1"/>
  <c r="K212"/>
  <c r="M212" s="1"/>
  <c r="R212" s="1"/>
  <c r="K257"/>
  <c r="M257" s="1"/>
  <c r="R257" s="1"/>
  <c r="K235"/>
  <c r="M235" s="1"/>
  <c r="R235" s="1"/>
  <c r="K216"/>
  <c r="M216" s="1"/>
  <c r="R216" s="1"/>
  <c r="K223"/>
  <c r="M223" s="1"/>
  <c r="R223" s="1"/>
  <c r="K239"/>
  <c r="M239" s="1"/>
  <c r="R239" s="1"/>
  <c r="K220"/>
  <c r="M220" s="1"/>
  <c r="R220" s="1"/>
  <c r="A41"/>
  <c r="B40"/>
  <c r="C40"/>
  <c r="D39"/>
  <c r="C169" i="1"/>
  <c r="C170"/>
  <c r="C171"/>
  <c r="C91"/>
  <c r="D43" i="5"/>
  <c r="C44" i="1"/>
  <c r="D40" i="2" l="1"/>
  <c r="A42"/>
  <c r="B41"/>
  <c r="C41"/>
  <c r="C174" i="1"/>
  <c r="C176"/>
  <c r="D217" i="2" l="1"/>
  <c r="D246"/>
  <c r="D206"/>
  <c r="D255"/>
  <c r="F255" s="1"/>
  <c r="D234"/>
  <c r="D253"/>
  <c r="D219"/>
  <c r="D230"/>
  <c r="D238"/>
  <c r="D233"/>
  <c r="D261"/>
  <c r="D260"/>
  <c r="D232"/>
  <c r="D248"/>
  <c r="D249"/>
  <c r="D229"/>
  <c r="D205"/>
  <c r="D251"/>
  <c r="D262"/>
  <c r="D265"/>
  <c r="D221"/>
  <c r="D224"/>
  <c r="D244"/>
  <c r="D227"/>
  <c r="D213"/>
  <c r="D242"/>
  <c r="D211"/>
  <c r="D235"/>
  <c r="D254"/>
  <c r="D241"/>
  <c r="D259"/>
  <c r="D247"/>
  <c r="D231"/>
  <c r="D222"/>
  <c r="D209"/>
  <c r="D258"/>
  <c r="D240"/>
  <c r="D252"/>
  <c r="D212"/>
  <c r="D264"/>
  <c r="D257"/>
  <c r="D226"/>
  <c r="D220"/>
  <c r="D236"/>
  <c r="D243"/>
  <c r="D239"/>
  <c r="D250"/>
  <c r="D214"/>
  <c r="D215"/>
  <c r="D245"/>
  <c r="D223"/>
  <c r="D207"/>
  <c r="D228"/>
  <c r="D218"/>
  <c r="D237"/>
  <c r="D208"/>
  <c r="D263"/>
  <c r="D210"/>
  <c r="D225"/>
  <c r="D216"/>
  <c r="D256"/>
  <c r="D41"/>
  <c r="A43"/>
  <c r="B42"/>
  <c r="C42"/>
  <c r="F258" l="1"/>
  <c r="E258"/>
  <c r="F265"/>
  <c r="E265"/>
  <c r="F259"/>
  <c r="E259"/>
  <c r="F262"/>
  <c r="E262"/>
  <c r="E261"/>
  <c r="F261"/>
  <c r="F264"/>
  <c r="E264"/>
  <c r="F260"/>
  <c r="E260"/>
  <c r="E256"/>
  <c r="F256"/>
  <c r="F263"/>
  <c r="E263"/>
  <c r="E257"/>
  <c r="F257"/>
  <c r="L237"/>
  <c r="L234"/>
  <c r="L221"/>
  <c r="L227"/>
  <c r="L216"/>
  <c r="L232"/>
  <c r="L248"/>
  <c r="L210"/>
  <c r="L265"/>
  <c r="D42"/>
  <c r="M205"/>
  <c r="L235"/>
  <c r="L230"/>
  <c r="L246"/>
  <c r="A44"/>
  <c r="B43"/>
  <c r="C43"/>
  <c r="L243"/>
  <c r="L224"/>
  <c r="L228"/>
  <c r="L242"/>
  <c r="L263"/>
  <c r="L217"/>
  <c r="L212"/>
  <c r="L229"/>
  <c r="L259"/>
  <c r="L250"/>
  <c r="E241"/>
  <c r="F241"/>
  <c r="F239"/>
  <c r="E239"/>
  <c r="E218"/>
  <c r="F218"/>
  <c r="F245"/>
  <c r="E245"/>
  <c r="E230"/>
  <c r="F230"/>
  <c r="F247"/>
  <c r="E247"/>
  <c r="F227"/>
  <c r="E227"/>
  <c r="E211"/>
  <c r="F211"/>
  <c r="E223"/>
  <c r="F223"/>
  <c r="F250"/>
  <c r="E250"/>
  <c r="E236"/>
  <c r="F236"/>
  <c r="L261"/>
  <c r="L255"/>
  <c r="L260"/>
  <c r="L241"/>
  <c r="E246"/>
  <c r="F246"/>
  <c r="F216"/>
  <c r="E216"/>
  <c r="E237"/>
  <c r="F237"/>
  <c r="F229"/>
  <c r="E229"/>
  <c r="E233"/>
  <c r="F233"/>
  <c r="F208"/>
  <c r="E208"/>
  <c r="F249"/>
  <c r="E249"/>
  <c r="F205"/>
  <c r="E205"/>
  <c r="E206"/>
  <c r="F206"/>
  <c r="E243"/>
  <c r="F243"/>
  <c r="E224"/>
  <c r="F224"/>
  <c r="E235"/>
  <c r="F235"/>
  <c r="E214"/>
  <c r="F214"/>
  <c r="E212"/>
  <c r="F212"/>
  <c r="E253"/>
  <c r="F253"/>
  <c r="F234"/>
  <c r="E234"/>
  <c r="L208"/>
  <c r="L240"/>
  <c r="L249"/>
  <c r="L207"/>
  <c r="F215"/>
  <c r="E215"/>
  <c r="E226"/>
  <c r="F226"/>
  <c r="E252"/>
  <c r="F252"/>
  <c r="E222"/>
  <c r="F222"/>
  <c r="E213"/>
  <c r="F213"/>
  <c r="E242"/>
  <c r="F242"/>
  <c r="E244"/>
  <c r="F244"/>
  <c r="E217"/>
  <c r="F217"/>
  <c r="E255"/>
  <c r="F231"/>
  <c r="E231"/>
  <c r="F209"/>
  <c r="E209"/>
  <c r="E219"/>
  <c r="F219"/>
  <c r="L223"/>
  <c r="L205"/>
  <c r="L262"/>
  <c r="L247"/>
  <c r="L218"/>
  <c r="L206"/>
  <c r="E238"/>
  <c r="F238"/>
  <c r="E210"/>
  <c r="F210"/>
  <c r="F254"/>
  <c r="E254"/>
  <c r="F220"/>
  <c r="E220"/>
  <c r="E248"/>
  <c r="F248"/>
  <c r="F251"/>
  <c r="E251"/>
  <c r="E207"/>
  <c r="F207"/>
  <c r="E221"/>
  <c r="F221"/>
  <c r="F240"/>
  <c r="E240"/>
  <c r="F232"/>
  <c r="E232"/>
  <c r="F228"/>
  <c r="E228"/>
  <c r="F225"/>
  <c r="E225"/>
  <c r="L251" l="1"/>
  <c r="L226"/>
  <c r="L252"/>
  <c r="O216"/>
  <c r="L214"/>
  <c r="N221"/>
  <c r="L236"/>
  <c r="L238"/>
  <c r="L258"/>
  <c r="N229"/>
  <c r="N210"/>
  <c r="L215"/>
  <c r="L233"/>
  <c r="D43"/>
  <c r="N242"/>
  <c r="L225"/>
  <c r="O263"/>
  <c r="A45"/>
  <c r="B44"/>
  <c r="C44"/>
  <c r="L220"/>
  <c r="L245"/>
  <c r="N259"/>
  <c r="N250"/>
  <c r="O212"/>
  <c r="L211"/>
  <c r="L219"/>
  <c r="L213"/>
  <c r="L256"/>
  <c r="N228"/>
  <c r="N224"/>
  <c r="L257"/>
  <c r="L264"/>
  <c r="O226"/>
  <c r="N226"/>
  <c r="N214"/>
  <c r="O214"/>
  <c r="N208"/>
  <c r="O208"/>
  <c r="L222"/>
  <c r="N255"/>
  <c r="O255"/>
  <c r="N207"/>
  <c r="O207"/>
  <c r="N240"/>
  <c r="O240"/>
  <c r="L244"/>
  <c r="N241"/>
  <c r="O241"/>
  <c r="O257"/>
  <c r="N257"/>
  <c r="N264"/>
  <c r="O264"/>
  <c r="O218"/>
  <c r="N218"/>
  <c r="N262"/>
  <c r="O262"/>
  <c r="O223"/>
  <c r="N223"/>
  <c r="O211"/>
  <c r="N211"/>
  <c r="N225"/>
  <c r="O225"/>
  <c r="L253"/>
  <c r="L239"/>
  <c r="N232"/>
  <c r="O232"/>
  <c r="N227"/>
  <c r="O227"/>
  <c r="O252"/>
  <c r="N252"/>
  <c r="N219"/>
  <c r="O219"/>
  <c r="N251"/>
  <c r="O251"/>
  <c r="N213"/>
  <c r="O213"/>
  <c r="N256"/>
  <c r="O256"/>
  <c r="O233"/>
  <c r="N233"/>
  <c r="N258"/>
  <c r="O258"/>
  <c r="O205"/>
  <c r="N205"/>
  <c r="R205"/>
  <c r="O235"/>
  <c r="N235"/>
  <c r="O249"/>
  <c r="N249"/>
  <c r="L254"/>
  <c r="M254"/>
  <c r="R254" s="1"/>
  <c r="N238"/>
  <c r="O238"/>
  <c r="O215"/>
  <c r="N215"/>
  <c r="O206"/>
  <c r="R206"/>
  <c r="N206"/>
  <c r="N237"/>
  <c r="N247"/>
  <c r="O247"/>
  <c r="L209"/>
  <c r="L231"/>
  <c r="N260"/>
  <c r="O260"/>
  <c r="N261"/>
  <c r="O261"/>
  <c r="O243"/>
  <c r="N243"/>
  <c r="N236"/>
  <c r="O236"/>
  <c r="O245"/>
  <c r="N245"/>
  <c r="O220"/>
  <c r="N220"/>
  <c r="O237" l="1"/>
  <c r="O221"/>
  <c r="N234"/>
  <c r="T221"/>
  <c r="N216"/>
  <c r="O234"/>
  <c r="S216"/>
  <c r="N246"/>
  <c r="O246"/>
  <c r="N263"/>
  <c r="S229"/>
  <c r="O265"/>
  <c r="O248"/>
  <c r="N248"/>
  <c r="N212"/>
  <c r="O230"/>
  <c r="O229"/>
  <c r="N265"/>
  <c r="N230"/>
  <c r="O210"/>
  <c r="O242"/>
  <c r="O224"/>
  <c r="S242"/>
  <c r="T210"/>
  <c r="T212"/>
  <c r="O250"/>
  <c r="T250"/>
  <c r="T263"/>
  <c r="N217"/>
  <c r="D44"/>
  <c r="T224"/>
  <c r="O259"/>
  <c r="O217"/>
  <c r="B45"/>
  <c r="A46"/>
  <c r="C45"/>
  <c r="S259"/>
  <c r="S228"/>
  <c r="O228"/>
  <c r="S243"/>
  <c r="T243"/>
  <c r="O209"/>
  <c r="N209"/>
  <c r="T215"/>
  <c r="S215"/>
  <c r="T265"/>
  <c r="S265"/>
  <c r="T256"/>
  <c r="S256"/>
  <c r="S251"/>
  <c r="T251"/>
  <c r="T219"/>
  <c r="S219"/>
  <c r="T242"/>
  <c r="T227"/>
  <c r="S227"/>
  <c r="N239"/>
  <c r="O239"/>
  <c r="T211"/>
  <c r="S211"/>
  <c r="T257"/>
  <c r="S257"/>
  <c r="T241"/>
  <c r="S241"/>
  <c r="S240"/>
  <c r="T240"/>
  <c r="S255"/>
  <c r="T255"/>
  <c r="S214"/>
  <c r="T214"/>
  <c r="S245"/>
  <c r="T245"/>
  <c r="T229"/>
  <c r="T249"/>
  <c r="S249"/>
  <c r="T246"/>
  <c r="S246"/>
  <c r="T233"/>
  <c r="S233"/>
  <c r="T252"/>
  <c r="S252"/>
  <c r="T223"/>
  <c r="S223"/>
  <c r="T262"/>
  <c r="S262"/>
  <c r="T208"/>
  <c r="S208"/>
  <c r="T226"/>
  <c r="S226"/>
  <c r="T236"/>
  <c r="S236"/>
  <c r="O231"/>
  <c r="N231"/>
  <c r="T206"/>
  <c r="S206"/>
  <c r="O254"/>
  <c r="N254"/>
  <c r="S205"/>
  <c r="T205"/>
  <c r="T213"/>
  <c r="S213"/>
  <c r="S232"/>
  <c r="T232"/>
  <c r="T217"/>
  <c r="S217"/>
  <c r="T264"/>
  <c r="S264"/>
  <c r="N244"/>
  <c r="O244"/>
  <c r="T248"/>
  <c r="S248"/>
  <c r="T230"/>
  <c r="S230"/>
  <c r="T220"/>
  <c r="S220"/>
  <c r="S261"/>
  <c r="T261"/>
  <c r="T260"/>
  <c r="S260"/>
  <c r="T247"/>
  <c r="S247"/>
  <c r="T237"/>
  <c r="S237"/>
  <c r="S238"/>
  <c r="T238"/>
  <c r="S235"/>
  <c r="T235"/>
  <c r="T258"/>
  <c r="S258"/>
  <c r="O253"/>
  <c r="N253"/>
  <c r="T225"/>
  <c r="S225"/>
  <c r="S218"/>
  <c r="T218"/>
  <c r="T234"/>
  <c r="S234"/>
  <c r="T207"/>
  <c r="S207"/>
  <c r="O222"/>
  <c r="N222"/>
  <c r="S221" l="1"/>
  <c r="S224"/>
  <c r="T216"/>
  <c r="S263"/>
  <c r="S210"/>
  <c r="S212"/>
  <c r="S250"/>
  <c r="T228"/>
  <c r="T259"/>
  <c r="A47"/>
  <c r="B46"/>
  <c r="C46"/>
  <c r="D45"/>
  <c r="T222"/>
  <c r="S222"/>
  <c r="T239"/>
  <c r="S239"/>
  <c r="T209"/>
  <c r="S209"/>
  <c r="S254"/>
  <c r="T254"/>
  <c r="T231"/>
  <c r="S231"/>
  <c r="S253"/>
  <c r="T253"/>
  <c r="S244"/>
  <c r="T244"/>
  <c r="D46" l="1"/>
  <c r="A48"/>
  <c r="B47"/>
  <c r="C47"/>
  <c r="D47" l="1"/>
  <c r="A49"/>
  <c r="B48"/>
  <c r="C48"/>
  <c r="D48" l="1"/>
  <c r="A50"/>
  <c r="B49"/>
  <c r="C49"/>
  <c r="D49" l="1"/>
  <c r="A51"/>
  <c r="B50"/>
  <c r="C50"/>
  <c r="D50" l="1"/>
  <c r="A52"/>
  <c r="B51"/>
  <c r="C51"/>
  <c r="D51" l="1"/>
  <c r="A53"/>
  <c r="B52"/>
  <c r="C52"/>
  <c r="D52" l="1"/>
  <c r="A54"/>
  <c r="B53"/>
  <c r="C53"/>
  <c r="D53" l="1"/>
  <c r="A55"/>
  <c r="B54"/>
  <c r="C54"/>
  <c r="D54" l="1"/>
  <c r="A56"/>
  <c r="B55"/>
  <c r="C55"/>
  <c r="D55" l="1"/>
  <c r="A57"/>
  <c r="B56"/>
  <c r="C56"/>
  <c r="D56" l="1"/>
  <c r="A58"/>
  <c r="B57"/>
  <c r="C57"/>
  <c r="D57" l="1"/>
  <c r="A59"/>
  <c r="B58"/>
  <c r="C58"/>
  <c r="D58" l="1"/>
  <c r="A60"/>
  <c r="B59"/>
  <c r="C59"/>
  <c r="D59" l="1"/>
  <c r="B60"/>
  <c r="A61"/>
  <c r="C60"/>
  <c r="A62" l="1"/>
  <c r="B61"/>
  <c r="C61"/>
  <c r="D60"/>
  <c r="A63" l="1"/>
  <c r="B62"/>
  <c r="C62"/>
  <c r="D61"/>
  <c r="A64" l="1"/>
  <c r="B63"/>
  <c r="C63"/>
  <c r="D62"/>
  <c r="A65" l="1"/>
  <c r="B64"/>
  <c r="C64"/>
  <c r="D63"/>
  <c r="A66" l="1"/>
  <c r="B65"/>
  <c r="C65"/>
  <c r="D64"/>
  <c r="A67" l="1"/>
  <c r="B66"/>
  <c r="C66"/>
  <c r="D65"/>
  <c r="A68" l="1"/>
  <c r="B67"/>
  <c r="C67"/>
  <c r="D66"/>
  <c r="B68" l="1"/>
  <c r="A69"/>
  <c r="C68"/>
  <c r="D67"/>
  <c r="D68" l="1"/>
  <c r="B69"/>
  <c r="C69"/>
  <c r="A70"/>
  <c r="D69" l="1"/>
  <c r="B70"/>
  <c r="A71"/>
  <c r="C70"/>
  <c r="D70" l="1"/>
  <c r="C71"/>
  <c r="A72"/>
  <c r="B71"/>
  <c r="D71" l="1"/>
  <c r="A73"/>
  <c r="B72"/>
  <c r="C72"/>
  <c r="D72" l="1"/>
  <c r="B73"/>
  <c r="C73"/>
  <c r="A74"/>
  <c r="A75" l="1"/>
  <c r="B74"/>
  <c r="C74"/>
  <c r="D73"/>
  <c r="B75" l="1"/>
  <c r="D75" s="1"/>
  <c r="A76"/>
  <c r="C75"/>
  <c r="D74"/>
  <c r="B76" l="1"/>
  <c r="D76" s="1"/>
  <c r="A77"/>
  <c r="C76"/>
  <c r="A78" l="1"/>
  <c r="B77"/>
  <c r="C77"/>
  <c r="A79" l="1"/>
  <c r="C78"/>
  <c r="B78"/>
  <c r="D78" s="1"/>
  <c r="D77"/>
  <c r="A80" l="1"/>
  <c r="C79"/>
  <c r="B79"/>
  <c r="D79" s="1"/>
  <c r="A81" l="1"/>
  <c r="C80"/>
  <c r="B80"/>
  <c r="D80" s="1"/>
  <c r="A82" l="1"/>
  <c r="B81"/>
  <c r="C81"/>
  <c r="B82" l="1"/>
  <c r="D82" s="1"/>
  <c r="C82"/>
  <c r="A83"/>
  <c r="D81"/>
  <c r="C83" l="1"/>
  <c r="B83"/>
  <c r="A84"/>
  <c r="A85" l="1"/>
  <c r="C84"/>
  <c r="B84"/>
  <c r="D84" s="1"/>
  <c r="D83"/>
  <c r="B85" l="1"/>
  <c r="A86"/>
  <c r="C85"/>
  <c r="D85" l="1"/>
  <c r="A87"/>
  <c r="C86"/>
  <c r="B86"/>
  <c r="D86" l="1"/>
  <c r="A88"/>
  <c r="B87"/>
  <c r="C87"/>
  <c r="B88" l="1"/>
  <c r="C88"/>
  <c r="A89"/>
  <c r="D87"/>
  <c r="D88" l="1"/>
  <c r="C89"/>
  <c r="A90"/>
  <c r="B89"/>
  <c r="D89" l="1"/>
  <c r="C90"/>
  <c r="A91"/>
  <c r="B90"/>
  <c r="D90" l="1"/>
  <c r="B91"/>
  <c r="C91"/>
  <c r="A92"/>
  <c r="D91" l="1"/>
  <c r="A93"/>
  <c r="B92"/>
  <c r="C92"/>
  <c r="C93" l="1"/>
  <c r="A94"/>
  <c r="B93"/>
  <c r="D92"/>
  <c r="D93" l="1"/>
  <c r="A95"/>
  <c r="B94"/>
  <c r="C94"/>
  <c r="D94" l="1"/>
  <c r="A96"/>
  <c r="B95"/>
  <c r="C95"/>
  <c r="D95" l="1"/>
  <c r="B96"/>
  <c r="C96"/>
  <c r="A97"/>
  <c r="B97" l="1"/>
  <c r="A98"/>
  <c r="C97"/>
  <c r="D96"/>
  <c r="D97" l="1"/>
  <c r="B98"/>
  <c r="A99"/>
  <c r="C98"/>
  <c r="D98" l="1"/>
  <c r="C99"/>
  <c r="A100"/>
  <c r="B99"/>
  <c r="D99" l="1"/>
  <c r="A101"/>
  <c r="B100"/>
  <c r="C100"/>
  <c r="D100" l="1"/>
  <c r="B101"/>
  <c r="C101"/>
  <c r="A102"/>
  <c r="C102" l="1"/>
  <c r="A103"/>
  <c r="B102"/>
  <c r="D101"/>
  <c r="D102" l="1"/>
  <c r="A104"/>
  <c r="C103"/>
  <c r="B103"/>
  <c r="D103" l="1"/>
  <c r="B104"/>
  <c r="C104"/>
  <c r="A105"/>
  <c r="D104" l="1"/>
  <c r="B105"/>
  <c r="C105"/>
  <c r="A106"/>
  <c r="D105" l="1"/>
  <c r="C106"/>
  <c r="B106"/>
  <c r="A107"/>
  <c r="B107" l="1"/>
  <c r="C107"/>
  <c r="A108"/>
  <c r="D106"/>
  <c r="D107" l="1"/>
  <c r="A109"/>
  <c r="B108"/>
  <c r="C108"/>
  <c r="A110" l="1"/>
  <c r="B109"/>
  <c r="C109"/>
  <c r="D108"/>
  <c r="A111" l="1"/>
  <c r="C110"/>
  <c r="B110"/>
  <c r="D110" s="1"/>
  <c r="D109"/>
  <c r="B111" l="1"/>
  <c r="C111"/>
  <c r="A112"/>
  <c r="D111" l="1"/>
  <c r="C112"/>
  <c r="A113"/>
  <c r="B112"/>
  <c r="D112" l="1"/>
  <c r="B113"/>
  <c r="A114"/>
  <c r="C113"/>
  <c r="A115" l="1"/>
  <c r="C114"/>
  <c r="B114"/>
  <c r="D114" s="1"/>
  <c r="D113"/>
  <c r="B115" l="1"/>
  <c r="A116"/>
  <c r="C115"/>
  <c r="D115" l="1"/>
  <c r="B116"/>
  <c r="C116"/>
  <c r="A117"/>
  <c r="D116" l="1"/>
  <c r="A118"/>
  <c r="B117"/>
  <c r="C117"/>
  <c r="B118" l="1"/>
  <c r="A119"/>
  <c r="C118"/>
  <c r="D117"/>
  <c r="D118" l="1"/>
  <c r="B119"/>
  <c r="C119"/>
  <c r="A120"/>
  <c r="D119" l="1"/>
  <c r="C120"/>
  <c r="A121"/>
  <c r="B120"/>
  <c r="D120" l="1"/>
  <c r="A122"/>
  <c r="B121"/>
  <c r="C121"/>
  <c r="D121" l="1"/>
  <c r="B122"/>
  <c r="C122"/>
  <c r="A123"/>
  <c r="C123" l="1"/>
  <c r="A124"/>
  <c r="B123"/>
  <c r="D122"/>
  <c r="D123" l="1"/>
  <c r="A125"/>
  <c r="B124"/>
  <c r="C124"/>
  <c r="D124" l="1"/>
  <c r="B125"/>
  <c r="C125"/>
  <c r="A126"/>
  <c r="B126" l="1"/>
  <c r="C126"/>
  <c r="A127"/>
  <c r="D125"/>
  <c r="D126" l="1"/>
  <c r="A128"/>
  <c r="C127"/>
  <c r="B127"/>
  <c r="D127" l="1"/>
  <c r="A129"/>
  <c r="B128"/>
  <c r="C128"/>
  <c r="C129" l="1"/>
  <c r="B129"/>
  <c r="A130"/>
  <c r="D128"/>
  <c r="B130" l="1"/>
  <c r="A131"/>
  <c r="C130"/>
  <c r="D129"/>
  <c r="D130" l="1"/>
  <c r="A132"/>
  <c r="C131"/>
  <c r="B131"/>
  <c r="D131" l="1"/>
  <c r="B132"/>
  <c r="A133"/>
  <c r="C132"/>
  <c r="D132" l="1"/>
  <c r="B133"/>
  <c r="C133"/>
  <c r="A134"/>
  <c r="D133" l="1"/>
  <c r="A135"/>
  <c r="B134"/>
  <c r="C134"/>
  <c r="B135" l="1"/>
  <c r="A136"/>
  <c r="C135"/>
  <c r="D134"/>
  <c r="D135" l="1"/>
  <c r="C136"/>
  <c r="A137"/>
  <c r="B136"/>
  <c r="D136" l="1"/>
  <c r="A138"/>
  <c r="C137"/>
  <c r="B137"/>
  <c r="D137" l="1"/>
  <c r="A139"/>
  <c r="B138"/>
  <c r="C138"/>
  <c r="C139" l="1"/>
  <c r="B139"/>
  <c r="A140"/>
  <c r="D138"/>
  <c r="B140" l="1"/>
  <c r="A141"/>
  <c r="C140"/>
  <c r="D139"/>
  <c r="D140" l="1"/>
  <c r="C141"/>
  <c r="A142"/>
  <c r="B141"/>
  <c r="D141" l="1"/>
  <c r="A143"/>
  <c r="B142"/>
  <c r="C142"/>
  <c r="D142" l="1"/>
  <c r="C143"/>
  <c r="A144"/>
  <c r="B143"/>
  <c r="D143" l="1"/>
  <c r="B144"/>
  <c r="C144"/>
  <c r="A145"/>
  <c r="D144" l="1"/>
  <c r="A146"/>
  <c r="B145"/>
  <c r="C145"/>
  <c r="D145" l="1"/>
  <c r="B146"/>
  <c r="C146"/>
  <c r="A147"/>
  <c r="D146" l="1"/>
  <c r="A148"/>
  <c r="C147"/>
  <c r="B147"/>
  <c r="C148" l="1"/>
  <c r="B148"/>
  <c r="A149"/>
  <c r="D147"/>
  <c r="D148" l="1"/>
  <c r="C149"/>
  <c r="A150"/>
  <c r="B149"/>
  <c r="D149" s="1"/>
  <c r="A151" l="1"/>
  <c r="C150"/>
  <c r="B150"/>
  <c r="D150" s="1"/>
  <c r="C151" l="1"/>
  <c r="B151"/>
  <c r="A152"/>
  <c r="D151" l="1"/>
  <c r="B152"/>
  <c r="C152"/>
  <c r="A153"/>
  <c r="B153" l="1"/>
  <c r="C153"/>
  <c r="A154"/>
  <c r="D152"/>
  <c r="A155" l="1"/>
  <c r="C154"/>
  <c r="B154"/>
  <c r="D154" s="1"/>
  <c r="D153"/>
  <c r="A156" l="1"/>
  <c r="C155"/>
  <c r="B155"/>
  <c r="D155" l="1"/>
  <c r="B156"/>
  <c r="C156"/>
  <c r="A157"/>
  <c r="D156" l="1"/>
  <c r="A158"/>
  <c r="B157"/>
  <c r="C157"/>
  <c r="C158" l="1"/>
  <c r="A159"/>
  <c r="B158"/>
  <c r="D157"/>
  <c r="D158" l="1"/>
  <c r="B159"/>
  <c r="C159"/>
  <c r="A160"/>
  <c r="B160" l="1"/>
  <c r="C160"/>
  <c r="A161"/>
  <c r="D159"/>
  <c r="D160" l="1"/>
  <c r="A162"/>
  <c r="C161"/>
  <c r="B161"/>
  <c r="D161" l="1"/>
  <c r="B162"/>
  <c r="A163"/>
  <c r="C162"/>
  <c r="D162" l="1"/>
  <c r="C163"/>
  <c r="B163"/>
  <c r="A164"/>
  <c r="B164" l="1"/>
  <c r="A165"/>
  <c r="C164"/>
  <c r="D163"/>
  <c r="D164" l="1"/>
  <c r="C165"/>
  <c r="A166"/>
  <c r="B165"/>
  <c r="D165" l="1"/>
  <c r="B166"/>
  <c r="C166"/>
  <c r="A167"/>
  <c r="A168" l="1"/>
  <c r="C167"/>
  <c r="B167"/>
  <c r="D167" s="1"/>
  <c r="D166"/>
  <c r="B168" l="1"/>
  <c r="C168"/>
  <c r="A169"/>
  <c r="D168" l="1"/>
  <c r="A170"/>
  <c r="C169"/>
  <c r="B169"/>
  <c r="D169" l="1"/>
  <c r="B170"/>
  <c r="A171"/>
  <c r="C170"/>
  <c r="D170" l="1"/>
  <c r="A172"/>
  <c r="C171"/>
  <c r="B171"/>
  <c r="D171" s="1"/>
  <c r="B172" l="1"/>
  <c r="A173"/>
  <c r="C172"/>
  <c r="D172" l="1"/>
  <c r="B173"/>
  <c r="A174"/>
  <c r="C173"/>
  <c r="D173" l="1"/>
  <c r="B174"/>
  <c r="C174"/>
</calcChain>
</file>

<file path=xl/sharedStrings.xml><?xml version="1.0" encoding="utf-8"?>
<sst xmlns="http://schemas.openxmlformats.org/spreadsheetml/2006/main" count="699" uniqueCount="495">
  <si>
    <t>Minimum Input Voltage from AC Line:</t>
  </si>
  <si>
    <t>Maximum Input Voltage from AC Line:</t>
  </si>
  <si>
    <t>Maximum Rectified AC Line Voltage:</t>
  </si>
  <si>
    <t>Minimum Rectified AC Line Voltage:</t>
  </si>
  <si>
    <t>Minimum Line Frequency:</t>
  </si>
  <si>
    <t>Hz</t>
  </si>
  <si>
    <t>Maximum Line Frequency:</t>
  </si>
  <si>
    <t>HZ</t>
  </si>
  <si>
    <r>
      <t>f</t>
    </r>
    <r>
      <rPr>
        <vertAlign val="subscript"/>
        <sz val="10"/>
        <rFont val="Arial"/>
        <family val="2"/>
      </rPr>
      <t>LINE(min):</t>
    </r>
  </si>
  <si>
    <r>
      <t>f</t>
    </r>
    <r>
      <rPr>
        <vertAlign val="subscript"/>
        <sz val="10"/>
        <rFont val="Arial"/>
        <family val="2"/>
      </rPr>
      <t>LINE(max):</t>
    </r>
  </si>
  <si>
    <r>
      <t>f</t>
    </r>
    <r>
      <rPr>
        <vertAlign val="subscript"/>
        <sz val="10"/>
        <rFont val="Arial"/>
        <family val="2"/>
      </rPr>
      <t>LINE(nom)</t>
    </r>
  </si>
  <si>
    <t>h</t>
  </si>
  <si>
    <t>Predicted Efficiency:</t>
  </si>
  <si>
    <t>V</t>
  </si>
  <si>
    <t>W</t>
  </si>
  <si>
    <r>
      <t>P</t>
    </r>
    <r>
      <rPr>
        <vertAlign val="subscript"/>
        <sz val="10"/>
        <rFont val="Arial"/>
        <family val="2"/>
      </rPr>
      <t>OUT(max)</t>
    </r>
  </si>
  <si>
    <t>PF</t>
  </si>
  <si>
    <t>Maximum Input Power Drawn from the Line:</t>
  </si>
  <si>
    <r>
      <t>P</t>
    </r>
    <r>
      <rPr>
        <vertAlign val="subscript"/>
        <sz val="10"/>
        <rFont val="Arial"/>
        <family val="2"/>
      </rPr>
      <t>IN(max)</t>
    </r>
  </si>
  <si>
    <t>Maximum RMS AC Line Current:</t>
  </si>
  <si>
    <t>A</t>
  </si>
  <si>
    <t>Maximum Peak AC Line Current, assuming sinusoidal:</t>
  </si>
  <si>
    <t>Maximum Average AC Line Current, assuming sinusoidal:</t>
  </si>
  <si>
    <t>OUTPUT:</t>
  </si>
  <si>
    <t>INPUT:</t>
  </si>
  <si>
    <t>Nominal Input Voltage from AC Line  (i.e.115 VRMS):</t>
  </si>
  <si>
    <t>Nominal Line Frequency (i.e. 50 Hz):</t>
  </si>
  <si>
    <t>shaded</t>
  </si>
  <si>
    <t xml:space="preserve">cells; </t>
  </si>
  <si>
    <t>INPUT CAPACITOR:</t>
  </si>
  <si>
    <t>Maximum Inductor Voltage Ripple:</t>
  </si>
  <si>
    <t>Maximum Input Capacitor Value:</t>
  </si>
  <si>
    <r>
      <t>m</t>
    </r>
    <r>
      <rPr>
        <sz val="10"/>
        <rFont val="Arial"/>
        <family val="2"/>
      </rPr>
      <t>F</t>
    </r>
  </si>
  <si>
    <t>BOOST INDUCTOR DESIGN:</t>
  </si>
  <si>
    <t>Maximum Duty Cycle:</t>
  </si>
  <si>
    <t>Maximum Inductor Peak Current:</t>
  </si>
  <si>
    <r>
      <t>I</t>
    </r>
    <r>
      <rPr>
        <vertAlign val="subscript"/>
        <sz val="10"/>
        <rFont val="Arial"/>
        <family val="2"/>
      </rPr>
      <t>BRIDGE(RATED)</t>
    </r>
  </si>
  <si>
    <t>Bridge Rectifier Power Dissipation:</t>
  </si>
  <si>
    <r>
      <t>P</t>
    </r>
    <r>
      <rPr>
        <vertAlign val="subscript"/>
        <sz val="10"/>
        <rFont val="Arial"/>
        <family val="2"/>
      </rPr>
      <t>BRIDGE</t>
    </r>
  </si>
  <si>
    <t>Maximum Output Power of PFC Stage:</t>
  </si>
  <si>
    <t>mH</t>
  </si>
  <si>
    <t>Actual Boost Inductor Value Used:</t>
  </si>
  <si>
    <r>
      <t>L</t>
    </r>
    <r>
      <rPr>
        <vertAlign val="subscript"/>
        <sz val="10"/>
        <rFont val="Arial"/>
        <family val="2"/>
      </rPr>
      <t>BST(actual)</t>
    </r>
  </si>
  <si>
    <r>
      <t>V</t>
    </r>
    <r>
      <rPr>
        <vertAlign val="subscript"/>
        <sz val="10"/>
        <rFont val="Arial"/>
        <family val="2"/>
      </rPr>
      <t>IN_RIPPLE</t>
    </r>
  </si>
  <si>
    <r>
      <t>°</t>
    </r>
    <r>
      <rPr>
        <sz val="10"/>
        <rFont val="Arial"/>
        <family val="2"/>
      </rPr>
      <t>C/W</t>
    </r>
  </si>
  <si>
    <r>
      <t>T</t>
    </r>
    <r>
      <rPr>
        <vertAlign val="subscript"/>
        <sz val="10"/>
        <rFont val="Arial"/>
        <family val="2"/>
      </rPr>
      <t>J(max)</t>
    </r>
  </si>
  <si>
    <r>
      <t>°</t>
    </r>
    <r>
      <rPr>
        <sz val="10"/>
        <rFont val="Arial"/>
        <family val="2"/>
      </rPr>
      <t>C</t>
    </r>
  </si>
  <si>
    <t>Maximum Ambient Temperature:</t>
  </si>
  <si>
    <t>Bridge Rectifier Thermal Resistance, Junction to Case:</t>
  </si>
  <si>
    <t>Bridge Rectifier Maximum Junction Temperature:</t>
  </si>
  <si>
    <r>
      <t>T</t>
    </r>
    <r>
      <rPr>
        <vertAlign val="subscript"/>
        <sz val="10"/>
        <rFont val="Arial"/>
        <family val="2"/>
      </rPr>
      <t>AMB(max)</t>
    </r>
  </si>
  <si>
    <t>Maximum Output Current of PFC Stage:</t>
  </si>
  <si>
    <r>
      <t>I</t>
    </r>
    <r>
      <rPr>
        <vertAlign val="subscript"/>
        <sz val="10"/>
        <rFont val="Arial"/>
        <family val="2"/>
      </rPr>
      <t>RIPPLE</t>
    </r>
  </si>
  <si>
    <r>
      <t>V</t>
    </r>
    <r>
      <rPr>
        <vertAlign val="subscript"/>
        <sz val="10"/>
        <rFont val="Arial"/>
        <family val="2"/>
      </rPr>
      <t>IN_RECTIFIED(min)</t>
    </r>
  </si>
  <si>
    <r>
      <t>V</t>
    </r>
    <r>
      <rPr>
        <vertAlign val="subscript"/>
        <sz val="10"/>
        <rFont val="Arial"/>
        <family val="2"/>
      </rPr>
      <t>IN_RECTIFIED(max)</t>
    </r>
  </si>
  <si>
    <r>
      <t>I</t>
    </r>
    <r>
      <rPr>
        <vertAlign val="subscript"/>
        <sz val="10"/>
        <rFont val="Arial"/>
        <family val="2"/>
      </rPr>
      <t>IN_RMS(max)</t>
    </r>
  </si>
  <si>
    <r>
      <t>I</t>
    </r>
    <r>
      <rPr>
        <vertAlign val="subscript"/>
        <sz val="10"/>
        <rFont val="Arial"/>
        <family val="2"/>
      </rPr>
      <t>IN_PEAK(max)</t>
    </r>
  </si>
  <si>
    <r>
      <t>I</t>
    </r>
    <r>
      <rPr>
        <vertAlign val="subscript"/>
        <sz val="10"/>
        <rFont val="Arial"/>
        <family val="2"/>
      </rPr>
      <t>IN_AVG(max)</t>
    </r>
  </si>
  <si>
    <r>
      <t>I</t>
    </r>
    <r>
      <rPr>
        <vertAlign val="subscript"/>
        <sz val="10"/>
        <rFont val="Arial"/>
        <family val="2"/>
      </rPr>
      <t>FUSE</t>
    </r>
  </si>
  <si>
    <r>
      <t>V</t>
    </r>
    <r>
      <rPr>
        <vertAlign val="subscript"/>
        <sz val="10"/>
        <rFont val="Arial"/>
        <family val="2"/>
      </rPr>
      <t>F_BRIDGE</t>
    </r>
  </si>
  <si>
    <r>
      <t>R</t>
    </r>
    <r>
      <rPr>
        <vertAlign val="subscript"/>
        <sz val="10"/>
        <rFont val="Symbol"/>
        <family val="1"/>
        <charset val="2"/>
      </rPr>
      <t>q</t>
    </r>
    <r>
      <rPr>
        <vertAlign val="subscript"/>
        <sz val="10"/>
        <rFont val="Arial"/>
        <family val="2"/>
      </rPr>
      <t>JC(Bridge)</t>
    </r>
  </si>
  <si>
    <t>Required Heat Sink Thermal Impedance:</t>
  </si>
  <si>
    <r>
      <t>R</t>
    </r>
    <r>
      <rPr>
        <vertAlign val="subscript"/>
        <sz val="10"/>
        <rFont val="Symbol"/>
        <family val="1"/>
        <charset val="2"/>
      </rPr>
      <t>q</t>
    </r>
    <r>
      <rPr>
        <vertAlign val="subscript"/>
        <sz val="10"/>
        <rFont val="Arial"/>
        <family val="2"/>
      </rPr>
      <t>HS_AMB(Bridge)</t>
    </r>
  </si>
  <si>
    <r>
      <t>I</t>
    </r>
    <r>
      <rPr>
        <vertAlign val="subscript"/>
        <sz val="10"/>
        <rFont val="Arial"/>
        <family val="2"/>
      </rPr>
      <t>L_PEAK(max)</t>
    </r>
  </si>
  <si>
    <r>
      <t>DUTY</t>
    </r>
    <r>
      <rPr>
        <vertAlign val="subscript"/>
        <sz val="10"/>
        <rFont val="Arial"/>
        <family val="2"/>
      </rPr>
      <t>(max)</t>
    </r>
  </si>
  <si>
    <t>VCC</t>
  </si>
  <si>
    <r>
      <t>V</t>
    </r>
    <r>
      <rPr>
        <vertAlign val="subscript"/>
        <sz val="10"/>
        <rFont val="Arial"/>
        <family val="2"/>
      </rPr>
      <t>GS</t>
    </r>
  </si>
  <si>
    <r>
      <t>Q</t>
    </r>
    <r>
      <rPr>
        <vertAlign val="subscript"/>
        <sz val="10"/>
        <rFont val="Arial"/>
        <family val="2"/>
      </rPr>
      <t>g</t>
    </r>
  </si>
  <si>
    <t>nC</t>
  </si>
  <si>
    <r>
      <t>P</t>
    </r>
    <r>
      <rPr>
        <vertAlign val="subscript"/>
        <sz val="10"/>
        <rFont val="Arial"/>
        <family val="2"/>
      </rPr>
      <t>GATE</t>
    </r>
  </si>
  <si>
    <t>Gate-Source Voltage:</t>
  </si>
  <si>
    <r>
      <t>FET Gate Charge at V</t>
    </r>
    <r>
      <rPr>
        <vertAlign val="subscript"/>
        <sz val="10"/>
        <rFont val="Arial"/>
        <family val="2"/>
      </rPr>
      <t>GS:</t>
    </r>
  </si>
  <si>
    <r>
      <t>R</t>
    </r>
    <r>
      <rPr>
        <vertAlign val="subscript"/>
        <sz val="10"/>
        <rFont val="Arial"/>
        <family val="2"/>
      </rPr>
      <t>DSon</t>
    </r>
  </si>
  <si>
    <t>Drain-Source RMS Current:</t>
  </si>
  <si>
    <r>
      <t>I</t>
    </r>
    <r>
      <rPr>
        <vertAlign val="subscript"/>
        <sz val="10"/>
        <rFont val="Arial"/>
        <family val="2"/>
      </rPr>
      <t>DS_RMS</t>
    </r>
  </si>
  <si>
    <t>FET Conduction Losses:</t>
  </si>
  <si>
    <r>
      <t>P</t>
    </r>
    <r>
      <rPr>
        <vertAlign val="subscript"/>
        <sz val="10"/>
        <rFont val="Arial"/>
        <family val="2"/>
      </rPr>
      <t>COND</t>
    </r>
  </si>
  <si>
    <t>FET Output Capacitance:</t>
  </si>
  <si>
    <r>
      <t>C</t>
    </r>
    <r>
      <rPr>
        <vertAlign val="subscript"/>
        <sz val="10"/>
        <rFont val="Arial"/>
        <family val="2"/>
      </rPr>
      <t>OSS</t>
    </r>
  </si>
  <si>
    <t>BOOST DIODE:</t>
  </si>
  <si>
    <t>SWITCHING ELEMENT:</t>
  </si>
  <si>
    <r>
      <t>Forward Voltage Drop, at I</t>
    </r>
    <r>
      <rPr>
        <vertAlign val="subscript"/>
        <sz val="10"/>
        <rFont val="Arial"/>
        <family val="2"/>
      </rPr>
      <t>L_PEAK(max)</t>
    </r>
    <r>
      <rPr>
        <sz val="10"/>
        <rFont val="Arial"/>
        <family val="2"/>
      </rPr>
      <t>,125</t>
    </r>
    <r>
      <rPr>
        <sz val="10"/>
        <rFont val="Symbol"/>
        <family val="1"/>
        <charset val="2"/>
      </rPr>
      <t>°</t>
    </r>
    <r>
      <rPr>
        <sz val="10"/>
        <rFont val="Arial"/>
        <family val="2"/>
      </rPr>
      <t>C</t>
    </r>
  </si>
  <si>
    <r>
      <t>V</t>
    </r>
    <r>
      <rPr>
        <vertAlign val="subscript"/>
        <sz val="10"/>
        <rFont val="Arial"/>
        <family val="2"/>
      </rPr>
      <t>F</t>
    </r>
  </si>
  <si>
    <t>Reverse Recovery Charge:</t>
  </si>
  <si>
    <r>
      <t>Q</t>
    </r>
    <r>
      <rPr>
        <vertAlign val="subscript"/>
        <sz val="10"/>
        <rFont val="Arial"/>
        <family val="2"/>
      </rPr>
      <t>RR</t>
    </r>
  </si>
  <si>
    <r>
      <t>P</t>
    </r>
    <r>
      <rPr>
        <vertAlign val="subscript"/>
        <sz val="10"/>
        <rFont val="Arial"/>
        <family val="2"/>
      </rPr>
      <t>DIODE(cond)</t>
    </r>
  </si>
  <si>
    <t>Reverse Recovery Losses</t>
  </si>
  <si>
    <r>
      <t>P</t>
    </r>
    <r>
      <rPr>
        <vertAlign val="subscript"/>
        <sz val="10"/>
        <rFont val="Arial"/>
        <family val="2"/>
      </rPr>
      <t>REVERSE</t>
    </r>
  </si>
  <si>
    <t>Boost Diode Conduction Losses:</t>
  </si>
  <si>
    <t>Total Boost Diode Losses:</t>
  </si>
  <si>
    <r>
      <t>P</t>
    </r>
    <r>
      <rPr>
        <vertAlign val="subscript"/>
        <sz val="10"/>
        <rFont val="Arial"/>
        <family val="2"/>
      </rPr>
      <t>DIODE(total)</t>
    </r>
  </si>
  <si>
    <t>Boost Diode Maximum Junction Temperature:</t>
  </si>
  <si>
    <t>Boost Diode Thermal Resistance, Junction to Case:</t>
  </si>
  <si>
    <r>
      <t>R</t>
    </r>
    <r>
      <rPr>
        <vertAlign val="subscript"/>
        <sz val="10"/>
        <rFont val="Symbol"/>
        <family val="1"/>
        <charset val="2"/>
      </rPr>
      <t>q</t>
    </r>
    <r>
      <rPr>
        <vertAlign val="subscript"/>
        <sz val="10"/>
        <rFont val="Arial"/>
        <family val="2"/>
      </rPr>
      <t>JC(Diode)</t>
    </r>
  </si>
  <si>
    <r>
      <t>R</t>
    </r>
    <r>
      <rPr>
        <vertAlign val="subscript"/>
        <sz val="10"/>
        <rFont val="Symbol"/>
        <family val="1"/>
        <charset val="2"/>
      </rPr>
      <t>q</t>
    </r>
    <r>
      <rPr>
        <vertAlign val="subscript"/>
        <sz val="10"/>
        <rFont val="Arial"/>
        <family val="2"/>
      </rPr>
      <t>HS_AMB(Diode)</t>
    </r>
  </si>
  <si>
    <t>Boost Diode Thermal Resistance, Case to Heatsink:</t>
  </si>
  <si>
    <r>
      <t>R</t>
    </r>
    <r>
      <rPr>
        <vertAlign val="subscript"/>
        <sz val="10"/>
        <rFont val="Symbol"/>
        <family val="1"/>
        <charset val="2"/>
      </rPr>
      <t>q</t>
    </r>
    <r>
      <rPr>
        <vertAlign val="subscript"/>
        <sz val="10"/>
        <rFont val="Arial"/>
        <family val="2"/>
      </rPr>
      <t>JC(Case_HS)</t>
    </r>
  </si>
  <si>
    <t>pF</t>
  </si>
  <si>
    <t>FET Switching Losses:</t>
  </si>
  <si>
    <r>
      <t>P</t>
    </r>
    <r>
      <rPr>
        <vertAlign val="subscript"/>
        <sz val="10"/>
        <rFont val="Arial"/>
        <family val="2"/>
      </rPr>
      <t>SW</t>
    </r>
  </si>
  <si>
    <t>FET Losses, Total:</t>
  </si>
  <si>
    <r>
      <t>P</t>
    </r>
    <r>
      <rPr>
        <vertAlign val="subscript"/>
        <sz val="10"/>
        <rFont val="Arial"/>
        <family val="2"/>
      </rPr>
      <t>FET</t>
    </r>
  </si>
  <si>
    <t>BRIDGE RECTIFIER:</t>
  </si>
  <si>
    <r>
      <t>R</t>
    </r>
    <r>
      <rPr>
        <vertAlign val="subscript"/>
        <sz val="10"/>
        <rFont val="Symbol"/>
        <family val="1"/>
        <charset val="2"/>
      </rPr>
      <t>q</t>
    </r>
    <r>
      <rPr>
        <vertAlign val="subscript"/>
        <sz val="10"/>
        <rFont val="Arial"/>
        <family val="2"/>
      </rPr>
      <t>HS_AMB(FET)</t>
    </r>
  </si>
  <si>
    <t>FET Maximum Junction Temperature:</t>
  </si>
  <si>
    <t>FET Thermal Resistance, Junction to Case:</t>
  </si>
  <si>
    <r>
      <t>R</t>
    </r>
    <r>
      <rPr>
        <vertAlign val="subscript"/>
        <sz val="10"/>
        <rFont val="Symbol"/>
        <family val="1"/>
        <charset val="2"/>
      </rPr>
      <t>q</t>
    </r>
    <r>
      <rPr>
        <vertAlign val="subscript"/>
        <sz val="10"/>
        <rFont val="Arial"/>
        <family val="2"/>
      </rPr>
      <t>JC(FET)</t>
    </r>
  </si>
  <si>
    <t>CURRENT SENSE RESISTOR:</t>
  </si>
  <si>
    <t>Bridge Rectifier Minimum DC Blocking Voltage Rating:</t>
  </si>
  <si>
    <t>Bridge Rectifier Minimum Average Current Rating:</t>
  </si>
  <si>
    <r>
      <t>V</t>
    </r>
    <r>
      <rPr>
        <vertAlign val="subscript"/>
        <sz val="10"/>
        <rFont val="Arial"/>
        <family val="2"/>
      </rPr>
      <t>DC_BLOCKING(RATED</t>
    </r>
    <r>
      <rPr>
        <sz val="10"/>
        <rFont val="Arial"/>
        <family val="2"/>
      </rPr>
      <t>)</t>
    </r>
  </si>
  <si>
    <r>
      <t>R</t>
    </r>
    <r>
      <rPr>
        <vertAlign val="subscript"/>
        <sz val="10"/>
        <rFont val="Arial"/>
        <family val="2"/>
      </rPr>
      <t>SENSE</t>
    </r>
  </si>
  <si>
    <r>
      <t>I</t>
    </r>
    <r>
      <rPr>
        <vertAlign val="subscript"/>
        <sz val="10"/>
        <rFont val="Arial"/>
        <family val="2"/>
      </rPr>
      <t>OVERCURRENT</t>
    </r>
    <r>
      <rPr>
        <sz val="10"/>
        <rFont val="Arial"/>
        <family val="2"/>
      </rPr>
      <t>_</t>
    </r>
    <r>
      <rPr>
        <vertAlign val="subscript"/>
        <sz val="10"/>
        <rFont val="Arial"/>
        <family val="2"/>
      </rPr>
      <t>SOC</t>
    </r>
  </si>
  <si>
    <r>
      <t>Power Dissipated in R</t>
    </r>
    <r>
      <rPr>
        <vertAlign val="subscript"/>
        <sz val="10"/>
        <rFont val="Arial"/>
        <family val="2"/>
      </rPr>
      <t>SENSE</t>
    </r>
    <r>
      <rPr>
        <sz val="10"/>
        <rFont val="Arial"/>
        <family val="2"/>
      </rPr>
      <t>:</t>
    </r>
  </si>
  <si>
    <r>
      <t>P</t>
    </r>
    <r>
      <rPr>
        <vertAlign val="subscript"/>
        <sz val="10"/>
        <rFont val="Arial"/>
        <family val="2"/>
      </rPr>
      <t>Rsense</t>
    </r>
  </si>
  <si>
    <t>ISENSE Peak Current Limit Threshold:</t>
  </si>
  <si>
    <r>
      <t>I</t>
    </r>
    <r>
      <rPr>
        <vertAlign val="subscript"/>
        <sz val="10"/>
        <rFont val="Arial"/>
        <family val="2"/>
      </rPr>
      <t>PCL</t>
    </r>
  </si>
  <si>
    <r>
      <t>Bridge Rectifier Forward Voltage, at I</t>
    </r>
    <r>
      <rPr>
        <vertAlign val="subscript"/>
        <sz val="10"/>
        <rFont val="Arial"/>
        <family val="2"/>
      </rPr>
      <t>IN_PEAK(max)</t>
    </r>
    <r>
      <rPr>
        <sz val="10"/>
        <rFont val="Arial"/>
        <family val="2"/>
      </rPr>
      <t>:</t>
    </r>
  </si>
  <si>
    <r>
      <t>I</t>
    </r>
    <r>
      <rPr>
        <vertAlign val="subscript"/>
        <sz val="10"/>
        <rFont val="Arial"/>
        <family val="2"/>
      </rPr>
      <t>OUT_OVERCURRENT</t>
    </r>
  </si>
  <si>
    <t>Maximum Inrush Current:</t>
  </si>
  <si>
    <r>
      <t>I</t>
    </r>
    <r>
      <rPr>
        <vertAlign val="subscript"/>
        <sz val="10"/>
        <rFont val="Arial"/>
        <family val="2"/>
      </rPr>
      <t>INRUSH</t>
    </r>
  </si>
  <si>
    <r>
      <t>R</t>
    </r>
    <r>
      <rPr>
        <vertAlign val="subscript"/>
        <sz val="10"/>
        <rFont val="Arial"/>
        <family val="2"/>
      </rPr>
      <t>THERM</t>
    </r>
  </si>
  <si>
    <t>Theoretical Output Overcurrent Inception Point:</t>
  </si>
  <si>
    <t>ISENSE Filter Capacitor:</t>
  </si>
  <si>
    <t>OUTPUT CAPACITOR:</t>
  </si>
  <si>
    <t>ms</t>
  </si>
  <si>
    <t>Inductor Current at Soft Overcurrent Threshold:</t>
  </si>
  <si>
    <t>Required Minimum Output Voltage:</t>
  </si>
  <si>
    <r>
      <t>V</t>
    </r>
    <r>
      <rPr>
        <vertAlign val="subscript"/>
        <sz val="10"/>
        <rFont val="Arial"/>
        <family val="2"/>
      </rPr>
      <t>OUT_HOLDUP(min)</t>
    </r>
  </si>
  <si>
    <r>
      <t>C</t>
    </r>
    <r>
      <rPr>
        <vertAlign val="subscript"/>
        <sz val="10"/>
        <rFont val="Arial"/>
        <family val="2"/>
      </rPr>
      <t>OUT</t>
    </r>
  </si>
  <si>
    <t>Output Voltage Peak to Peak Ripple:</t>
  </si>
  <si>
    <r>
      <t>V</t>
    </r>
    <r>
      <rPr>
        <vertAlign val="subscript"/>
        <sz val="10"/>
        <rFont val="Arial"/>
        <family val="2"/>
      </rPr>
      <t>OUT_RIPPLEpp</t>
    </r>
  </si>
  <si>
    <r>
      <t>I</t>
    </r>
    <r>
      <rPr>
        <vertAlign val="subscript"/>
        <sz val="10"/>
        <rFont val="Arial"/>
        <family val="2"/>
      </rPr>
      <t>Cout_2fline</t>
    </r>
  </si>
  <si>
    <r>
      <t>I</t>
    </r>
    <r>
      <rPr>
        <vertAlign val="subscript"/>
        <sz val="10"/>
        <rFont val="Arial"/>
        <family val="2"/>
      </rPr>
      <t>Cout_HF</t>
    </r>
  </si>
  <si>
    <r>
      <t>A</t>
    </r>
    <r>
      <rPr>
        <vertAlign val="subscript"/>
        <sz val="10"/>
        <rFont val="Arial"/>
        <family val="2"/>
      </rPr>
      <t>RMS</t>
    </r>
  </si>
  <si>
    <t>Output Capacitor High Frequency Ripple Current:</t>
  </si>
  <si>
    <t>Output Capacitor Ripple Current at Twice Line Frequency:</t>
  </si>
  <si>
    <r>
      <t>I</t>
    </r>
    <r>
      <rPr>
        <vertAlign val="subscript"/>
        <sz val="10"/>
        <rFont val="Arial"/>
        <family val="2"/>
      </rPr>
      <t>Cout_RMS(total)</t>
    </r>
  </si>
  <si>
    <t>Actual Output Capacitor Value:</t>
  </si>
  <si>
    <t>Recommended Value for the Top Divider Resistor:</t>
  </si>
  <si>
    <r>
      <t>M</t>
    </r>
    <r>
      <rPr>
        <sz val="10"/>
        <rFont val="Symbol"/>
        <family val="1"/>
        <charset val="2"/>
      </rPr>
      <t>W</t>
    </r>
  </si>
  <si>
    <t>Actual Value of the Top Divider Resistor:</t>
  </si>
  <si>
    <r>
      <t>R</t>
    </r>
    <r>
      <rPr>
        <vertAlign val="subscript"/>
        <sz val="10"/>
        <rFont val="Arial"/>
        <family val="2"/>
      </rPr>
      <t>FB1(actual)</t>
    </r>
  </si>
  <si>
    <t>Recommended Value for the Bottom Divider Resistor:</t>
  </si>
  <si>
    <r>
      <t>R</t>
    </r>
    <r>
      <rPr>
        <vertAlign val="subscript"/>
        <sz val="10"/>
        <rFont val="Arial"/>
        <family val="2"/>
      </rPr>
      <t>FB2(actual)</t>
    </r>
  </si>
  <si>
    <r>
      <t>k</t>
    </r>
    <r>
      <rPr>
        <sz val="10"/>
        <rFont val="Symbol"/>
        <family val="1"/>
        <charset val="2"/>
      </rPr>
      <t>W</t>
    </r>
  </si>
  <si>
    <t>Actual Nominal Output Voltage:</t>
  </si>
  <si>
    <r>
      <t>V</t>
    </r>
    <r>
      <rPr>
        <vertAlign val="subscript"/>
        <sz val="10"/>
        <rFont val="Arial"/>
        <family val="2"/>
      </rPr>
      <t>OUT</t>
    </r>
  </si>
  <si>
    <t>OUTPUT VOLTAGE SET POINT:</t>
  </si>
  <si>
    <r>
      <t>V</t>
    </r>
    <r>
      <rPr>
        <vertAlign val="subscript"/>
        <sz val="10"/>
        <rFont val="Arial"/>
        <family val="2"/>
      </rPr>
      <t>OVP</t>
    </r>
  </si>
  <si>
    <t>OVP Set Point: Typical DC Output Voltage to Trigger OVP</t>
  </si>
  <si>
    <t>BROWN-OUT PROTECTION:</t>
  </si>
  <si>
    <t>Desired AC Line Voltage Turn-On Threshold:</t>
  </si>
  <si>
    <r>
      <t>V</t>
    </r>
    <r>
      <rPr>
        <vertAlign val="subscript"/>
        <sz val="10"/>
        <rFont val="Arial"/>
        <family val="2"/>
      </rPr>
      <t>AC(on)</t>
    </r>
  </si>
  <si>
    <r>
      <t>V</t>
    </r>
    <r>
      <rPr>
        <vertAlign val="subscript"/>
        <sz val="10"/>
        <rFont val="Arial"/>
        <family val="2"/>
      </rPr>
      <t>RMS</t>
    </r>
  </si>
  <si>
    <t>Maximum VINS Divider Resistor Power Dissipation:</t>
  </si>
  <si>
    <r>
      <t>P</t>
    </r>
    <r>
      <rPr>
        <vertAlign val="subscript"/>
        <sz val="10"/>
        <rFont val="Arial"/>
        <family val="2"/>
      </rPr>
      <t>R_VINS1</t>
    </r>
  </si>
  <si>
    <t>mW</t>
  </si>
  <si>
    <t>Recommended Value of VINS Top Divider Resistor:</t>
  </si>
  <si>
    <r>
      <t>Actual Value for R</t>
    </r>
    <r>
      <rPr>
        <vertAlign val="subscript"/>
        <sz val="10"/>
        <rFont val="Arial"/>
        <family val="2"/>
      </rPr>
      <t>SENSE</t>
    </r>
    <r>
      <rPr>
        <sz val="10"/>
        <rFont val="Arial"/>
        <family val="2"/>
      </rPr>
      <t>: Current Sense Resistor</t>
    </r>
  </si>
  <si>
    <r>
      <t>FET On-Resistance at  T</t>
    </r>
    <r>
      <rPr>
        <vertAlign val="subscript"/>
        <sz val="10"/>
        <rFont val="Arial"/>
        <family val="2"/>
      </rPr>
      <t>J</t>
    </r>
    <r>
      <rPr>
        <sz val="10"/>
        <rFont val="Arial"/>
        <family val="2"/>
      </rPr>
      <t xml:space="preserve"> = 125°C: </t>
    </r>
  </si>
  <si>
    <t>FET Rise Time:</t>
  </si>
  <si>
    <r>
      <t>t</t>
    </r>
    <r>
      <rPr>
        <vertAlign val="subscript"/>
        <sz val="10"/>
        <rFont val="Arial"/>
        <family val="2"/>
      </rPr>
      <t>r</t>
    </r>
  </si>
  <si>
    <t>ns</t>
  </si>
  <si>
    <t>ISENSE Series Resistor:</t>
  </si>
  <si>
    <t>COMPENSATION:</t>
  </si>
  <si>
    <t>M1M2</t>
  </si>
  <si>
    <t>VCOMP</t>
  </si>
  <si>
    <r>
      <t>M</t>
    </r>
    <r>
      <rPr>
        <vertAlign val="subscript"/>
        <sz val="10"/>
        <rFont val="Arial"/>
        <family val="2"/>
      </rPr>
      <t>1</t>
    </r>
    <r>
      <rPr>
        <sz val="10"/>
        <rFont val="Arial"/>
        <family val="2"/>
      </rPr>
      <t/>
    </r>
  </si>
  <si>
    <r>
      <t>M</t>
    </r>
    <r>
      <rPr>
        <vertAlign val="subscript"/>
        <sz val="10"/>
        <rFont val="Arial"/>
        <family val="2"/>
      </rPr>
      <t>2</t>
    </r>
    <r>
      <rPr>
        <sz val="10"/>
        <rFont val="Arial"/>
        <family val="2"/>
      </rPr>
      <t/>
    </r>
  </si>
  <si>
    <r>
      <t>V/</t>
    </r>
    <r>
      <rPr>
        <sz val="10"/>
        <rFont val="Symbol"/>
        <family val="1"/>
        <charset val="2"/>
      </rPr>
      <t>m</t>
    </r>
    <r>
      <rPr>
        <sz val="10"/>
        <rFont val="Arial"/>
        <family val="2"/>
      </rPr>
      <t>s</t>
    </r>
  </si>
  <si>
    <t>M1</t>
  </si>
  <si>
    <t>M2</t>
  </si>
  <si>
    <t>kHz</t>
  </si>
  <si>
    <t>Recommended Value for ICOMP Capacitor:</t>
  </si>
  <si>
    <t>Actual Value Used for ICOMP Capacitor:</t>
  </si>
  <si>
    <r>
      <t>C</t>
    </r>
    <r>
      <rPr>
        <vertAlign val="subscript"/>
        <sz val="10"/>
        <rFont val="Arial"/>
        <family val="2"/>
      </rPr>
      <t>ICOMP(actual)</t>
    </r>
  </si>
  <si>
    <t>Data for M1M2 vs VCOMP table</t>
  </si>
  <si>
    <t>Data For Current Averaging Bode Plot</t>
  </si>
  <si>
    <t>Gain</t>
  </si>
  <si>
    <t>Log scale converter</t>
  </si>
  <si>
    <t>frequency</t>
  </si>
  <si>
    <t>w</t>
  </si>
  <si>
    <t>Phase</t>
  </si>
  <si>
    <t xml:space="preserve">Open Loop Transfer Function for Voltage Loop:  </t>
  </si>
  <si>
    <t xml:space="preserve">Open Loop Transfer Function for Current Loop:  </t>
  </si>
  <si>
    <r>
      <t>Internal Current Loop Gain Factor M</t>
    </r>
    <r>
      <rPr>
        <vertAlign val="subscript"/>
        <sz val="10"/>
        <rFont val="Arial"/>
        <family val="2"/>
      </rPr>
      <t>1</t>
    </r>
  </si>
  <si>
    <r>
      <t>Internal Voltage Loop PWM Ramp Slope M</t>
    </r>
    <r>
      <rPr>
        <vertAlign val="subscript"/>
        <sz val="10"/>
        <rFont val="Arial"/>
        <family val="2"/>
      </rPr>
      <t>2</t>
    </r>
    <r>
      <rPr>
        <sz val="10"/>
        <rFont val="Arial"/>
        <family val="2"/>
      </rPr>
      <t/>
    </r>
  </si>
  <si>
    <t>Data for Current Averaging Chart</t>
  </si>
  <si>
    <t>x</t>
  </si>
  <si>
    <t>a(x)</t>
  </si>
  <si>
    <t>PWM to Power Stage Pole:</t>
  </si>
  <si>
    <r>
      <t>f</t>
    </r>
    <r>
      <rPr>
        <vertAlign val="subscript"/>
        <sz val="10"/>
        <rFont val="Arial"/>
        <family val="2"/>
      </rPr>
      <t>PWM_PS(pole)</t>
    </r>
  </si>
  <si>
    <t>Total Output Capacitor Ripple Current:</t>
  </si>
  <si>
    <r>
      <t>Resistor Tolerance of R</t>
    </r>
    <r>
      <rPr>
        <vertAlign val="subscript"/>
        <sz val="10"/>
        <rFont val="Arial"/>
        <family val="2"/>
      </rPr>
      <t>FB1(actual)</t>
    </r>
    <r>
      <rPr>
        <sz val="10"/>
        <rFont val="Arial"/>
        <family val="2"/>
      </rPr>
      <t>:</t>
    </r>
  </si>
  <si>
    <t>%</t>
  </si>
  <si>
    <r>
      <t>Resistor Tolerance of R</t>
    </r>
    <r>
      <rPr>
        <vertAlign val="subscript"/>
        <sz val="10"/>
        <rFont val="Arial"/>
        <family val="2"/>
      </rPr>
      <t>FB2(actual)</t>
    </r>
    <r>
      <rPr>
        <sz val="10"/>
        <rFont val="Arial"/>
        <family val="2"/>
      </rPr>
      <t>:</t>
    </r>
  </si>
  <si>
    <r>
      <t>D</t>
    </r>
    <r>
      <rPr>
        <sz val="10"/>
        <rFont val="Arial"/>
        <family val="2"/>
      </rPr>
      <t>R</t>
    </r>
    <r>
      <rPr>
        <vertAlign val="subscript"/>
        <sz val="10"/>
        <rFont val="Arial"/>
        <family val="2"/>
      </rPr>
      <t>FB1(actual)</t>
    </r>
  </si>
  <si>
    <r>
      <t>D</t>
    </r>
    <r>
      <rPr>
        <sz val="10"/>
        <rFont val="Arial"/>
        <family val="2"/>
      </rPr>
      <t>R</t>
    </r>
    <r>
      <rPr>
        <vertAlign val="subscript"/>
        <sz val="10"/>
        <rFont val="Arial"/>
        <family val="2"/>
      </rPr>
      <t>FB2(actual)</t>
    </r>
  </si>
  <si>
    <t>Data For Open Loop Voltage Bode Plot</t>
  </si>
  <si>
    <r>
      <t>Resistance of Thermistor at 25</t>
    </r>
    <r>
      <rPr>
        <sz val="10"/>
        <rFont val="Symbol"/>
        <family val="1"/>
        <charset val="2"/>
      </rPr>
      <t>°</t>
    </r>
    <r>
      <rPr>
        <sz val="10"/>
        <rFont val="Arial"/>
        <family val="2"/>
      </rPr>
      <t>C</t>
    </r>
  </si>
  <si>
    <t>Inductor Peak-to-Peak Current Ripple Factor (i.e. 0.2 for 20%, 0.3 for 30%):</t>
  </si>
  <si>
    <t>Maximum High Frequency Voltage Ripple Factor (i.e. 0.03 for 3%, 0.09 for 9%):</t>
  </si>
  <si>
    <r>
      <t>I</t>
    </r>
    <r>
      <rPr>
        <vertAlign val="subscript"/>
        <sz val="10"/>
        <rFont val="Arial"/>
        <family val="2"/>
      </rPr>
      <t>OUT</t>
    </r>
  </si>
  <si>
    <r>
      <t>V</t>
    </r>
    <r>
      <rPr>
        <vertAlign val="subscript"/>
        <sz val="10"/>
        <rFont val="Arial"/>
        <family val="2"/>
      </rPr>
      <t>IN(min)</t>
    </r>
  </si>
  <si>
    <r>
      <t>V</t>
    </r>
    <r>
      <rPr>
        <vertAlign val="subscript"/>
        <sz val="10"/>
        <rFont val="Arial"/>
        <family val="2"/>
      </rPr>
      <t>IN(max)</t>
    </r>
  </si>
  <si>
    <r>
      <t>V</t>
    </r>
    <r>
      <rPr>
        <vertAlign val="subscript"/>
        <sz val="10"/>
        <rFont val="Arial"/>
        <family val="2"/>
      </rPr>
      <t>IN(nom)</t>
    </r>
  </si>
  <si>
    <t>Voltage Feedback Gain</t>
  </si>
  <si>
    <t>PWM to Power Stage Gain</t>
  </si>
  <si>
    <t>dB</t>
  </si>
  <si>
    <t>Total Open Loop Gain</t>
  </si>
  <si>
    <t>Total Open Loop Phase</t>
  </si>
  <si>
    <r>
      <t>f</t>
    </r>
    <r>
      <rPr>
        <vertAlign val="subscript"/>
        <sz val="10"/>
        <rFont val="Arial"/>
        <family val="2"/>
      </rPr>
      <t>V</t>
    </r>
  </si>
  <si>
    <r>
      <t>Desired Voltage Loop Crossover Frequency ( f</t>
    </r>
    <r>
      <rPr>
        <vertAlign val="subscript"/>
        <sz val="10"/>
        <rFont val="Arial"/>
        <family val="2"/>
      </rPr>
      <t>V</t>
    </r>
    <r>
      <rPr>
        <sz val="10"/>
        <rFont val="Arial"/>
        <family val="2"/>
      </rPr>
      <t xml:space="preserve"> &lt; 20Hz):</t>
    </r>
  </si>
  <si>
    <r>
      <t>Open Loop Voltage Gain at Desired f</t>
    </r>
    <r>
      <rPr>
        <vertAlign val="subscript"/>
        <sz val="10"/>
        <rFont val="Arial"/>
        <family val="2"/>
      </rPr>
      <t>V</t>
    </r>
    <r>
      <rPr>
        <sz val="10"/>
        <rFont val="Arial"/>
        <family val="2"/>
      </rPr>
      <t>:</t>
    </r>
  </si>
  <si>
    <r>
      <t>G</t>
    </r>
    <r>
      <rPr>
        <vertAlign val="subscript"/>
        <sz val="10"/>
        <rFont val="Arial"/>
        <family val="2"/>
      </rPr>
      <t>VLdB</t>
    </r>
    <r>
      <rPr>
        <sz val="10"/>
        <rFont val="Arial"/>
        <family val="2"/>
      </rPr>
      <t>(f</t>
    </r>
    <r>
      <rPr>
        <vertAlign val="subscript"/>
        <sz val="10"/>
        <rFont val="Arial"/>
        <family val="2"/>
      </rPr>
      <t>V</t>
    </r>
    <r>
      <rPr>
        <sz val="10"/>
        <rFont val="Arial"/>
        <family val="2"/>
      </rPr>
      <t>)</t>
    </r>
  </si>
  <si>
    <r>
      <t>Temperature Coefficient of R</t>
    </r>
    <r>
      <rPr>
        <vertAlign val="subscript"/>
        <sz val="10"/>
        <rFont val="Arial"/>
        <family val="2"/>
      </rPr>
      <t>FB1(actual)</t>
    </r>
  </si>
  <si>
    <r>
      <t>ppm/</t>
    </r>
    <r>
      <rPr>
        <sz val="10"/>
        <rFont val="Symbol"/>
        <family val="1"/>
        <charset val="2"/>
      </rPr>
      <t>°</t>
    </r>
    <r>
      <rPr>
        <sz val="10"/>
        <rFont val="Arial"/>
        <family val="2"/>
      </rPr>
      <t>C</t>
    </r>
  </si>
  <si>
    <r>
      <t>Temperature Coefficient of R</t>
    </r>
    <r>
      <rPr>
        <vertAlign val="subscript"/>
        <sz val="10"/>
        <rFont val="Arial"/>
        <family val="2"/>
      </rPr>
      <t>FB2(actual)</t>
    </r>
  </si>
  <si>
    <r>
      <t>R</t>
    </r>
    <r>
      <rPr>
        <vertAlign val="subscript"/>
        <sz val="10"/>
        <rFont val="Arial"/>
        <family val="2"/>
      </rPr>
      <t>FB1_tempco</t>
    </r>
  </si>
  <si>
    <r>
      <t>R</t>
    </r>
    <r>
      <rPr>
        <vertAlign val="subscript"/>
        <sz val="10"/>
        <rFont val="Arial"/>
        <family val="2"/>
      </rPr>
      <t>FB2_tempco</t>
    </r>
  </si>
  <si>
    <r>
      <t>f</t>
    </r>
    <r>
      <rPr>
        <vertAlign val="subscript"/>
        <sz val="10"/>
        <rFont val="Arial"/>
        <family val="2"/>
      </rPr>
      <t>IAVG</t>
    </r>
  </si>
  <si>
    <t>Resultant Actual Current Averaging Pole Frequency:</t>
  </si>
  <si>
    <r>
      <t>f</t>
    </r>
    <r>
      <rPr>
        <vertAlign val="subscript"/>
        <sz val="10"/>
        <rFont val="Arial"/>
        <family val="2"/>
      </rPr>
      <t>IAVG(actual)</t>
    </r>
  </si>
  <si>
    <t>Minimum Input Fuse Rating:</t>
  </si>
  <si>
    <r>
      <t>C</t>
    </r>
    <r>
      <rPr>
        <b/>
        <vertAlign val="subscript"/>
        <sz val="10"/>
        <rFont val="Arial"/>
        <family val="2"/>
      </rPr>
      <t>IN</t>
    </r>
  </si>
  <si>
    <r>
      <t>L</t>
    </r>
    <r>
      <rPr>
        <b/>
        <vertAlign val="subscript"/>
        <sz val="10"/>
        <rFont val="Arial"/>
        <family val="2"/>
      </rPr>
      <t>BST</t>
    </r>
  </si>
  <si>
    <r>
      <t>R</t>
    </r>
    <r>
      <rPr>
        <b/>
        <vertAlign val="subscript"/>
        <sz val="10"/>
        <rFont val="Arial"/>
        <family val="2"/>
      </rPr>
      <t>SENSE(ideal)</t>
    </r>
  </si>
  <si>
    <r>
      <t>R</t>
    </r>
    <r>
      <rPr>
        <b/>
        <vertAlign val="subscript"/>
        <sz val="10"/>
        <rFont val="Arial"/>
        <family val="2"/>
      </rPr>
      <t>ISENSE</t>
    </r>
  </si>
  <si>
    <r>
      <t>C</t>
    </r>
    <r>
      <rPr>
        <b/>
        <vertAlign val="subscript"/>
        <sz val="10"/>
        <rFont val="Arial"/>
        <family val="2"/>
      </rPr>
      <t>ISENSE</t>
    </r>
  </si>
  <si>
    <r>
      <t>Ideal Value for R</t>
    </r>
    <r>
      <rPr>
        <b/>
        <vertAlign val="subscript"/>
        <sz val="10"/>
        <rFont val="Arial"/>
        <family val="2"/>
      </rPr>
      <t>SENSE</t>
    </r>
    <r>
      <rPr>
        <b/>
        <sz val="10"/>
        <rFont val="Arial"/>
        <family val="2"/>
      </rPr>
      <t>, for 110% Inductor SOC Threshold:</t>
    </r>
  </si>
  <si>
    <t>Minimum Boost Inductor Value:</t>
  </si>
  <si>
    <r>
      <t>C</t>
    </r>
    <r>
      <rPr>
        <b/>
        <vertAlign val="subscript"/>
        <sz val="10"/>
        <rFont val="Arial"/>
        <family val="2"/>
      </rPr>
      <t>OUT</t>
    </r>
  </si>
  <si>
    <r>
      <t>R</t>
    </r>
    <r>
      <rPr>
        <b/>
        <vertAlign val="subscript"/>
        <sz val="10"/>
        <rFont val="Arial"/>
        <family val="2"/>
      </rPr>
      <t>FB1</t>
    </r>
  </si>
  <si>
    <r>
      <t>R</t>
    </r>
    <r>
      <rPr>
        <b/>
        <vertAlign val="subscript"/>
        <sz val="10"/>
        <rFont val="Arial"/>
        <family val="2"/>
      </rPr>
      <t>FB2</t>
    </r>
  </si>
  <si>
    <r>
      <t>C</t>
    </r>
    <r>
      <rPr>
        <b/>
        <vertAlign val="subscript"/>
        <sz val="10"/>
        <rFont val="Arial"/>
        <family val="2"/>
      </rPr>
      <t>ICOMP</t>
    </r>
  </si>
  <si>
    <t>Recommended Value for Filter Capacitor on VSENSE:</t>
  </si>
  <si>
    <r>
      <t>C</t>
    </r>
    <r>
      <rPr>
        <b/>
        <vertAlign val="subscript"/>
        <sz val="10"/>
        <rFont val="Arial"/>
        <family val="2"/>
      </rPr>
      <t>VSENSE</t>
    </r>
  </si>
  <si>
    <t>Recommended Value for the Voltage Compensation Capacitor:</t>
  </si>
  <si>
    <t>rad</t>
  </si>
  <si>
    <t>degrees</t>
  </si>
  <si>
    <t>V/V</t>
  </si>
  <si>
    <r>
      <t>Actual Value Used for C</t>
    </r>
    <r>
      <rPr>
        <vertAlign val="subscript"/>
        <sz val="10"/>
        <rFont val="Arial"/>
        <family val="2"/>
      </rPr>
      <t>VCOMP</t>
    </r>
    <r>
      <rPr>
        <sz val="10"/>
        <rFont val="Arial"/>
        <family val="2"/>
      </rPr>
      <t xml:space="preserve"> Capacitor:</t>
    </r>
  </si>
  <si>
    <r>
      <t>C</t>
    </r>
    <r>
      <rPr>
        <b/>
        <vertAlign val="subscript"/>
        <sz val="10"/>
        <rFont val="Arial"/>
        <family val="2"/>
      </rPr>
      <t>VCOMP</t>
    </r>
  </si>
  <si>
    <r>
      <t>m</t>
    </r>
    <r>
      <rPr>
        <b/>
        <sz val="10"/>
        <rFont val="Arial"/>
        <family val="2"/>
      </rPr>
      <t>F</t>
    </r>
  </si>
  <si>
    <r>
      <t>k</t>
    </r>
    <r>
      <rPr>
        <b/>
        <sz val="10"/>
        <rFont val="Symbol"/>
        <family val="1"/>
        <charset val="2"/>
      </rPr>
      <t>W</t>
    </r>
  </si>
  <si>
    <r>
      <t>M</t>
    </r>
    <r>
      <rPr>
        <b/>
        <sz val="10"/>
        <rFont val="Symbol"/>
        <family val="1"/>
        <charset val="2"/>
      </rPr>
      <t>W</t>
    </r>
  </si>
  <si>
    <r>
      <t>C</t>
    </r>
    <r>
      <rPr>
        <vertAlign val="subscript"/>
        <sz val="10"/>
        <rFont val="Arial"/>
        <family val="2"/>
      </rPr>
      <t>VCOMP(actual)</t>
    </r>
  </si>
  <si>
    <t>Recommended Value for the Voltage Compensation Resistor:</t>
  </si>
  <si>
    <r>
      <t>R</t>
    </r>
    <r>
      <rPr>
        <b/>
        <vertAlign val="subscript"/>
        <sz val="10"/>
        <rFont val="Arial"/>
        <family val="2"/>
      </rPr>
      <t>VCOMP</t>
    </r>
  </si>
  <si>
    <r>
      <t>Actual Value Used for R</t>
    </r>
    <r>
      <rPr>
        <vertAlign val="subscript"/>
        <sz val="10"/>
        <rFont val="Arial"/>
        <family val="2"/>
      </rPr>
      <t>VCOMP</t>
    </r>
    <r>
      <rPr>
        <sz val="10"/>
        <rFont val="Arial"/>
        <family val="2"/>
      </rPr>
      <t xml:space="preserve"> Resistor:</t>
    </r>
  </si>
  <si>
    <r>
      <t>R</t>
    </r>
    <r>
      <rPr>
        <vertAlign val="subscript"/>
        <sz val="10"/>
        <rFont val="Arial"/>
        <family val="2"/>
      </rPr>
      <t>VCOMP(actual)</t>
    </r>
  </si>
  <si>
    <t>Resultant Value of Voltage Compensation Zero:</t>
  </si>
  <si>
    <r>
      <t>f</t>
    </r>
    <r>
      <rPr>
        <vertAlign val="subscript"/>
        <sz val="10"/>
        <rFont val="Arial"/>
        <family val="2"/>
      </rPr>
      <t>ZERO</t>
    </r>
  </si>
  <si>
    <t>Recommended Value for the Parallel Voltage Compensation Capacitor:</t>
  </si>
  <si>
    <r>
      <t>Desired Voltage Compensation Pole (f</t>
    </r>
    <r>
      <rPr>
        <vertAlign val="subscript"/>
        <sz val="10"/>
        <rFont val="Arial"/>
        <family val="2"/>
      </rPr>
      <t>Pole</t>
    </r>
    <r>
      <rPr>
        <sz val="10"/>
        <rFont val="Arial"/>
        <family val="2"/>
      </rPr>
      <t xml:space="preserve"> &lt; 50Hz)</t>
    </r>
  </si>
  <si>
    <r>
      <t>f</t>
    </r>
    <r>
      <rPr>
        <vertAlign val="subscript"/>
        <sz val="10"/>
        <rFont val="Arial"/>
        <family val="2"/>
      </rPr>
      <t>POLE</t>
    </r>
  </si>
  <si>
    <r>
      <t>C</t>
    </r>
    <r>
      <rPr>
        <b/>
        <vertAlign val="subscript"/>
        <sz val="10"/>
        <rFont val="Arial"/>
        <family val="2"/>
      </rPr>
      <t>VCOMP_P</t>
    </r>
  </si>
  <si>
    <t>Data for Closed Loop Voltage Bode Plot</t>
  </si>
  <si>
    <t>EA Gain</t>
  </si>
  <si>
    <t>Actual Value for the Parallel Voltage Compensation Capacitor:</t>
  </si>
  <si>
    <r>
      <t>C</t>
    </r>
    <r>
      <rPr>
        <vertAlign val="subscript"/>
        <sz val="10"/>
        <rFont val="Arial"/>
        <family val="2"/>
      </rPr>
      <t>VCOMP_P(actual)</t>
    </r>
  </si>
  <si>
    <t>1+sRVCOMPCVCOMP</t>
  </si>
  <si>
    <t>s(CVCOMP+CVCOMP_P)</t>
  </si>
  <si>
    <t>1+S(rvcompcvcompcvcomp_p/CVCOMP+CVCOMPP)</t>
  </si>
  <si>
    <t>Total Closed Voltage Loop Bode Plot</t>
  </si>
  <si>
    <t>Phase Margin</t>
  </si>
  <si>
    <r>
      <t>R</t>
    </r>
    <r>
      <rPr>
        <b/>
        <vertAlign val="subscript"/>
        <sz val="10"/>
        <rFont val="Arial"/>
        <family val="2"/>
      </rPr>
      <t>VINS1</t>
    </r>
  </si>
  <si>
    <t>Power Dissipated in Voltage Divider:</t>
  </si>
  <si>
    <r>
      <t>P</t>
    </r>
    <r>
      <rPr>
        <vertAlign val="subscript"/>
        <sz val="10"/>
        <rFont val="Arial"/>
        <family val="2"/>
      </rPr>
      <t>RfB1+RFB2</t>
    </r>
  </si>
  <si>
    <t>Actual Value of VINS Top Divider Resistor:</t>
  </si>
  <si>
    <r>
      <t>R</t>
    </r>
    <r>
      <rPr>
        <vertAlign val="subscript"/>
        <sz val="10"/>
        <rFont val="Arial"/>
        <family val="2"/>
      </rPr>
      <t>VINS1(actual)</t>
    </r>
  </si>
  <si>
    <r>
      <t>R</t>
    </r>
    <r>
      <rPr>
        <b/>
        <vertAlign val="subscript"/>
        <sz val="10"/>
        <rFont val="Arial"/>
        <family val="2"/>
      </rPr>
      <t>VINS2</t>
    </r>
  </si>
  <si>
    <t>Recommended Value of VINS Bottom Divider Resistor:</t>
  </si>
  <si>
    <t>Actual Value of VINS Bottom Divider Resistor:</t>
  </si>
  <si>
    <r>
      <t>R</t>
    </r>
    <r>
      <rPr>
        <vertAlign val="subscript"/>
        <sz val="10"/>
        <rFont val="Arial"/>
        <family val="2"/>
      </rPr>
      <t>VINS2(actual)</t>
    </r>
  </si>
  <si>
    <t>Desired Number of Line Cycles For Output Holdup Time  (typ one line cycle):</t>
  </si>
  <si>
    <t>Minimum Output Voltage Holdup Time</t>
  </si>
  <si>
    <r>
      <t>N</t>
    </r>
    <r>
      <rPr>
        <vertAlign val="subscript"/>
        <sz val="10"/>
        <rFont val="Arial"/>
        <family val="2"/>
      </rPr>
      <t>HOLD_UP</t>
    </r>
  </si>
  <si>
    <r>
      <t>t</t>
    </r>
    <r>
      <rPr>
        <vertAlign val="subscript"/>
        <sz val="10"/>
        <rFont val="Arial"/>
        <family val="2"/>
      </rPr>
      <t>Hold_UP(min)</t>
    </r>
  </si>
  <si>
    <r>
      <t>C</t>
    </r>
    <r>
      <rPr>
        <b/>
        <vertAlign val="subscript"/>
        <sz val="10"/>
        <rFont val="Arial"/>
        <family val="2"/>
      </rPr>
      <t>VINS</t>
    </r>
  </si>
  <si>
    <r>
      <t>Desired Current Averaging Pole Frequency (6.5kHz &lt;f</t>
    </r>
    <r>
      <rPr>
        <vertAlign val="subscript"/>
        <sz val="10"/>
        <rFont val="Arial"/>
        <family val="2"/>
      </rPr>
      <t>IAVG</t>
    </r>
    <r>
      <rPr>
        <sz val="10"/>
        <rFont val="Arial"/>
        <family val="2"/>
      </rPr>
      <t xml:space="preserve"> &lt; 13kHz)</t>
    </r>
  </si>
  <si>
    <r>
      <t>Target Power Factor, V</t>
    </r>
    <r>
      <rPr>
        <vertAlign val="subscript"/>
        <sz val="10"/>
        <rFont val="Arial"/>
        <family val="2"/>
      </rPr>
      <t>IN(nom)</t>
    </r>
    <r>
      <rPr>
        <sz val="10"/>
        <rFont val="Arial"/>
        <family val="2"/>
      </rPr>
      <t>, Full Load:</t>
    </r>
  </si>
  <si>
    <t>Maximum Allowable Inductor Current Ripple:</t>
  </si>
  <si>
    <t>Actual Maximum Inductor Ripple Current:</t>
  </si>
  <si>
    <r>
      <t>I</t>
    </r>
    <r>
      <rPr>
        <vertAlign val="subscript"/>
        <sz val="10"/>
        <rFont val="Arial"/>
        <family val="2"/>
      </rPr>
      <t>RIPPLE(actual)</t>
    </r>
  </si>
  <si>
    <t>Actual Maximum Inductor Peak Current:</t>
  </si>
  <si>
    <r>
      <t>I</t>
    </r>
    <r>
      <rPr>
        <vertAlign val="subscript"/>
        <sz val="10"/>
        <rFont val="Arial"/>
        <family val="2"/>
      </rPr>
      <t>L_PEAK(actual)</t>
    </r>
  </si>
  <si>
    <t>Gate Drive Losses (actually dissipated in the gate drive circuitry):</t>
  </si>
  <si>
    <t>UVD Set Point: Typical DC Output Voltage to Trigger UVD</t>
  </si>
  <si>
    <r>
      <t>V</t>
    </r>
    <r>
      <rPr>
        <vertAlign val="subscript"/>
        <sz val="10"/>
        <rFont val="Arial"/>
        <family val="2"/>
      </rPr>
      <t>UVD</t>
    </r>
  </si>
  <si>
    <t>1. The Macros must be ENABLED.</t>
  </si>
  <si>
    <t>2. The Analysis ToolPak Add-In must be checked.</t>
  </si>
  <si>
    <t>• Select Add-Ins</t>
  </si>
  <si>
    <t>3. Enter the desired design parameters in the YELLOW shaded boxes</t>
  </si>
  <si>
    <t>• These parameters include input and output voltages, output power, desired efficiency and power factor, along with part parameters, desired current and voltage ripple factors, etc.</t>
  </si>
  <si>
    <r>
      <t>• The User must also iterarate a value for VCOMP that will result in a satisfactory M</t>
    </r>
    <r>
      <rPr>
        <vertAlign val="subscript"/>
        <sz val="20"/>
        <rFont val="Arial"/>
        <family val="2"/>
      </rPr>
      <t>1</t>
    </r>
    <r>
      <rPr>
        <sz val="20"/>
        <rFont val="Arial"/>
        <family val="2"/>
      </rPr>
      <t>M</t>
    </r>
    <r>
      <rPr>
        <vertAlign val="subscript"/>
        <sz val="20"/>
        <rFont val="Arial"/>
        <family val="2"/>
      </rPr>
      <t>2</t>
    </r>
    <r>
      <rPr>
        <sz val="20"/>
        <rFont val="Arial"/>
        <family val="2"/>
      </rPr>
      <t xml:space="preserve"> product.</t>
    </r>
  </si>
  <si>
    <t>4. The spreadsheet will calculate the ideal values and display the results in red type.</t>
  </si>
  <si>
    <t>5. Actual standard values must be entered for the spreadsheet to calculate the gain-phase plots.</t>
  </si>
  <si>
    <r>
      <t>L</t>
    </r>
    <r>
      <rPr>
        <vertAlign val="subscript"/>
        <sz val="10"/>
        <rFont val="Arial"/>
        <family val="2"/>
      </rPr>
      <t>I_ripple_factor</t>
    </r>
  </si>
  <si>
    <r>
      <t>V</t>
    </r>
    <r>
      <rPr>
        <vertAlign val="subscript"/>
        <sz val="10"/>
        <rFont val="Arial"/>
        <family val="2"/>
      </rPr>
      <t>Cin_ripple_factor</t>
    </r>
  </si>
  <si>
    <t>RECCOMMENDED BILL OF MATERIALS</t>
  </si>
  <si>
    <t>Reference Designator</t>
  </si>
  <si>
    <t>Description/Comments</t>
  </si>
  <si>
    <t>Fuse</t>
  </si>
  <si>
    <t>Bridge Rectifier</t>
  </si>
  <si>
    <t>Cin</t>
  </si>
  <si>
    <t>Value:</t>
  </si>
  <si>
    <t>Lbst</t>
  </si>
  <si>
    <t>DC Blocking Voltage:</t>
  </si>
  <si>
    <t>Inductor Value:</t>
  </si>
  <si>
    <t>Boost Diode</t>
  </si>
  <si>
    <t>Volatge Rating:</t>
  </si>
  <si>
    <t>Power Dissipation:</t>
  </si>
  <si>
    <t>Voltage Rating:</t>
  </si>
  <si>
    <t>Switch</t>
  </si>
  <si>
    <t>Rsense</t>
  </si>
  <si>
    <t>Peak Current Rating:</t>
  </si>
  <si>
    <t>Ripple Current:</t>
  </si>
  <si>
    <t>Risense</t>
  </si>
  <si>
    <t>Cisense</t>
  </si>
  <si>
    <t>Film Capacitor, X2</t>
  </si>
  <si>
    <t>RMS Drain Current Rating:</t>
  </si>
  <si>
    <t>Resistor, Chip, 1/16W</t>
  </si>
  <si>
    <t>Capacitor, Ceramic, 100V, X7R, ±10%</t>
  </si>
  <si>
    <t>Cout</t>
  </si>
  <si>
    <t xml:space="preserve">Capacitor, Aluminum, ±20% </t>
  </si>
  <si>
    <t>Rfb1</t>
  </si>
  <si>
    <t>Rfb2</t>
  </si>
  <si>
    <t>Resistor, Chip, 1/10W, ±1%</t>
  </si>
  <si>
    <t>Type:</t>
  </si>
  <si>
    <t>Fast Acting</t>
  </si>
  <si>
    <t>Cvsense</t>
  </si>
  <si>
    <t>Capacitor, Ceramic, 50V, X7R, ±10%</t>
  </si>
  <si>
    <t>Cicomp</t>
  </si>
  <si>
    <t>Cvcomp</t>
  </si>
  <si>
    <t>Capacitor, Ceramic, 10V, X5R, ±10%</t>
  </si>
  <si>
    <t>Rvcomp</t>
  </si>
  <si>
    <t>Cvcomp_p</t>
  </si>
  <si>
    <t>Rvins1</t>
  </si>
  <si>
    <t>Resistor, Chip, Total Voltage Rating 400V, ±1%</t>
  </si>
  <si>
    <t>Rvins2</t>
  </si>
  <si>
    <t>Cvins</t>
  </si>
  <si>
    <t>Capacitor, Ceramic, 10V, X5R ±10%</t>
  </si>
  <si>
    <t>VCC Bypass Capacitors:</t>
  </si>
  <si>
    <t>Ceramic, Low ESR/ESL, placed close to the VCC and GND pins with short traces</t>
  </si>
  <si>
    <t>Values:</t>
  </si>
  <si>
    <t>Current Rating:</t>
  </si>
  <si>
    <t>Average Current Rating:</t>
  </si>
  <si>
    <t>HF Ripple Current Rating:</t>
  </si>
  <si>
    <t>Resistor, Low Inductance</t>
  </si>
  <si>
    <t>MOSFET, Nchannel</t>
  </si>
  <si>
    <t>Diode, Low Reverse Recovery Charge, Schottky</t>
  </si>
  <si>
    <r>
      <t>Minimum Output Voltage with respect to V</t>
    </r>
    <r>
      <rPr>
        <vertAlign val="subscript"/>
        <sz val="10"/>
        <rFont val="Arial"/>
        <family val="2"/>
      </rPr>
      <t xml:space="preserve">REF </t>
    </r>
    <r>
      <rPr>
        <sz val="10"/>
        <rFont val="Arial"/>
        <family val="2"/>
      </rPr>
      <t xml:space="preserve">and  Resistor Tolerance </t>
    </r>
  </si>
  <si>
    <r>
      <t>Maximum Output Voltage with respect to V</t>
    </r>
    <r>
      <rPr>
        <vertAlign val="subscript"/>
        <sz val="10"/>
        <rFont val="Arial"/>
        <family val="2"/>
      </rPr>
      <t xml:space="preserve">REF </t>
    </r>
    <r>
      <rPr>
        <sz val="10"/>
        <rFont val="Arial"/>
        <family val="2"/>
      </rPr>
      <t xml:space="preserve">and  Resistor Tolerance </t>
    </r>
  </si>
  <si>
    <t>FET Fall Time:</t>
  </si>
  <si>
    <r>
      <t>t</t>
    </r>
    <r>
      <rPr>
        <vertAlign val="subscript"/>
        <sz val="10"/>
        <rFont val="Arial"/>
        <family val="2"/>
      </rPr>
      <t>f</t>
    </r>
  </si>
  <si>
    <t>Recommended Minimum Output Capacitor Value:</t>
  </si>
  <si>
    <r>
      <t>m</t>
    </r>
    <r>
      <rPr>
        <sz val="16"/>
        <rFont val="Arial"/>
        <family val="2"/>
      </rPr>
      <t>F</t>
    </r>
  </si>
  <si>
    <r>
      <t>V</t>
    </r>
    <r>
      <rPr>
        <vertAlign val="subscript"/>
        <sz val="16"/>
        <rFont val="Arial"/>
        <family val="2"/>
      </rPr>
      <t>RMS</t>
    </r>
  </si>
  <si>
    <r>
      <t>A</t>
    </r>
    <r>
      <rPr>
        <vertAlign val="subscript"/>
        <sz val="16"/>
        <rFont val="Arial"/>
        <family val="2"/>
      </rPr>
      <t>RMS</t>
    </r>
  </si>
  <si>
    <r>
      <t>M</t>
    </r>
    <r>
      <rPr>
        <sz val="16"/>
        <rFont val="Symbol"/>
        <family val="1"/>
        <charset val="2"/>
      </rPr>
      <t>W</t>
    </r>
  </si>
  <si>
    <r>
      <t>k</t>
    </r>
    <r>
      <rPr>
        <sz val="16"/>
        <rFont val="Symbol"/>
        <family val="1"/>
        <charset val="2"/>
      </rPr>
      <t>W</t>
    </r>
  </si>
  <si>
    <r>
      <t>m</t>
    </r>
    <r>
      <rPr>
        <sz val="16"/>
        <rFont val="Arial"/>
        <family val="2"/>
      </rPr>
      <t>F</t>
    </r>
  </si>
  <si>
    <r>
      <t>Output Voltage (Note: Must be &gt; V</t>
    </r>
    <r>
      <rPr>
        <vertAlign val="subscript"/>
        <sz val="10"/>
        <rFont val="Arial"/>
        <family val="2"/>
      </rPr>
      <t>IN_RECTIFIED(max)</t>
    </r>
    <r>
      <rPr>
        <sz val="10"/>
        <rFont val="Arial"/>
        <family val="2"/>
      </rPr>
      <t>):</t>
    </r>
  </si>
  <si>
    <t>UCC28019 Design Calculator</t>
  </si>
  <si>
    <t>This spreadsheet guides the User through the design process for a CONTINUOUS CONDUCTION MODE PFC BOOST converter using the UCC28019 controller.</t>
  </si>
  <si>
    <t>VCC Bias Voltage to the UCC28019:</t>
  </si>
  <si>
    <t>Typical Schematic for a PFC Continuous Conduction Mode Boost Converter Using the UCC28019</t>
  </si>
  <si>
    <r>
      <t>2 x f</t>
    </r>
    <r>
      <rPr>
        <vertAlign val="subscript"/>
        <sz val="16"/>
        <rFont val="Arial"/>
        <family val="2"/>
      </rPr>
      <t>LINE</t>
    </r>
    <r>
      <rPr>
        <sz val="16"/>
        <rFont val="Arial"/>
        <family val="2"/>
      </rPr>
      <t xml:space="preserve"> Ripple Current Rating:</t>
    </r>
  </si>
  <si>
    <t>VIN(x)</t>
  </si>
  <si>
    <t>IAVG(x)</t>
  </si>
  <si>
    <r>
      <t>UCC28019 Design Calculator:</t>
    </r>
    <r>
      <rPr>
        <b/>
        <sz val="14"/>
        <rFont val="Arial"/>
        <family val="2"/>
      </rPr>
      <t xml:space="preserve">  </t>
    </r>
    <r>
      <rPr>
        <b/>
        <sz val="12"/>
        <rFont val="Arial"/>
        <family val="2"/>
      </rPr>
      <t>This spreadsheet guides the User through the design process of a</t>
    </r>
    <r>
      <rPr>
        <b/>
        <sz val="14"/>
        <rFont val="Arial"/>
        <family val="2"/>
      </rPr>
      <t xml:space="preserve"> </t>
    </r>
    <r>
      <rPr>
        <b/>
        <sz val="20"/>
        <color indexed="10"/>
        <rFont val="Arial"/>
        <family val="2"/>
      </rPr>
      <t>CONTINUOUS CONDUCTION MODE PFC</t>
    </r>
    <r>
      <rPr>
        <b/>
        <sz val="14"/>
        <color indexed="10"/>
        <rFont val="Arial"/>
        <family val="2"/>
      </rPr>
      <t xml:space="preserve"> Boost Converter</t>
    </r>
    <r>
      <rPr>
        <b/>
        <sz val="14"/>
        <rFont val="Arial"/>
        <family val="2"/>
      </rPr>
      <t xml:space="preserve"> </t>
    </r>
    <r>
      <rPr>
        <b/>
        <sz val="12"/>
        <rFont val="Arial"/>
        <family val="2"/>
      </rPr>
      <t>using</t>
    </r>
    <r>
      <rPr>
        <b/>
        <sz val="14"/>
        <rFont val="Arial"/>
        <family val="2"/>
      </rPr>
      <t xml:space="preserve"> </t>
    </r>
    <r>
      <rPr>
        <b/>
        <sz val="12"/>
        <rFont val="Arial"/>
        <family val="2"/>
      </rPr>
      <t>the</t>
    </r>
    <r>
      <rPr>
        <b/>
        <sz val="14"/>
        <rFont val="Arial"/>
        <family val="2"/>
      </rPr>
      <t xml:space="preserve"> UCC28019 Controller</t>
    </r>
  </si>
  <si>
    <t>• This feature can be found in the Tools Menu or in Excel Options</t>
  </si>
  <si>
    <t>Input voltage at which the compensation will be optimized</t>
  </si>
  <si>
    <t>Please enter design parameters and actual standard component values used into the</t>
  </si>
  <si>
    <r>
      <t xml:space="preserve">Actual standard values used should be based upon the Calculated results which are shown in </t>
    </r>
    <r>
      <rPr>
        <b/>
        <sz val="12"/>
        <color indexed="10"/>
        <rFont val="Arial"/>
        <family val="2"/>
      </rPr>
      <t>RED</t>
    </r>
  </si>
  <si>
    <r>
      <t>Be sure to have the</t>
    </r>
    <r>
      <rPr>
        <b/>
        <sz val="14"/>
        <color indexed="10"/>
        <rFont val="Arial"/>
        <family val="2"/>
      </rPr>
      <t xml:space="preserve"> </t>
    </r>
    <r>
      <rPr>
        <b/>
        <i/>
        <sz val="14"/>
        <color indexed="10"/>
        <rFont val="Arial"/>
        <family val="2"/>
      </rPr>
      <t>Analysis ToolPak</t>
    </r>
    <r>
      <rPr>
        <b/>
        <sz val="14"/>
        <color indexed="10"/>
        <rFont val="Arial"/>
        <family val="2"/>
      </rPr>
      <t xml:space="preserve"> </t>
    </r>
    <r>
      <rPr>
        <b/>
        <sz val="14"/>
        <rFont val="Arial"/>
        <family val="2"/>
      </rPr>
      <t>activated</t>
    </r>
  </si>
  <si>
    <t>Disclaimer</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</si>
  <si>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</si>
  <si>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mV factor</t>
  </si>
  <si>
    <t>uF factor</t>
  </si>
  <si>
    <t>kHz factor</t>
  </si>
  <si>
    <t>mΩ factor</t>
  </si>
  <si>
    <t>ms factor</t>
  </si>
  <si>
    <t>mA factor</t>
  </si>
  <si>
    <t>us factor</t>
  </si>
  <si>
    <t>uH factor</t>
  </si>
  <si>
    <t>ns factor</t>
  </si>
  <si>
    <t>mW factor</t>
  </si>
  <si>
    <t>pF factor</t>
  </si>
  <si>
    <t>MHz factor</t>
  </si>
  <si>
    <t>uA factor</t>
  </si>
  <si>
    <r>
      <t>k</t>
    </r>
    <r>
      <rPr>
        <sz val="11"/>
        <color indexed="8"/>
        <rFont val="Calibri"/>
        <family val="2"/>
      </rPr>
      <t>Ω</t>
    </r>
    <r>
      <rPr>
        <sz val="11"/>
        <color indexed="8"/>
        <rFont val="Arial"/>
        <family val="2"/>
      </rPr>
      <t xml:space="preserve"> factor</t>
    </r>
  </si>
  <si>
    <t>nC factor</t>
  </si>
  <si>
    <t>nF factor</t>
  </si>
  <si>
    <t>uC factor</t>
  </si>
  <si>
    <t>MΩ factor</t>
  </si>
  <si>
    <t>mH factor</t>
  </si>
  <si>
    <r>
      <t>K</t>
    </r>
    <r>
      <rPr>
        <vertAlign val="subscript"/>
        <sz val="11"/>
        <rFont val="Arial"/>
        <family val="2"/>
      </rPr>
      <t>1</t>
    </r>
  </si>
  <si>
    <r>
      <t>K</t>
    </r>
    <r>
      <rPr>
        <vertAlign val="subscript"/>
        <sz val="11"/>
        <rFont val="Arial"/>
        <family val="2"/>
      </rPr>
      <t>FQ</t>
    </r>
  </si>
  <si>
    <r>
      <t>f</t>
    </r>
    <r>
      <rPr>
        <vertAlign val="subscript"/>
        <sz val="11"/>
        <rFont val="Arial"/>
        <family val="2"/>
      </rPr>
      <t>TYP</t>
    </r>
  </si>
  <si>
    <t>VCOMP1</t>
  </si>
  <si>
    <r>
      <t>a</t>
    </r>
    <r>
      <rPr>
        <vertAlign val="subscript"/>
        <sz val="11"/>
        <rFont val="Arial"/>
        <family val="2"/>
      </rPr>
      <t>1</t>
    </r>
  </si>
  <si>
    <r>
      <t>b</t>
    </r>
    <r>
      <rPr>
        <vertAlign val="subscript"/>
        <sz val="11"/>
        <rFont val="Arial"/>
        <family val="2"/>
      </rPr>
      <t>1</t>
    </r>
  </si>
  <si>
    <r>
      <t>c</t>
    </r>
    <r>
      <rPr>
        <vertAlign val="subscript"/>
        <sz val="11"/>
        <rFont val="Arial"/>
        <family val="2"/>
      </rPr>
      <t>1</t>
    </r>
  </si>
  <si>
    <r>
      <t>d</t>
    </r>
    <r>
      <rPr>
        <vertAlign val="subscript"/>
        <sz val="11"/>
        <rFont val="Arial"/>
        <family val="2"/>
      </rPr>
      <t>1</t>
    </r>
  </si>
  <si>
    <t>VCOMP2</t>
  </si>
  <si>
    <r>
      <t>a</t>
    </r>
    <r>
      <rPr>
        <vertAlign val="subscript"/>
        <sz val="11"/>
        <rFont val="Arial"/>
        <family val="2"/>
      </rPr>
      <t>2</t>
    </r>
  </si>
  <si>
    <r>
      <t>b</t>
    </r>
    <r>
      <rPr>
        <vertAlign val="subscript"/>
        <sz val="11"/>
        <rFont val="Arial"/>
        <family val="2"/>
      </rPr>
      <t>2</t>
    </r>
  </si>
  <si>
    <r>
      <t>c</t>
    </r>
    <r>
      <rPr>
        <vertAlign val="subscript"/>
        <sz val="11"/>
        <rFont val="Arial"/>
        <family val="2"/>
      </rPr>
      <t>2</t>
    </r>
  </si>
  <si>
    <r>
      <t>d</t>
    </r>
    <r>
      <rPr>
        <vertAlign val="subscript"/>
        <sz val="11"/>
        <rFont val="Arial"/>
        <family val="2"/>
      </rPr>
      <t>2</t>
    </r>
  </si>
  <si>
    <t>VCOMP3</t>
  </si>
  <si>
    <r>
      <t>a</t>
    </r>
    <r>
      <rPr>
        <vertAlign val="subscript"/>
        <sz val="11"/>
        <rFont val="Arial"/>
        <family val="2"/>
      </rPr>
      <t>3</t>
    </r>
  </si>
  <si>
    <r>
      <t>b</t>
    </r>
    <r>
      <rPr>
        <vertAlign val="subscript"/>
        <sz val="11"/>
        <rFont val="Arial"/>
        <family val="2"/>
      </rPr>
      <t>3</t>
    </r>
  </si>
  <si>
    <t>VCOMP4</t>
  </si>
  <si>
    <r>
      <t>f</t>
    </r>
    <r>
      <rPr>
        <vertAlign val="subscript"/>
        <sz val="10"/>
        <rFont val="Arial"/>
        <family val="2"/>
      </rPr>
      <t>SW</t>
    </r>
  </si>
  <si>
    <r>
      <t>V</t>
    </r>
    <r>
      <rPr>
        <vertAlign val="subscript"/>
        <sz val="10"/>
        <rFont val="Arial"/>
        <family val="2"/>
      </rPr>
      <t>ISENSE_SOC</t>
    </r>
  </si>
  <si>
    <r>
      <t>V</t>
    </r>
    <r>
      <rPr>
        <vertAlign val="subscript"/>
        <sz val="10"/>
        <rFont val="Arial"/>
        <family val="2"/>
      </rPr>
      <t>PCLmax</t>
    </r>
  </si>
  <si>
    <t>Vref</t>
  </si>
  <si>
    <t>Vref_ovp</t>
  </si>
  <si>
    <t>Vref_uvd</t>
  </si>
  <si>
    <r>
      <t>t</t>
    </r>
    <r>
      <rPr>
        <vertAlign val="subscript"/>
        <sz val="10"/>
        <rFont val="Arial"/>
        <family val="2"/>
      </rPr>
      <t>RFB2Cvsense</t>
    </r>
  </si>
  <si>
    <t>uS factor</t>
  </si>
  <si>
    <t>mS factor</t>
  </si>
  <si>
    <r>
      <t>g</t>
    </r>
    <r>
      <rPr>
        <vertAlign val="subscript"/>
        <sz val="11"/>
        <rFont val="Arial"/>
        <family val="2"/>
      </rPr>
      <t>mv</t>
    </r>
  </si>
  <si>
    <r>
      <t>g</t>
    </r>
    <r>
      <rPr>
        <vertAlign val="subscript"/>
        <sz val="10"/>
        <rFont val="Arial"/>
        <family val="2"/>
      </rPr>
      <t>mi</t>
    </r>
  </si>
  <si>
    <r>
      <t>V</t>
    </r>
    <r>
      <rPr>
        <vertAlign val="subscript"/>
        <sz val="10"/>
        <rFont val="Arial"/>
        <family val="2"/>
      </rPr>
      <t>INS_ENmax</t>
    </r>
  </si>
  <si>
    <t>uA</t>
  </si>
  <si>
    <r>
      <t>I</t>
    </r>
    <r>
      <rPr>
        <vertAlign val="subscript"/>
        <sz val="10"/>
        <rFont val="Arial"/>
        <family val="2"/>
      </rPr>
      <t>VINS</t>
    </r>
  </si>
  <si>
    <t>OVP Set Point: Maximum DC Output Voltage to Trigger OVP</t>
  </si>
  <si>
    <r>
      <t>V</t>
    </r>
    <r>
      <rPr>
        <vertAlign val="subscript"/>
        <sz val="10"/>
        <rFont val="Arial"/>
        <family val="2"/>
      </rPr>
      <t>OVP(max)</t>
    </r>
  </si>
  <si>
    <t>Vref_ovp_max</t>
  </si>
  <si>
    <t>Vref_ovp_min</t>
  </si>
  <si>
    <t>OVP Set Point: Minimum DC Output Voltage to Trigger OVP</t>
  </si>
  <si>
    <r>
      <t>V</t>
    </r>
    <r>
      <rPr>
        <vertAlign val="subscript"/>
        <sz val="10"/>
        <rFont val="Arial"/>
        <family val="2"/>
      </rPr>
      <t>OVP(min)</t>
    </r>
  </si>
  <si>
    <t>Vref_uvd_max</t>
  </si>
  <si>
    <t>Vref_uvd_min</t>
  </si>
  <si>
    <t>UVD Set Point: Maximum DC Output Voltage to Trigger UVD</t>
  </si>
  <si>
    <r>
      <t>V</t>
    </r>
    <r>
      <rPr>
        <vertAlign val="subscript"/>
        <sz val="10"/>
        <rFont val="Arial"/>
        <family val="2"/>
      </rPr>
      <t>OUT(min)</t>
    </r>
  </si>
  <si>
    <r>
      <t>V</t>
    </r>
    <r>
      <rPr>
        <vertAlign val="subscript"/>
        <sz val="10"/>
        <rFont val="Arial"/>
        <family val="2"/>
      </rPr>
      <t>OUT(max)</t>
    </r>
  </si>
  <si>
    <r>
      <t>V</t>
    </r>
    <r>
      <rPr>
        <vertAlign val="subscript"/>
        <sz val="10"/>
        <rFont val="Arial"/>
        <family val="2"/>
      </rPr>
      <t>UVD(max)</t>
    </r>
  </si>
  <si>
    <r>
      <t>V</t>
    </r>
    <r>
      <rPr>
        <vertAlign val="subscript"/>
        <sz val="10"/>
        <rFont val="Arial"/>
        <family val="2"/>
      </rPr>
      <t>UVD(min)</t>
    </r>
  </si>
  <si>
    <t>UVD Set Point: Minimum DC Output Voltage to Trigger UVD</t>
  </si>
  <si>
    <r>
      <t>e</t>
    </r>
    <r>
      <rPr>
        <vertAlign val="subscript"/>
        <sz val="11"/>
        <rFont val="Arial"/>
        <family val="2"/>
      </rPr>
      <t>1</t>
    </r>
  </si>
  <si>
    <r>
      <t>f</t>
    </r>
    <r>
      <rPr>
        <vertAlign val="subscript"/>
        <sz val="11"/>
        <rFont val="Arial"/>
        <family val="2"/>
      </rPr>
      <t>1</t>
    </r>
  </si>
  <si>
    <r>
      <t>g</t>
    </r>
    <r>
      <rPr>
        <vertAlign val="subscript"/>
        <sz val="11"/>
        <rFont val="Arial"/>
        <family val="2"/>
      </rPr>
      <t>1</t>
    </r>
  </si>
  <si>
    <r>
      <t>e</t>
    </r>
    <r>
      <rPr>
        <vertAlign val="subscript"/>
        <sz val="11"/>
        <rFont val="Arial"/>
        <family val="2"/>
      </rPr>
      <t>2</t>
    </r>
  </si>
  <si>
    <r>
      <t>f</t>
    </r>
    <r>
      <rPr>
        <vertAlign val="subscript"/>
        <sz val="11"/>
        <rFont val="Arial"/>
        <family val="2"/>
      </rPr>
      <t>2</t>
    </r>
  </si>
  <si>
    <r>
      <t>g</t>
    </r>
    <r>
      <rPr>
        <vertAlign val="subscript"/>
        <sz val="11"/>
        <rFont val="Arial"/>
        <family val="2"/>
      </rPr>
      <t>2</t>
    </r>
  </si>
  <si>
    <t>Product of the Voltage Loop Variables, Nominal Line Voltage, Full Load:</t>
  </si>
  <si>
    <t>VCOMP at Nominal Line Voltage, Full Load:</t>
  </si>
  <si>
    <r>
      <t>I</t>
    </r>
    <r>
      <rPr>
        <vertAlign val="subscript"/>
        <sz val="10"/>
        <rFont val="Arial"/>
        <family val="2"/>
      </rPr>
      <t>ISENSE</t>
    </r>
  </si>
  <si>
    <r>
      <t>Non-Linear Gain Voltage Loop Variable M</t>
    </r>
    <r>
      <rPr>
        <vertAlign val="subscript"/>
        <sz val="10"/>
        <rFont val="Arial"/>
        <family val="2"/>
      </rPr>
      <t>3</t>
    </r>
  </si>
  <si>
    <r>
      <t>M</t>
    </r>
    <r>
      <rPr>
        <vertAlign val="subscript"/>
        <sz val="10"/>
        <rFont val="Arial"/>
        <family val="2"/>
      </rPr>
      <t>3</t>
    </r>
  </si>
  <si>
    <r>
      <t>V</t>
    </r>
    <r>
      <rPr>
        <vertAlign val="subscript"/>
        <sz val="10"/>
        <rFont val="Arial"/>
        <family val="2"/>
      </rPr>
      <t>INS_ENnom</t>
    </r>
  </si>
  <si>
    <r>
      <t>V</t>
    </r>
    <r>
      <rPr>
        <vertAlign val="subscript"/>
        <sz val="10"/>
        <rFont val="Arial"/>
        <family val="2"/>
      </rPr>
      <t>INS_ENmin</t>
    </r>
  </si>
  <si>
    <r>
      <t>V</t>
    </r>
    <r>
      <rPr>
        <vertAlign val="subscript"/>
        <sz val="10"/>
        <rFont val="Arial"/>
        <family val="2"/>
      </rPr>
      <t>INS_brnmin</t>
    </r>
  </si>
  <si>
    <r>
      <t>V</t>
    </r>
    <r>
      <rPr>
        <vertAlign val="subscript"/>
        <sz val="10"/>
        <rFont val="Arial"/>
        <family val="2"/>
      </rPr>
      <t>INS_brnmax</t>
    </r>
  </si>
  <si>
    <r>
      <t>V</t>
    </r>
    <r>
      <rPr>
        <vertAlign val="subscript"/>
        <sz val="10"/>
        <rFont val="Arial"/>
        <family val="2"/>
      </rPr>
      <t>INS_brnnom</t>
    </r>
  </si>
  <si>
    <t>Actual Maximum AC Line Voltage Turn-On Threshold:</t>
  </si>
  <si>
    <t>Actual Nominal AC Line Voltage Turn-On Threshold:</t>
  </si>
  <si>
    <t>Actual Minimum AC Line Voltage Turn-On Threshold:</t>
  </si>
  <si>
    <r>
      <t>V</t>
    </r>
    <r>
      <rPr>
        <vertAlign val="subscript"/>
        <sz val="10"/>
        <rFont val="Arial"/>
        <family val="2"/>
      </rPr>
      <t>AC(on)nom(actual)</t>
    </r>
  </si>
  <si>
    <r>
      <t>V</t>
    </r>
    <r>
      <rPr>
        <vertAlign val="subscript"/>
        <sz val="10"/>
        <rFont val="Arial"/>
        <family val="2"/>
      </rPr>
      <t>AC(on)max(actual)</t>
    </r>
  </si>
  <si>
    <r>
      <t>V</t>
    </r>
    <r>
      <rPr>
        <vertAlign val="subscript"/>
        <sz val="10"/>
        <rFont val="Arial"/>
        <family val="2"/>
      </rPr>
      <t>AC(on)min(actual)</t>
    </r>
  </si>
  <si>
    <t>TURN-ON THRESHOLD:</t>
  </si>
  <si>
    <t>Hold-up?</t>
  </si>
  <si>
    <t>NO</t>
  </si>
  <si>
    <t>Is Input Hold-Up Required for Line-Dropout Conditions?</t>
  </si>
  <si>
    <r>
      <t>t</t>
    </r>
    <r>
      <rPr>
        <vertAlign val="subscript"/>
        <sz val="10"/>
        <rFont val="Arial"/>
        <family val="2"/>
      </rPr>
      <t>INPUT_HOLDUP</t>
    </r>
  </si>
  <si>
    <t>AC Line Voltage Turn-Off Threshold:</t>
  </si>
  <si>
    <r>
      <t>V</t>
    </r>
    <r>
      <rPr>
        <vertAlign val="subscript"/>
        <sz val="10"/>
        <rFont val="Arial"/>
        <family val="2"/>
      </rPr>
      <t>AC(off)</t>
    </r>
  </si>
  <si>
    <r>
      <t>N</t>
    </r>
    <r>
      <rPr>
        <vertAlign val="subscript"/>
        <sz val="10"/>
        <rFont val="Arial"/>
        <family val="2"/>
      </rPr>
      <t>DROPOUT_HOLDUP</t>
    </r>
  </si>
  <si>
    <r>
      <t>Desired Number of Half Line Cycles For Line-Drop-Out (N</t>
    </r>
    <r>
      <rPr>
        <vertAlign val="subscript"/>
        <sz val="10"/>
        <rFont val="Arial"/>
        <family val="2"/>
      </rPr>
      <t>DROPOUT_HOLDUP</t>
    </r>
    <r>
      <rPr>
        <sz val="10"/>
        <rFont val="Arial"/>
        <family val="2"/>
      </rPr>
      <t xml:space="preserve"> &gt; 2*N</t>
    </r>
    <r>
      <rPr>
        <vertAlign val="subscript"/>
        <sz val="10"/>
        <rFont val="Arial"/>
        <family val="2"/>
      </rPr>
      <t>HOLD_UP</t>
    </r>
    <r>
      <rPr>
        <sz val="10"/>
        <rFont val="Arial"/>
        <family val="2"/>
      </rPr>
      <t>)</t>
    </r>
  </si>
  <si>
    <t>Actual Nominal AC Line Voltage Turn-Off Threshold During Line Drop-Out:</t>
  </si>
  <si>
    <r>
      <t>V</t>
    </r>
    <r>
      <rPr>
        <vertAlign val="subscript"/>
        <sz val="10"/>
        <rFont val="Arial"/>
        <family val="2"/>
      </rPr>
      <t>AC(off)actual(nom)</t>
    </r>
  </si>
  <si>
    <t>Actual Maximum AC Line Voltage Turn-Off Threshold During Line Drop-Out:</t>
  </si>
  <si>
    <t>Actual Minimum AC Line Voltage Turn-Off Threshold During Line Drop-Out:</t>
  </si>
  <si>
    <r>
      <t>V</t>
    </r>
    <r>
      <rPr>
        <vertAlign val="subscript"/>
        <sz val="10"/>
        <rFont val="Arial"/>
        <family val="2"/>
      </rPr>
      <t>AC(off)actual(max)</t>
    </r>
  </si>
  <si>
    <r>
      <t>V</t>
    </r>
    <r>
      <rPr>
        <vertAlign val="subscript"/>
        <sz val="10"/>
        <rFont val="Arial"/>
        <family val="2"/>
      </rPr>
      <t>AC(off)actual(min)</t>
    </r>
  </si>
  <si>
    <r>
      <t>V</t>
    </r>
    <r>
      <rPr>
        <vertAlign val="subscript"/>
        <sz val="10"/>
        <rFont val="Arial"/>
        <family val="2"/>
      </rPr>
      <t>AC(off)actual(nom)_DROPOUT</t>
    </r>
  </si>
  <si>
    <r>
      <t>V</t>
    </r>
    <r>
      <rPr>
        <vertAlign val="subscript"/>
        <sz val="10"/>
        <rFont val="Arial"/>
        <family val="2"/>
      </rPr>
      <t>AC(off)actual(max)_DROPOUT</t>
    </r>
  </si>
  <si>
    <r>
      <t>V</t>
    </r>
    <r>
      <rPr>
        <vertAlign val="subscript"/>
        <sz val="10"/>
        <rFont val="Arial"/>
        <family val="2"/>
      </rPr>
      <t>AC(off)actual(min)_DROPOUT</t>
    </r>
  </si>
  <si>
    <t>Hold-Up Time:</t>
  </si>
  <si>
    <t>Required VINS Capacitor:</t>
  </si>
  <si>
    <t>Actual Nominal AC Line Voltage Turn-Off Threshold, Brown-Out, Full Load:</t>
  </si>
  <si>
    <t>Actual Maximum AC Line Voltage Turn-Off  Threshold, Brown-Out, Full Load:</t>
  </si>
  <si>
    <t>Actual Minimum AC Line Voltage Turn-Off  Threshold, Brown-Out, Full Load:</t>
  </si>
  <si>
    <r>
      <t>C</t>
    </r>
    <r>
      <rPr>
        <vertAlign val="subscript"/>
        <sz val="10"/>
        <rFont val="Arial"/>
        <family val="2"/>
      </rPr>
      <t>VINS_HU(actual)</t>
    </r>
  </si>
  <si>
    <t>Actual VINS Capacitor Used:</t>
  </si>
  <si>
    <r>
      <t>Actual Value for R</t>
    </r>
    <r>
      <rPr>
        <vertAlign val="subscript"/>
        <sz val="10"/>
        <rFont val="Arial"/>
        <family val="2"/>
      </rPr>
      <t>ISENSE</t>
    </r>
    <r>
      <rPr>
        <sz val="10"/>
        <rFont val="Arial"/>
        <family val="2"/>
      </rPr>
      <t>:</t>
    </r>
  </si>
  <si>
    <r>
      <t>R</t>
    </r>
    <r>
      <rPr>
        <vertAlign val="subscript"/>
        <sz val="10"/>
        <rFont val="Arial"/>
        <family val="2"/>
      </rPr>
      <t>ISENSE(actual)</t>
    </r>
  </si>
  <si>
    <t>algebraic manipulation to determine constants in each region, refer to original MathCAD file</t>
  </si>
  <si>
    <t>TI Literature Number: SLUC069  Rev E</t>
  </si>
</sst>
</file>

<file path=xl/styles.xml><?xml version="1.0" encoding="utf-8"?>
<styleSheet xmlns="http://schemas.openxmlformats.org/spreadsheetml/2006/main">
  <numFmts count="2">
    <numFmt numFmtId="164" formatCode="0.000"/>
    <numFmt numFmtId="165" formatCode="0E+00"/>
  </numFmts>
  <fonts count="45">
    <font>
      <sz val="10"/>
      <name val="Arial"/>
    </font>
    <font>
      <sz val="10"/>
      <name val="Arial"/>
      <family val="2"/>
    </font>
    <font>
      <vertAlign val="subscript"/>
      <sz val="10"/>
      <name val="Arial"/>
      <family val="2"/>
    </font>
    <font>
      <sz val="10"/>
      <color indexed="10"/>
      <name val="Arial"/>
      <family val="2"/>
    </font>
    <font>
      <b/>
      <sz val="14"/>
      <name val="Arial"/>
      <family val="2"/>
    </font>
    <font>
      <b/>
      <sz val="12"/>
      <name val="Arial"/>
      <family val="2"/>
    </font>
    <font>
      <sz val="8"/>
      <name val="Arial"/>
      <family val="2"/>
    </font>
    <font>
      <sz val="10"/>
      <name val="Symbol"/>
      <family val="1"/>
      <charset val="2"/>
    </font>
    <font>
      <b/>
      <sz val="12"/>
      <name val="Arial"/>
      <family val="2"/>
    </font>
    <font>
      <b/>
      <sz val="12"/>
      <color indexed="10"/>
      <name val="Arial"/>
      <family val="2"/>
    </font>
    <font>
      <vertAlign val="subscript"/>
      <sz val="10"/>
      <name val="Symbol"/>
      <family val="1"/>
      <charset val="2"/>
    </font>
    <font>
      <sz val="10"/>
      <name val="Arial"/>
      <family val="2"/>
    </font>
    <font>
      <sz val="12"/>
      <name val="Arial"/>
      <family val="2"/>
    </font>
    <font>
      <b/>
      <sz val="10"/>
      <name val="Arial"/>
      <family val="2"/>
    </font>
    <font>
      <b/>
      <vertAlign val="subscript"/>
      <sz val="10"/>
      <name val="Arial"/>
      <family val="2"/>
    </font>
    <font>
      <sz val="10"/>
      <color indexed="10"/>
      <name val="Arial"/>
      <family val="2"/>
    </font>
    <font>
      <b/>
      <sz val="11"/>
      <name val="Arial"/>
      <family val="2"/>
    </font>
    <font>
      <b/>
      <sz val="10"/>
      <color indexed="10"/>
      <name val="Arial"/>
      <family val="2"/>
    </font>
    <font>
      <b/>
      <sz val="14"/>
      <color indexed="10"/>
      <name val="Arial"/>
      <family val="2"/>
    </font>
    <font>
      <b/>
      <sz val="20"/>
      <color indexed="10"/>
      <name val="Arial"/>
      <family val="2"/>
    </font>
    <font>
      <b/>
      <sz val="10"/>
      <name val="Symbol"/>
      <family val="1"/>
      <charset val="2"/>
    </font>
    <font>
      <b/>
      <sz val="10"/>
      <name val="Arial"/>
      <family val="2"/>
    </font>
    <font>
      <b/>
      <sz val="26"/>
      <color indexed="10"/>
      <name val="Arial"/>
      <family val="2"/>
    </font>
    <font>
      <sz val="20"/>
      <name val="Arial"/>
      <family val="2"/>
    </font>
    <font>
      <vertAlign val="subscript"/>
      <sz val="20"/>
      <name val="Arial"/>
      <family val="2"/>
    </font>
    <font>
      <b/>
      <sz val="16"/>
      <name val="Arial"/>
      <family val="2"/>
    </font>
    <font>
      <b/>
      <sz val="14"/>
      <name val="Arial"/>
      <family val="2"/>
    </font>
    <font>
      <b/>
      <i/>
      <sz val="14"/>
      <color indexed="10"/>
      <name val="Arial"/>
      <family val="2"/>
    </font>
    <font>
      <sz val="16"/>
      <color indexed="10"/>
      <name val="Arial"/>
      <family val="2"/>
    </font>
    <font>
      <sz val="16"/>
      <name val="Arial"/>
      <family val="2"/>
    </font>
    <font>
      <sz val="16"/>
      <name val="Symbol"/>
      <family val="1"/>
      <charset val="2"/>
    </font>
    <font>
      <sz val="16"/>
      <name val="Arial"/>
      <family val="2"/>
    </font>
    <font>
      <vertAlign val="subscript"/>
      <sz val="16"/>
      <name val="Arial"/>
      <family val="2"/>
    </font>
    <font>
      <sz val="10"/>
      <color rgb="FFFF0000"/>
      <name val="Arial"/>
      <family val="2"/>
    </font>
    <font>
      <sz val="10"/>
      <color rgb="FFFF0000"/>
      <name val="Symbol"/>
      <family val="1"/>
      <charset val="2"/>
    </font>
    <font>
      <sz val="20"/>
      <name val="Arial"/>
      <family val="2"/>
    </font>
    <font>
      <b/>
      <sz val="10"/>
      <color rgb="FFFF0000"/>
      <name val="Arial"/>
      <family val="2"/>
    </font>
    <font>
      <b/>
      <sz val="18"/>
      <name val="Arial"/>
      <family val="2"/>
    </font>
    <font>
      <sz val="18"/>
      <name val="Arial"/>
      <family val="2"/>
    </font>
    <font>
      <sz val="11"/>
      <name val="Arial"/>
      <family val="2"/>
    </font>
    <font>
      <sz val="11"/>
      <color theme="1"/>
      <name val="Arial"/>
      <family val="2"/>
    </font>
    <font>
      <sz val="11"/>
      <color indexed="8"/>
      <name val="Calibri"/>
      <family val="2"/>
    </font>
    <font>
      <sz val="11"/>
      <color indexed="8"/>
      <name val="Arial"/>
      <family val="2"/>
    </font>
    <font>
      <vertAlign val="subscript"/>
      <sz val="11"/>
      <name val="Arial"/>
      <family val="2"/>
    </font>
    <font>
      <b/>
      <sz val="12"/>
      <color rgb="FFFF0000"/>
      <name val="Arial"/>
      <family val="2"/>
    </font>
  </fonts>
  <fills count="6">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13">
    <xf numFmtId="0" fontId="0" fillId="0" borderId="0" xfId="0"/>
    <xf numFmtId="0" fontId="0" fillId="2" borderId="1" xfId="0" applyFill="1" applyBorder="1" applyAlignment="1" applyProtection="1">
      <alignment vertical="center"/>
      <protection locked="0"/>
    </xf>
    <xf numFmtId="164" fontId="0" fillId="2" borderId="1" xfId="0" applyNumberFormat="1" applyFill="1" applyBorder="1" applyAlignment="1" applyProtection="1">
      <alignment vertical="center"/>
      <protection locked="0"/>
    </xf>
    <xf numFmtId="1" fontId="1" fillId="2" borderId="1" xfId="0" applyNumberFormat="1" applyFont="1" applyFill="1" applyBorder="1" applyAlignment="1" applyProtection="1">
      <alignment vertical="center"/>
      <protection locked="0"/>
    </xf>
    <xf numFmtId="0" fontId="0" fillId="2" borderId="2" xfId="0" applyFill="1" applyBorder="1" applyAlignment="1" applyProtection="1">
      <alignment vertical="center"/>
      <protection locked="0"/>
    </xf>
    <xf numFmtId="0" fontId="11" fillId="2" borderId="1" xfId="0" applyFont="1" applyFill="1" applyBorder="1" applyAlignment="1" applyProtection="1">
      <alignment vertical="center"/>
      <protection locked="0"/>
    </xf>
    <xf numFmtId="0" fontId="0" fillId="0" borderId="0" xfId="0" applyAlignment="1" applyProtection="1">
      <alignment vertical="center"/>
    </xf>
    <xf numFmtId="0" fontId="0" fillId="0" borderId="3" xfId="0" applyBorder="1" applyAlignment="1" applyProtection="1">
      <alignment vertical="center"/>
    </xf>
    <xf numFmtId="0" fontId="0" fillId="0" borderId="1" xfId="0" applyBorder="1" applyAlignment="1" applyProtection="1">
      <alignment vertical="center"/>
    </xf>
    <xf numFmtId="0" fontId="0" fillId="0" borderId="4" xfId="0" applyBorder="1" applyAlignment="1" applyProtection="1">
      <alignment vertical="center"/>
    </xf>
    <xf numFmtId="0" fontId="7" fillId="0" borderId="1" xfId="0" applyFont="1" applyBorder="1" applyAlignment="1" applyProtection="1">
      <alignment vertical="center"/>
    </xf>
    <xf numFmtId="0" fontId="0" fillId="0" borderId="3" xfId="0" applyFill="1" applyBorder="1" applyAlignment="1" applyProtection="1">
      <alignment vertical="center"/>
    </xf>
    <xf numFmtId="0" fontId="0" fillId="0" borderId="1" xfId="0" applyFill="1" applyBorder="1" applyAlignment="1" applyProtection="1">
      <alignment vertical="center"/>
    </xf>
    <xf numFmtId="0" fontId="7" fillId="0" borderId="4" xfId="0" applyFont="1" applyBorder="1" applyAlignment="1" applyProtection="1">
      <alignment vertical="center"/>
    </xf>
    <xf numFmtId="0" fontId="0" fillId="0" borderId="5" xfId="0" applyBorder="1" applyAlignment="1" applyProtection="1">
      <alignment vertical="center"/>
    </xf>
    <xf numFmtId="0" fontId="0" fillId="0" borderId="6" xfId="0" applyBorder="1" applyAlignment="1" applyProtection="1">
      <alignment vertical="center"/>
    </xf>
    <xf numFmtId="164" fontId="3" fillId="0" borderId="6" xfId="0" applyNumberFormat="1" applyFont="1" applyFill="1" applyBorder="1" applyAlignment="1" applyProtection="1">
      <alignment vertical="center"/>
    </xf>
    <xf numFmtId="0" fontId="0" fillId="0" borderId="7" xfId="0" applyBorder="1" applyAlignment="1" applyProtection="1">
      <alignment vertical="center"/>
    </xf>
    <xf numFmtId="164" fontId="3" fillId="0" borderId="1" xfId="0" applyNumberFormat="1" applyFont="1" applyBorder="1" applyAlignment="1" applyProtection="1">
      <alignment vertical="center"/>
    </xf>
    <xf numFmtId="0" fontId="0" fillId="0" borderId="5" xfId="0" applyFill="1" applyBorder="1" applyAlignment="1" applyProtection="1">
      <alignment vertical="center"/>
    </xf>
    <xf numFmtId="0" fontId="0" fillId="0" borderId="6" xfId="0" applyFill="1" applyBorder="1" applyAlignment="1" applyProtection="1">
      <alignment vertical="center"/>
    </xf>
    <xf numFmtId="0" fontId="0" fillId="0" borderId="7" xfId="0" applyFill="1" applyBorder="1" applyAlignment="1" applyProtection="1">
      <alignment vertical="center"/>
    </xf>
    <xf numFmtId="0" fontId="0" fillId="0" borderId="0" xfId="0" applyBorder="1" applyAlignment="1" applyProtection="1">
      <alignment vertical="center"/>
    </xf>
    <xf numFmtId="0" fontId="0" fillId="0" borderId="4" xfId="0" applyFill="1" applyBorder="1" applyAlignment="1" applyProtection="1">
      <alignment vertical="center"/>
    </xf>
    <xf numFmtId="164" fontId="3" fillId="0" borderId="6" xfId="0" applyNumberFormat="1" applyFont="1" applyBorder="1" applyAlignment="1" applyProtection="1">
      <alignment vertical="center"/>
    </xf>
    <xf numFmtId="0" fontId="7" fillId="0" borderId="7" xfId="0" applyFont="1" applyBorder="1" applyAlignment="1" applyProtection="1">
      <alignment vertical="center"/>
    </xf>
    <xf numFmtId="0" fontId="11" fillId="0" borderId="1" xfId="0" applyFont="1" applyBorder="1" applyAlignment="1" applyProtection="1">
      <alignment vertical="center"/>
    </xf>
    <xf numFmtId="0" fontId="13" fillId="0" borderId="5" xfId="0" applyFont="1" applyBorder="1" applyAlignment="1" applyProtection="1">
      <alignment vertical="center"/>
    </xf>
    <xf numFmtId="0" fontId="13" fillId="0" borderId="6" xfId="0" applyFont="1" applyBorder="1" applyAlignment="1" applyProtection="1">
      <alignment horizontal="left" vertical="center"/>
    </xf>
    <xf numFmtId="164" fontId="17" fillId="0" borderId="6" xfId="0" applyNumberFormat="1" applyFont="1" applyBorder="1" applyAlignment="1" applyProtection="1">
      <alignment vertical="center"/>
    </xf>
    <xf numFmtId="0" fontId="20" fillId="0" borderId="7" xfId="0" applyFont="1" applyBorder="1" applyAlignment="1" applyProtection="1">
      <alignment vertical="center"/>
    </xf>
    <xf numFmtId="0" fontId="13" fillId="0" borderId="3" xfId="0" applyFont="1" applyBorder="1" applyAlignment="1" applyProtection="1">
      <alignment vertical="center"/>
    </xf>
    <xf numFmtId="0" fontId="13" fillId="0" borderId="1" xfId="0" applyFont="1" applyBorder="1" applyAlignment="1" applyProtection="1">
      <alignment vertical="center"/>
    </xf>
    <xf numFmtId="164" fontId="17" fillId="0" borderId="1" xfId="0" applyNumberFormat="1" applyFont="1" applyBorder="1" applyAlignment="1" applyProtection="1">
      <alignment vertical="center"/>
    </xf>
    <xf numFmtId="0" fontId="13" fillId="0" borderId="4" xfId="0" applyFont="1" applyBorder="1" applyAlignment="1" applyProtection="1">
      <alignment vertical="center"/>
    </xf>
    <xf numFmtId="0" fontId="3" fillId="0" borderId="1" xfId="0" applyFont="1" applyBorder="1" applyAlignment="1" applyProtection="1">
      <alignment vertical="center"/>
    </xf>
    <xf numFmtId="0" fontId="20" fillId="0" borderId="4" xfId="0" applyFont="1" applyBorder="1" applyAlignment="1" applyProtection="1">
      <alignment vertical="center"/>
    </xf>
    <xf numFmtId="0" fontId="13" fillId="0" borderId="6" xfId="0" applyFont="1" applyBorder="1" applyAlignment="1" applyProtection="1">
      <alignment vertical="center"/>
    </xf>
    <xf numFmtId="1" fontId="17" fillId="0" borderId="6" xfId="0" applyNumberFormat="1" applyFont="1" applyBorder="1" applyAlignment="1" applyProtection="1">
      <alignment vertical="center"/>
    </xf>
    <xf numFmtId="0" fontId="13" fillId="0" borderId="7" xfId="0" applyFont="1" applyBorder="1" applyAlignment="1" applyProtection="1">
      <alignment vertical="center"/>
    </xf>
    <xf numFmtId="0" fontId="0" fillId="0" borderId="0" xfId="0" applyProtection="1"/>
    <xf numFmtId="164" fontId="3" fillId="0" borderId="1" xfId="0" applyNumberFormat="1" applyFont="1" applyFill="1" applyBorder="1" applyAlignment="1" applyProtection="1">
      <alignment vertical="center"/>
    </xf>
    <xf numFmtId="0" fontId="17" fillId="0" borderId="1" xfId="0" applyFont="1" applyBorder="1" applyAlignment="1" applyProtection="1">
      <alignment vertical="center"/>
    </xf>
    <xf numFmtId="0" fontId="21" fillId="0" borderId="4" xfId="0" applyFont="1" applyBorder="1" applyAlignment="1" applyProtection="1">
      <alignment vertical="center"/>
    </xf>
    <xf numFmtId="0" fontId="0" fillId="0" borderId="8" xfId="0" applyBorder="1" applyAlignment="1" applyProtection="1">
      <alignment vertical="center"/>
    </xf>
    <xf numFmtId="0" fontId="11" fillId="0" borderId="0" xfId="0" applyFont="1" applyBorder="1" applyAlignment="1" applyProtection="1">
      <alignment vertical="center"/>
    </xf>
    <xf numFmtId="0" fontId="0" fillId="0" borderId="9" xfId="0" applyBorder="1" applyAlignment="1" applyProtection="1">
      <alignment horizontal="left" vertical="center"/>
    </xf>
    <xf numFmtId="0" fontId="11" fillId="0" borderId="5" xfId="0" applyFont="1" applyBorder="1" applyAlignment="1" applyProtection="1">
      <alignment vertical="center"/>
    </xf>
    <xf numFmtId="0" fontId="11" fillId="0" borderId="6" xfId="0" applyFont="1" applyBorder="1" applyAlignment="1" applyProtection="1">
      <alignment vertical="center"/>
    </xf>
    <xf numFmtId="164" fontId="15" fillId="0" borderId="6" xfId="0" applyNumberFormat="1" applyFont="1" applyBorder="1" applyAlignment="1" applyProtection="1">
      <alignment vertical="center"/>
    </xf>
    <xf numFmtId="0" fontId="11" fillId="0" borderId="7" xfId="0" applyFont="1" applyBorder="1" applyAlignment="1" applyProtection="1">
      <alignment vertical="center"/>
    </xf>
    <xf numFmtId="0" fontId="11" fillId="0" borderId="4" xfId="0" applyFont="1" applyBorder="1" applyAlignment="1" applyProtection="1">
      <alignment horizontal="left" vertical="center"/>
    </xf>
    <xf numFmtId="0" fontId="0" fillId="0" borderId="10" xfId="0" applyBorder="1" applyAlignment="1" applyProtection="1">
      <alignment vertical="center"/>
    </xf>
    <xf numFmtId="0" fontId="11" fillId="0" borderId="3" xfId="0" applyFont="1" applyBorder="1" applyAlignment="1" applyProtection="1">
      <alignment vertical="center"/>
    </xf>
    <xf numFmtId="164" fontId="15" fillId="0" borderId="1" xfId="0" applyNumberFormat="1" applyFont="1" applyBorder="1" applyAlignment="1" applyProtection="1">
      <alignment horizontal="right" vertical="center" shrinkToFit="1"/>
    </xf>
    <xf numFmtId="164" fontId="15" fillId="0" borderId="4" xfId="0" applyNumberFormat="1" applyFont="1" applyBorder="1" applyAlignment="1" applyProtection="1">
      <alignment horizontal="center" vertical="center"/>
    </xf>
    <xf numFmtId="164" fontId="15" fillId="0" borderId="1" xfId="0" applyNumberFormat="1" applyFont="1" applyBorder="1" applyAlignment="1" applyProtection="1">
      <alignment horizontal="right" vertical="center"/>
    </xf>
    <xf numFmtId="0" fontId="11" fillId="0" borderId="4" xfId="0" applyFont="1" applyBorder="1" applyAlignment="1" applyProtection="1">
      <alignment vertical="center"/>
    </xf>
    <xf numFmtId="164" fontId="17" fillId="0" borderId="1" xfId="0" applyNumberFormat="1" applyFont="1" applyBorder="1" applyAlignment="1" applyProtection="1">
      <alignment horizontal="right" vertical="center" shrinkToFit="1"/>
    </xf>
    <xf numFmtId="0" fontId="1" fillId="0" borderId="4" xfId="0" applyFont="1" applyBorder="1" applyAlignment="1" applyProtection="1">
      <alignment vertical="center"/>
    </xf>
    <xf numFmtId="164" fontId="17" fillId="0" borderId="1" xfId="0" applyNumberFormat="1" applyFont="1" applyBorder="1" applyAlignment="1" applyProtection="1">
      <alignment horizontal="right" vertical="center"/>
    </xf>
    <xf numFmtId="164" fontId="15" fillId="2" borderId="1" xfId="0" applyNumberFormat="1" applyFont="1" applyFill="1" applyBorder="1" applyAlignment="1" applyProtection="1">
      <alignment horizontal="right" vertical="center"/>
      <protection locked="0"/>
    </xf>
    <xf numFmtId="0" fontId="1" fillId="0" borderId="0" xfId="0" applyFont="1" applyBorder="1" applyAlignment="1" applyProtection="1">
      <alignment vertical="center"/>
      <protection hidden="1"/>
    </xf>
    <xf numFmtId="0" fontId="3" fillId="0" borderId="1" xfId="0" applyFont="1" applyFill="1" applyBorder="1" applyAlignment="1" applyProtection="1">
      <alignment vertical="center"/>
    </xf>
    <xf numFmtId="164" fontId="1" fillId="0" borderId="0" xfId="0" applyNumberFormat="1" applyFont="1" applyBorder="1" applyAlignment="1" applyProtection="1">
      <alignment horizontal="right" vertical="center" shrinkToFit="1"/>
      <protection hidden="1"/>
    </xf>
    <xf numFmtId="0" fontId="0" fillId="0" borderId="8" xfId="0" applyBorder="1" applyProtection="1"/>
    <xf numFmtId="0" fontId="0" fillId="0" borderId="0" xfId="0" applyBorder="1" applyProtection="1"/>
    <xf numFmtId="0" fontId="0" fillId="0" borderId="10" xfId="0" applyBorder="1" applyProtection="1"/>
    <xf numFmtId="0" fontId="12" fillId="0" borderId="10" xfId="0" applyFont="1" applyBorder="1" applyAlignment="1" applyProtection="1">
      <alignment horizontal="left" vertical="center"/>
    </xf>
    <xf numFmtId="164" fontId="0" fillId="0" borderId="0" xfId="0" applyNumberFormat="1" applyAlignment="1" applyProtection="1">
      <alignment vertical="center"/>
    </xf>
    <xf numFmtId="0" fontId="11" fillId="0" borderId="8" xfId="0" applyFont="1" applyBorder="1" applyAlignment="1" applyProtection="1">
      <alignment vertical="center"/>
    </xf>
    <xf numFmtId="0" fontId="11" fillId="0" borderId="10" xfId="0" applyFont="1" applyBorder="1" applyAlignment="1" applyProtection="1">
      <alignment vertical="center"/>
    </xf>
    <xf numFmtId="164" fontId="0" fillId="0" borderId="0" xfId="0" applyNumberFormat="1" applyBorder="1" applyAlignment="1" applyProtection="1">
      <alignment vertical="center"/>
    </xf>
    <xf numFmtId="0" fontId="0" fillId="0" borderId="11" xfId="0"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23" fillId="3" borderId="0" xfId="0" applyFont="1" applyFill="1" applyAlignment="1">
      <alignment vertical="center"/>
    </xf>
    <xf numFmtId="164" fontId="15" fillId="0" borderId="0" xfId="0" applyNumberFormat="1" applyFont="1" applyBorder="1" applyAlignment="1" applyProtection="1">
      <alignment horizontal="right" vertical="center"/>
    </xf>
    <xf numFmtId="0" fontId="0" fillId="0" borderId="0" xfId="0" applyAlignment="1">
      <alignment vertical="center"/>
    </xf>
    <xf numFmtId="0" fontId="0" fillId="0" borderId="0" xfId="0" applyAlignment="1">
      <alignment horizontal="left" vertical="center"/>
    </xf>
    <xf numFmtId="0" fontId="25" fillId="0" borderId="0" xfId="0" applyFont="1" applyAlignment="1" applyProtection="1">
      <alignment vertical="center"/>
      <protection locked="0"/>
    </xf>
    <xf numFmtId="0" fontId="25" fillId="3" borderId="14" xfId="0" applyFont="1" applyFill="1" applyBorder="1" applyAlignment="1">
      <alignment vertical="center" wrapText="1"/>
    </xf>
    <xf numFmtId="0" fontId="29" fillId="0" borderId="15" xfId="0" applyFont="1" applyBorder="1" applyAlignment="1">
      <alignment vertical="center"/>
    </xf>
    <xf numFmtId="0" fontId="29" fillId="0" borderId="0" xfId="0" applyFont="1" applyBorder="1" applyAlignment="1">
      <alignment vertical="center"/>
    </xf>
    <xf numFmtId="0" fontId="29" fillId="0" borderId="10" xfId="0" applyFont="1" applyBorder="1" applyAlignment="1">
      <alignment vertical="center"/>
    </xf>
    <xf numFmtId="0" fontId="29" fillId="0" borderId="12" xfId="0" applyFont="1" applyBorder="1" applyAlignment="1">
      <alignment vertical="center"/>
    </xf>
    <xf numFmtId="2" fontId="29" fillId="0" borderId="12" xfId="0" applyNumberFormat="1" applyFont="1" applyBorder="1" applyAlignment="1">
      <alignment vertical="center"/>
    </xf>
    <xf numFmtId="0" fontId="29" fillId="0" borderId="13" xfId="0" applyFont="1" applyBorder="1" applyAlignment="1">
      <alignment vertical="center"/>
    </xf>
    <xf numFmtId="1" fontId="29" fillId="0" borderId="15" xfId="0" applyNumberFormat="1" applyFont="1" applyBorder="1" applyAlignment="1">
      <alignment vertical="center"/>
    </xf>
    <xf numFmtId="0" fontId="29" fillId="0" borderId="16" xfId="0" applyFont="1" applyBorder="1" applyAlignment="1">
      <alignment vertical="center"/>
    </xf>
    <xf numFmtId="2" fontId="29" fillId="0" borderId="0" xfId="0" applyNumberFormat="1" applyFont="1" applyBorder="1" applyAlignment="1">
      <alignment vertical="center"/>
    </xf>
    <xf numFmtId="0" fontId="30" fillId="0" borderId="10" xfId="0" applyFont="1" applyBorder="1" applyAlignment="1">
      <alignment vertical="center"/>
    </xf>
    <xf numFmtId="1" fontId="29" fillId="0" borderId="0" xfId="0" applyNumberFormat="1" applyFont="1" applyBorder="1" applyAlignment="1">
      <alignment vertical="center"/>
    </xf>
    <xf numFmtId="0" fontId="31" fillId="0" borderId="10" xfId="0" applyFont="1" applyBorder="1" applyAlignment="1">
      <alignment vertical="center"/>
    </xf>
    <xf numFmtId="2" fontId="29" fillId="0" borderId="15" xfId="0" applyNumberFormat="1" applyFont="1" applyBorder="1" applyAlignment="1">
      <alignment vertical="center"/>
    </xf>
    <xf numFmtId="164" fontId="29" fillId="0" borderId="12" xfId="0" applyNumberFormat="1" applyFont="1" applyBorder="1" applyAlignment="1">
      <alignment vertical="center"/>
    </xf>
    <xf numFmtId="4" fontId="29" fillId="0" borderId="12" xfId="0" applyNumberFormat="1" applyFont="1" applyBorder="1" applyAlignment="1">
      <alignment vertical="center"/>
    </xf>
    <xf numFmtId="0" fontId="30" fillId="0" borderId="13" xfId="0" applyFont="1" applyBorder="1" applyAlignment="1">
      <alignment vertical="center"/>
    </xf>
    <xf numFmtId="1" fontId="29" fillId="0" borderId="12" xfId="0" applyNumberFormat="1" applyFont="1" applyBorder="1" applyAlignment="1">
      <alignment vertical="center"/>
    </xf>
    <xf numFmtId="164" fontId="29" fillId="0" borderId="0" xfId="0" applyNumberFormat="1" applyFont="1" applyBorder="1" applyAlignment="1">
      <alignment vertical="center"/>
    </xf>
    <xf numFmtId="0" fontId="33" fillId="0" borderId="0" xfId="0" applyFont="1" applyAlignment="1" applyProtection="1">
      <alignment vertical="center"/>
    </xf>
    <xf numFmtId="0" fontId="36" fillId="0" borderId="0" xfId="0" applyFont="1" applyAlignment="1" applyProtection="1">
      <alignment vertical="center"/>
    </xf>
    <xf numFmtId="0" fontId="37" fillId="2" borderId="0" xfId="0" applyFont="1" applyFill="1" applyAlignment="1" applyProtection="1">
      <alignment horizontal="center" vertical="center"/>
    </xf>
    <xf numFmtId="0" fontId="38" fillId="0" borderId="0" xfId="0" applyFont="1" applyAlignment="1" applyProtection="1">
      <alignment vertical="center"/>
    </xf>
    <xf numFmtId="0" fontId="37" fillId="0" borderId="0" xfId="0" applyFont="1" applyAlignment="1" applyProtection="1">
      <alignment horizontal="right" vertical="center" wrapText="1"/>
    </xf>
    <xf numFmtId="0" fontId="1" fillId="0" borderId="3" xfId="0" applyFont="1" applyBorder="1" applyAlignment="1" applyProtection="1">
      <alignment vertical="center"/>
    </xf>
    <xf numFmtId="0" fontId="1" fillId="0" borderId="1" xfId="0" applyFont="1" applyBorder="1" applyAlignment="1" applyProtection="1">
      <alignment vertical="center"/>
    </xf>
    <xf numFmtId="2" fontId="0" fillId="4" borderId="1" xfId="0" applyNumberFormat="1" applyFill="1" applyBorder="1" applyAlignment="1" applyProtection="1">
      <alignment vertical="center"/>
    </xf>
    <xf numFmtId="0" fontId="33" fillId="0" borderId="0" xfId="0" applyFont="1" applyBorder="1" applyAlignment="1" applyProtection="1">
      <alignment vertical="center"/>
    </xf>
    <xf numFmtId="164" fontId="33" fillId="0" borderId="0" xfId="0" applyNumberFormat="1" applyFont="1" applyBorder="1" applyAlignment="1" applyProtection="1">
      <alignment horizontal="center" vertical="center" shrinkToFit="1"/>
    </xf>
    <xf numFmtId="0" fontId="34" fillId="0" borderId="0" xfId="0" applyFont="1" applyBorder="1" applyAlignment="1" applyProtection="1">
      <alignment vertical="center"/>
    </xf>
    <xf numFmtId="0" fontId="33" fillId="0" borderId="0" xfId="0" applyFont="1" applyFill="1" applyBorder="1" applyAlignment="1" applyProtection="1">
      <alignment vertical="center"/>
    </xf>
    <xf numFmtId="164" fontId="33" fillId="0" borderId="0" xfId="0" applyNumberFormat="1" applyFont="1" applyBorder="1" applyAlignment="1" applyProtection="1">
      <alignment vertical="center"/>
    </xf>
    <xf numFmtId="164" fontId="33" fillId="0" borderId="0" xfId="0" applyNumberFormat="1" applyFont="1" applyFill="1" applyBorder="1" applyAlignment="1" applyProtection="1">
      <alignment vertical="center"/>
    </xf>
    <xf numFmtId="0" fontId="39" fillId="0" borderId="0" xfId="0" applyFont="1" applyBorder="1" applyAlignment="1" applyProtection="1">
      <alignment vertical="center"/>
    </xf>
    <xf numFmtId="0" fontId="39" fillId="0" borderId="1" xfId="0" applyFont="1" applyBorder="1" applyAlignment="1" applyProtection="1">
      <alignment vertical="center"/>
    </xf>
    <xf numFmtId="0" fontId="40" fillId="4" borderId="1" xfId="0" applyFont="1" applyFill="1" applyBorder="1" applyProtection="1"/>
    <xf numFmtId="165" fontId="40" fillId="4" borderId="1" xfId="0" applyNumberFormat="1" applyFont="1" applyFill="1" applyBorder="1" applyProtection="1"/>
    <xf numFmtId="0" fontId="1" fillId="0" borderId="0" xfId="0" applyFont="1" applyBorder="1" applyAlignment="1" applyProtection="1">
      <alignment vertical="center"/>
    </xf>
    <xf numFmtId="0" fontId="13" fillId="0" borderId="17" xfId="0" applyFont="1" applyBorder="1" applyAlignment="1" applyProtection="1">
      <alignment vertical="center"/>
    </xf>
    <xf numFmtId="0" fontId="0" fillId="0" borderId="17" xfId="0" applyBorder="1" applyAlignment="1" applyProtection="1">
      <alignment vertical="center"/>
    </xf>
    <xf numFmtId="0" fontId="0" fillId="0" borderId="14" xfId="0" applyBorder="1" applyAlignment="1" applyProtection="1">
      <alignment vertical="center"/>
    </xf>
    <xf numFmtId="164" fontId="33" fillId="0" borderId="0" xfId="0" applyNumberFormat="1" applyFont="1" applyBorder="1" applyAlignment="1" applyProtection="1">
      <alignment horizontal="center" vertical="center"/>
    </xf>
    <xf numFmtId="11" fontId="39" fillId="0" borderId="1" xfId="0" applyNumberFormat="1" applyFont="1" applyBorder="1" applyAlignment="1" applyProtection="1">
      <alignment vertical="center"/>
    </xf>
    <xf numFmtId="0" fontId="1" fillId="0" borderId="0" xfId="0" applyFont="1"/>
    <xf numFmtId="0" fontId="33" fillId="0" borderId="0" xfId="0" applyFont="1" applyBorder="1" applyAlignment="1" applyProtection="1">
      <alignment horizontal="center" vertical="center"/>
    </xf>
    <xf numFmtId="0" fontId="39" fillId="0" borderId="2" xfId="0" applyFont="1" applyBorder="1" applyAlignment="1" applyProtection="1">
      <alignment horizontal="center" vertical="center"/>
    </xf>
    <xf numFmtId="0" fontId="39" fillId="0" borderId="29" xfId="0" applyFont="1" applyBorder="1" applyAlignment="1" applyProtection="1">
      <alignment horizontal="center" vertical="center"/>
    </xf>
    <xf numFmtId="0" fontId="1" fillId="0" borderId="21" xfId="0" applyFont="1" applyBorder="1" applyAlignment="1" applyProtection="1">
      <alignment horizontal="left" vertical="center"/>
    </xf>
    <xf numFmtId="164" fontId="3" fillId="0" borderId="1" xfId="0" applyNumberFormat="1" applyFont="1" applyBorder="1" applyAlignment="1" applyProtection="1">
      <alignment horizontal="right" vertical="center"/>
    </xf>
    <xf numFmtId="0" fontId="5" fillId="0" borderId="1" xfId="0" applyFont="1" applyBorder="1" applyAlignment="1" applyProtection="1">
      <alignment horizontal="left" vertical="center"/>
    </xf>
    <xf numFmtId="164" fontId="0" fillId="0" borderId="1" xfId="0" applyNumberFormat="1" applyBorder="1" applyAlignment="1" applyProtection="1">
      <alignment vertical="center"/>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1" fillId="0" borderId="8" xfId="0" applyFont="1" applyBorder="1" applyAlignment="1" applyProtection="1">
      <alignment vertical="center"/>
    </xf>
    <xf numFmtId="0" fontId="1" fillId="0" borderId="5" xfId="0" applyFont="1" applyBorder="1" applyAlignment="1" applyProtection="1">
      <alignment vertical="center"/>
    </xf>
    <xf numFmtId="0" fontId="1" fillId="0" borderId="6" xfId="0" applyFont="1" applyBorder="1" applyAlignment="1" applyProtection="1">
      <alignment vertical="center"/>
    </xf>
    <xf numFmtId="2" fontId="0" fillId="4" borderId="6" xfId="0" applyNumberFormat="1" applyFill="1" applyBorder="1" applyAlignment="1" applyProtection="1">
      <alignment vertical="center"/>
    </xf>
    <xf numFmtId="0" fontId="1" fillId="0" borderId="9" xfId="0" applyFont="1" applyBorder="1" applyAlignment="1" applyProtection="1">
      <alignment vertical="center"/>
    </xf>
    <xf numFmtId="164" fontId="1" fillId="5" borderId="33" xfId="0" applyNumberFormat="1" applyFont="1" applyFill="1" applyBorder="1" applyAlignment="1" applyProtection="1">
      <alignment vertical="center"/>
      <protection locked="0"/>
    </xf>
    <xf numFmtId="0" fontId="0" fillId="5" borderId="1" xfId="0" applyFill="1" applyBorder="1" applyProtection="1">
      <protection locked="0"/>
    </xf>
    <xf numFmtId="0" fontId="0" fillId="5" borderId="0" xfId="0" applyFill="1" applyBorder="1" applyAlignment="1" applyProtection="1">
      <alignment vertical="center"/>
      <protection locked="0"/>
    </xf>
    <xf numFmtId="0" fontId="44" fillId="5" borderId="1" xfId="0" applyFont="1" applyFill="1" applyBorder="1" applyAlignment="1" applyProtection="1">
      <alignment horizontal="left" vertical="center"/>
      <protection locked="0"/>
    </xf>
    <xf numFmtId="0" fontId="23" fillId="3" borderId="0" xfId="0" applyFont="1" applyFill="1" applyAlignment="1">
      <alignment horizontal="left" vertical="center" wrapText="1"/>
    </xf>
    <xf numFmtId="0" fontId="0" fillId="3" borderId="0" xfId="0" applyFill="1" applyAlignment="1">
      <alignment horizontal="center"/>
    </xf>
    <xf numFmtId="0" fontId="35" fillId="3" borderId="0" xfId="0" applyFont="1" applyFill="1" applyAlignment="1">
      <alignment horizontal="left" vertical="center"/>
    </xf>
    <xf numFmtId="0" fontId="23" fillId="3" borderId="0" xfId="0" applyFont="1" applyFill="1" applyAlignment="1">
      <alignment horizontal="left" vertical="center"/>
    </xf>
    <xf numFmtId="0" fontId="22" fillId="3" borderId="0" xfId="0" applyFont="1" applyFill="1" applyAlignment="1">
      <alignment horizontal="center" vertical="center"/>
    </xf>
    <xf numFmtId="0" fontId="23" fillId="3" borderId="0" xfId="0" applyFont="1" applyFill="1" applyAlignment="1">
      <alignment vertical="center" wrapText="1"/>
    </xf>
    <xf numFmtId="0" fontId="5" fillId="0" borderId="30" xfId="0" applyFont="1" applyBorder="1" applyAlignment="1" applyProtection="1">
      <alignment horizontal="left" vertical="center"/>
    </xf>
    <xf numFmtId="0" fontId="5" fillId="0" borderId="31" xfId="0" applyFont="1" applyBorder="1" applyAlignment="1" applyProtection="1">
      <alignment horizontal="left" vertical="center"/>
    </xf>
    <xf numFmtId="0" fontId="5" fillId="0" borderId="32" xfId="0" applyFont="1" applyBorder="1" applyAlignment="1" applyProtection="1">
      <alignment horizontal="left" vertical="center"/>
    </xf>
    <xf numFmtId="0" fontId="5" fillId="0" borderId="17"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22" xfId="0" applyFont="1" applyBorder="1" applyAlignment="1" applyProtection="1">
      <alignment horizontal="left" vertical="center"/>
    </xf>
    <xf numFmtId="0" fontId="5" fillId="0" borderId="23" xfId="0" applyFont="1" applyBorder="1" applyAlignment="1" applyProtection="1">
      <alignment horizontal="left" vertical="center"/>
    </xf>
    <xf numFmtId="0" fontId="5" fillId="0" borderId="24" xfId="0" applyFont="1" applyBorder="1" applyAlignment="1" applyProtection="1">
      <alignment horizontal="left" vertical="center"/>
    </xf>
    <xf numFmtId="0" fontId="0" fillId="0" borderId="15" xfId="0" applyBorder="1" applyAlignment="1" applyProtection="1">
      <alignment horizontal="center" vertical="center"/>
    </xf>
    <xf numFmtId="0" fontId="0" fillId="0" borderId="12" xfId="0" applyBorder="1" applyAlignment="1" applyProtection="1">
      <alignment horizontal="center" vertical="center"/>
    </xf>
    <xf numFmtId="0" fontId="16" fillId="0" borderId="8" xfId="0" applyFont="1" applyBorder="1" applyAlignment="1" applyProtection="1">
      <alignment horizontal="left" vertical="center"/>
    </xf>
    <xf numFmtId="0" fontId="16" fillId="0" borderId="0" xfId="0" applyFont="1" applyBorder="1" applyAlignment="1" applyProtection="1">
      <alignment horizontal="left" vertical="center"/>
    </xf>
    <xf numFmtId="0" fontId="16" fillId="0" borderId="10" xfId="0" applyFont="1" applyBorder="1" applyAlignment="1" applyProtection="1">
      <alignment horizontal="left" vertical="center"/>
    </xf>
    <xf numFmtId="0" fontId="0" fillId="0" borderId="15" xfId="0" applyBorder="1" applyAlignment="1" applyProtection="1">
      <alignment horizontal="center"/>
    </xf>
    <xf numFmtId="0" fontId="0" fillId="0" borderId="12" xfId="0" applyBorder="1" applyAlignment="1" applyProtection="1">
      <alignment horizontal="center"/>
    </xf>
    <xf numFmtId="0" fontId="16" fillId="0" borderId="17" xfId="0" applyFont="1" applyBorder="1" applyAlignment="1" applyProtection="1">
      <alignment horizontal="left" vertical="center"/>
    </xf>
    <xf numFmtId="0" fontId="16" fillId="0" borderId="18" xfId="0" applyFont="1" applyBorder="1" applyAlignment="1" applyProtection="1">
      <alignment horizontal="left" vertical="center"/>
    </xf>
    <xf numFmtId="0" fontId="16" fillId="0" borderId="19" xfId="0" applyFont="1" applyBorder="1" applyAlignment="1" applyProtection="1">
      <alignment horizontal="left" vertical="center"/>
    </xf>
    <xf numFmtId="0" fontId="5" fillId="0" borderId="25" xfId="0" applyFont="1" applyBorder="1" applyAlignment="1" applyProtection="1">
      <alignment horizontal="left" vertical="center"/>
    </xf>
    <xf numFmtId="0" fontId="5" fillId="0" borderId="26" xfId="0" applyFont="1" applyBorder="1" applyAlignment="1" applyProtection="1">
      <alignment horizontal="left" vertical="center"/>
    </xf>
    <xf numFmtId="0" fontId="5" fillId="0" borderId="27" xfId="0" applyFont="1" applyBorder="1" applyAlignment="1" applyProtection="1">
      <alignment horizontal="left" vertical="center"/>
    </xf>
    <xf numFmtId="0" fontId="6" fillId="4" borderId="8" xfId="0" applyFont="1" applyFill="1" applyBorder="1" applyAlignment="1" applyProtection="1">
      <alignment horizontal="left" vertical="center" wrapText="1"/>
    </xf>
    <xf numFmtId="0" fontId="6" fillId="4" borderId="0" xfId="0" applyFont="1" applyFill="1" applyBorder="1" applyAlignment="1" applyProtection="1">
      <alignment horizontal="left" vertical="center" wrapText="1"/>
    </xf>
    <xf numFmtId="0" fontId="6" fillId="4" borderId="10" xfId="0" applyFont="1" applyFill="1" applyBorder="1" applyAlignment="1" applyProtection="1">
      <alignment horizontal="left" vertical="center" wrapText="1"/>
    </xf>
    <xf numFmtId="0" fontId="6" fillId="4" borderId="11" xfId="0" applyFont="1" applyFill="1" applyBorder="1" applyAlignment="1" applyProtection="1">
      <alignment horizontal="left" vertical="center" wrapText="1"/>
    </xf>
    <xf numFmtId="0" fontId="6" fillId="4" borderId="12" xfId="0" applyFont="1" applyFill="1" applyBorder="1" applyAlignment="1" applyProtection="1">
      <alignment horizontal="left" vertical="center" wrapText="1"/>
    </xf>
    <xf numFmtId="0" fontId="6" fillId="4" borderId="13" xfId="0" applyFont="1" applyFill="1" applyBorder="1" applyAlignment="1" applyProtection="1">
      <alignment horizontal="left" vertical="center" wrapText="1"/>
    </xf>
    <xf numFmtId="0" fontId="19" fillId="0" borderId="0" xfId="0" applyFont="1" applyAlignment="1" applyProtection="1">
      <alignment horizontal="center" vertical="center" wrapText="1"/>
    </xf>
    <xf numFmtId="0" fontId="4" fillId="0" borderId="0" xfId="0" applyFont="1" applyAlignment="1" applyProtection="1">
      <alignment horizontal="center" vertical="center" wrapText="1"/>
    </xf>
    <xf numFmtId="164" fontId="17" fillId="3" borderId="17" xfId="0" applyNumberFormat="1" applyFont="1" applyFill="1" applyBorder="1" applyAlignment="1" applyProtection="1">
      <alignment horizontal="right" vertical="center"/>
    </xf>
    <xf numFmtId="164" fontId="17" fillId="3" borderId="18" xfId="0" applyNumberFormat="1" applyFont="1" applyFill="1" applyBorder="1" applyAlignment="1" applyProtection="1">
      <alignment horizontal="right" vertical="center"/>
    </xf>
    <xf numFmtId="164" fontId="17" fillId="3" borderId="19" xfId="0" applyNumberFormat="1" applyFont="1" applyFill="1" applyBorder="1" applyAlignment="1" applyProtection="1">
      <alignment horizontal="right" vertical="center"/>
    </xf>
    <xf numFmtId="0" fontId="26" fillId="0" borderId="0" xfId="0" applyFont="1" applyAlignment="1" applyProtection="1">
      <alignment horizontal="center" vertical="center"/>
    </xf>
    <xf numFmtId="0" fontId="18" fillId="0" borderId="0" xfId="0" applyFont="1" applyAlignment="1" applyProtection="1">
      <alignment horizontal="center" vertical="center"/>
    </xf>
    <xf numFmtId="0" fontId="0" fillId="0" borderId="0" xfId="0" applyAlignment="1" applyProtection="1">
      <alignment horizontal="center" vertical="center"/>
    </xf>
    <xf numFmtId="0" fontId="1" fillId="0" borderId="0" xfId="0" applyFont="1" applyAlignment="1" applyProtection="1">
      <alignment horizontal="center" vertical="center"/>
    </xf>
    <xf numFmtId="0" fontId="37" fillId="0" borderId="0" xfId="0" applyFont="1" applyAlignment="1" applyProtection="1">
      <alignment horizontal="left" vertical="center"/>
    </xf>
    <xf numFmtId="0" fontId="8" fillId="0" borderId="0" xfId="0" applyFont="1" applyAlignment="1" applyProtection="1">
      <alignment horizontal="center" vertical="center"/>
    </xf>
    <xf numFmtId="0" fontId="13" fillId="4" borderId="28" xfId="0" applyFont="1" applyFill="1" applyBorder="1" applyAlignment="1" applyProtection="1">
      <alignment horizontal="left" vertical="center"/>
    </xf>
    <xf numFmtId="0" fontId="13" fillId="4" borderId="15" xfId="0" applyFont="1" applyFill="1" applyBorder="1" applyAlignment="1" applyProtection="1">
      <alignment horizontal="left" vertical="center"/>
    </xf>
    <xf numFmtId="0" fontId="13" fillId="4" borderId="16" xfId="0" applyFont="1" applyFill="1" applyBorder="1" applyAlignment="1" applyProtection="1">
      <alignment horizontal="left" vertical="center"/>
    </xf>
    <xf numFmtId="0" fontId="29" fillId="0" borderId="0" xfId="0" applyFont="1" applyBorder="1" applyAlignment="1">
      <alignment horizontal="left" vertical="center" wrapText="1"/>
    </xf>
    <xf numFmtId="0" fontId="29" fillId="0" borderId="10" xfId="0" applyFont="1" applyBorder="1" applyAlignment="1">
      <alignment horizontal="left" vertical="center" wrapText="1"/>
    </xf>
    <xf numFmtId="0" fontId="29" fillId="0" borderId="15" xfId="0" applyFont="1" applyBorder="1" applyAlignment="1">
      <alignment horizontal="left" vertical="center" wrapText="1"/>
    </xf>
    <xf numFmtId="0" fontId="29" fillId="0" borderId="16" xfId="0" applyFont="1" applyBorder="1" applyAlignment="1">
      <alignment horizontal="left" vertical="center" wrapText="1"/>
    </xf>
    <xf numFmtId="0" fontId="25" fillId="0" borderId="0" xfId="0" applyFont="1" applyAlignment="1" applyProtection="1">
      <alignment horizontal="center" vertical="center"/>
      <protection locked="0"/>
    </xf>
    <xf numFmtId="0" fontId="28" fillId="0" borderId="28" xfId="0" applyFont="1" applyBorder="1" applyAlignment="1">
      <alignment horizontal="center" vertical="center"/>
    </xf>
    <xf numFmtId="0" fontId="28" fillId="0" borderId="11" xfId="0" applyFont="1" applyBorder="1" applyAlignment="1">
      <alignment horizontal="center" vertical="center"/>
    </xf>
    <xf numFmtId="0" fontId="28" fillId="0" borderId="8" xfId="0" applyFont="1" applyBorder="1" applyAlignment="1">
      <alignment horizontal="center" vertical="center"/>
    </xf>
    <xf numFmtId="0" fontId="29" fillId="0" borderId="15" xfId="0" applyFont="1" applyBorder="1" applyAlignment="1">
      <alignment horizontal="left" vertical="center"/>
    </xf>
    <xf numFmtId="0" fontId="29" fillId="0" borderId="16" xfId="0" applyFont="1" applyBorder="1" applyAlignment="1">
      <alignment horizontal="left" vertical="center"/>
    </xf>
    <xf numFmtId="0" fontId="25" fillId="3" borderId="20" xfId="0" applyFont="1" applyFill="1" applyBorder="1" applyAlignment="1">
      <alignment horizontal="left" vertical="center"/>
    </xf>
    <xf numFmtId="0" fontId="25" fillId="3" borderId="21" xfId="0" applyFont="1" applyFill="1" applyBorder="1" applyAlignment="1">
      <alignment horizontal="left" vertical="center"/>
    </xf>
    <xf numFmtId="0" fontId="26" fillId="0" borderId="28" xfId="0" applyFont="1" applyBorder="1" applyAlignment="1">
      <alignment horizontal="center" vertic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29" fillId="0" borderId="0" xfId="0" applyFont="1" applyBorder="1" applyAlignment="1">
      <alignment horizontal="left" vertical="center"/>
    </xf>
    <xf numFmtId="0" fontId="29" fillId="0" borderId="12" xfId="0" applyFont="1" applyBorder="1" applyAlignment="1">
      <alignment horizontal="left" vertical="center"/>
    </xf>
    <xf numFmtId="0" fontId="33" fillId="0" borderId="0" xfId="0" applyFont="1" applyBorder="1" applyAlignment="1" applyProtection="1">
      <alignment horizontal="center" vertical="center"/>
    </xf>
    <xf numFmtId="0" fontId="33" fillId="0" borderId="0" xfId="0" applyFont="1" applyBorder="1" applyAlignment="1" applyProtection="1">
      <alignment vertical="center" wrapText="1"/>
    </xf>
    <xf numFmtId="0" fontId="39" fillId="0" borderId="2" xfId="0" applyFont="1" applyBorder="1" applyAlignment="1" applyProtection="1">
      <alignment horizontal="center" vertical="center"/>
    </xf>
    <xf numFmtId="0" fontId="39" fillId="0" borderId="29" xfId="0" applyFont="1" applyBorder="1" applyAlignment="1" applyProtection="1">
      <alignment horizontal="center" vertical="center"/>
    </xf>
    <xf numFmtId="0" fontId="33" fillId="0" borderId="0" xfId="0" applyFont="1" applyFill="1" applyBorder="1" applyAlignment="1" applyProtection="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layout>
        <c:manualLayout>
          <c:xMode val="edge"/>
          <c:yMode val="edge"/>
          <c:x val="0.43633980511478193"/>
          <c:y val="3.0434814914672776E-2"/>
        </c:manualLayout>
      </c:layout>
      <c:spPr>
        <a:noFill/>
        <a:ln w="25400">
          <a:noFill/>
        </a:ln>
      </c:spPr>
      <c:txPr>
        <a:bodyPr/>
        <a:lstStyle/>
        <a:p>
          <a:pPr>
            <a:defRPr sz="925" b="0" i="0" u="none" strike="noStrike" baseline="0">
              <a:solidFill>
                <a:srgbClr val="000000"/>
              </a:solidFill>
              <a:latin typeface="Arial"/>
              <a:ea typeface="Arial"/>
              <a:cs typeface="Arial"/>
            </a:defRPr>
          </a:pPr>
          <a:endParaRPr lang="en-US"/>
        </a:p>
      </c:txPr>
    </c:title>
    <c:plotArea>
      <c:layout>
        <c:manualLayout>
          <c:layoutTarget val="inner"/>
          <c:xMode val="edge"/>
          <c:yMode val="edge"/>
          <c:x val="9.5490778019040393E-2"/>
          <c:y val="0.14347841316917168"/>
          <c:w val="0.69628692305550288"/>
          <c:h val="0.6717398434738493"/>
        </c:manualLayout>
      </c:layout>
      <c:scatterChart>
        <c:scatterStyle val="lineMarker"/>
        <c:ser>
          <c:idx val="0"/>
          <c:order val="0"/>
          <c:tx>
            <c:v>M1M2 vs VCOMP</c:v>
          </c:tx>
          <c:spPr>
            <a:ln w="38100">
              <a:solidFill>
                <a:srgbClr val="FF0000"/>
              </a:solidFill>
              <a:prstDash val="solid"/>
            </a:ln>
          </c:spPr>
          <c:marker>
            <c:symbol val="none"/>
          </c:marker>
          <c:xVal>
            <c:numRef>
              <c:f>data!$A$33:$A$173</c:f>
              <c:numCache>
                <c:formatCode>General</c:formatCode>
                <c:ptCount val="14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pt idx="72">
                  <c:v>3.5999999999999952</c:v>
                </c:pt>
                <c:pt idx="73">
                  <c:v>3.649999999999995</c:v>
                </c:pt>
                <c:pt idx="74">
                  <c:v>3.6999999999999948</c:v>
                </c:pt>
                <c:pt idx="75">
                  <c:v>3.7499999999999947</c:v>
                </c:pt>
                <c:pt idx="76">
                  <c:v>3.7999999999999945</c:v>
                </c:pt>
                <c:pt idx="77">
                  <c:v>3.8499999999999943</c:v>
                </c:pt>
                <c:pt idx="78">
                  <c:v>3.8999999999999941</c:v>
                </c:pt>
                <c:pt idx="79">
                  <c:v>3.949999999999994</c:v>
                </c:pt>
                <c:pt idx="80">
                  <c:v>3.9999999999999938</c:v>
                </c:pt>
                <c:pt idx="81">
                  <c:v>4.0499999999999936</c:v>
                </c:pt>
                <c:pt idx="82">
                  <c:v>4.0999999999999934</c:v>
                </c:pt>
                <c:pt idx="83">
                  <c:v>4.1499999999999932</c:v>
                </c:pt>
                <c:pt idx="84">
                  <c:v>4.1999999999999931</c:v>
                </c:pt>
                <c:pt idx="85">
                  <c:v>4.2499999999999929</c:v>
                </c:pt>
                <c:pt idx="86">
                  <c:v>4.2999999999999927</c:v>
                </c:pt>
                <c:pt idx="87">
                  <c:v>4.3499999999999925</c:v>
                </c:pt>
                <c:pt idx="88">
                  <c:v>4.3999999999999924</c:v>
                </c:pt>
                <c:pt idx="89">
                  <c:v>4.4499999999999922</c:v>
                </c:pt>
                <c:pt idx="90">
                  <c:v>4.499999999999992</c:v>
                </c:pt>
                <c:pt idx="91">
                  <c:v>4.5499999999999918</c:v>
                </c:pt>
                <c:pt idx="92">
                  <c:v>4.5999999999999917</c:v>
                </c:pt>
                <c:pt idx="93">
                  <c:v>4.6499999999999915</c:v>
                </c:pt>
                <c:pt idx="94">
                  <c:v>4.6999999999999913</c:v>
                </c:pt>
                <c:pt idx="95">
                  <c:v>4.7499999999999911</c:v>
                </c:pt>
                <c:pt idx="96">
                  <c:v>4.7999999999999909</c:v>
                </c:pt>
                <c:pt idx="97">
                  <c:v>4.8499999999999908</c:v>
                </c:pt>
                <c:pt idx="98">
                  <c:v>4.8999999999999906</c:v>
                </c:pt>
                <c:pt idx="99">
                  <c:v>4.9499999999999904</c:v>
                </c:pt>
                <c:pt idx="100">
                  <c:v>4.9999999999999902</c:v>
                </c:pt>
                <c:pt idx="101">
                  <c:v>5.0499999999999901</c:v>
                </c:pt>
                <c:pt idx="102">
                  <c:v>5.0999999999999899</c:v>
                </c:pt>
                <c:pt idx="103">
                  <c:v>5.1499999999999897</c:v>
                </c:pt>
                <c:pt idx="104">
                  <c:v>5.1999999999999895</c:v>
                </c:pt>
                <c:pt idx="105">
                  <c:v>5.2499999999999893</c:v>
                </c:pt>
                <c:pt idx="106">
                  <c:v>5.2999999999999892</c:v>
                </c:pt>
                <c:pt idx="107">
                  <c:v>5.349999999999989</c:v>
                </c:pt>
                <c:pt idx="108">
                  <c:v>5.3999999999999888</c:v>
                </c:pt>
                <c:pt idx="109">
                  <c:v>5.4499999999999886</c:v>
                </c:pt>
                <c:pt idx="110">
                  <c:v>5.4999999999999885</c:v>
                </c:pt>
                <c:pt idx="111">
                  <c:v>5.5499999999999883</c:v>
                </c:pt>
                <c:pt idx="112">
                  <c:v>5.5999999999999881</c:v>
                </c:pt>
                <c:pt idx="113">
                  <c:v>5.6499999999999879</c:v>
                </c:pt>
                <c:pt idx="114">
                  <c:v>5.6999999999999877</c:v>
                </c:pt>
                <c:pt idx="115">
                  <c:v>5.7499999999999876</c:v>
                </c:pt>
                <c:pt idx="116">
                  <c:v>5.7999999999999874</c:v>
                </c:pt>
                <c:pt idx="117">
                  <c:v>5.8499999999999872</c:v>
                </c:pt>
                <c:pt idx="118">
                  <c:v>5.899999999999987</c:v>
                </c:pt>
                <c:pt idx="119">
                  <c:v>5.9499999999999869</c:v>
                </c:pt>
                <c:pt idx="120">
                  <c:v>5.9999999999999867</c:v>
                </c:pt>
                <c:pt idx="121">
                  <c:v>6.0499999999999865</c:v>
                </c:pt>
                <c:pt idx="122">
                  <c:v>6.0999999999999863</c:v>
                </c:pt>
                <c:pt idx="123">
                  <c:v>6.1499999999999861</c:v>
                </c:pt>
                <c:pt idx="124">
                  <c:v>6.199999999999986</c:v>
                </c:pt>
                <c:pt idx="125">
                  <c:v>6.2499999999999858</c:v>
                </c:pt>
                <c:pt idx="126">
                  <c:v>6.2999999999999856</c:v>
                </c:pt>
                <c:pt idx="127">
                  <c:v>6.3499999999999854</c:v>
                </c:pt>
                <c:pt idx="128">
                  <c:v>6.3999999999999853</c:v>
                </c:pt>
                <c:pt idx="129">
                  <c:v>6.4499999999999851</c:v>
                </c:pt>
                <c:pt idx="130">
                  <c:v>6.4999999999999849</c:v>
                </c:pt>
                <c:pt idx="131">
                  <c:v>6.5499999999999847</c:v>
                </c:pt>
                <c:pt idx="132">
                  <c:v>6.5999999999999845</c:v>
                </c:pt>
                <c:pt idx="133">
                  <c:v>6.6499999999999844</c:v>
                </c:pt>
                <c:pt idx="134">
                  <c:v>6.6999999999999842</c:v>
                </c:pt>
                <c:pt idx="135">
                  <c:v>6.749999999999984</c:v>
                </c:pt>
                <c:pt idx="136">
                  <c:v>6.7999999999999838</c:v>
                </c:pt>
                <c:pt idx="137">
                  <c:v>6.8499999999999837</c:v>
                </c:pt>
                <c:pt idx="138">
                  <c:v>6.8999999999999835</c:v>
                </c:pt>
                <c:pt idx="139">
                  <c:v>6.9499999999999833</c:v>
                </c:pt>
                <c:pt idx="140">
                  <c:v>6.9999999999999831</c:v>
                </c:pt>
              </c:numCache>
            </c:numRef>
          </c:xVal>
          <c:yVal>
            <c:numRef>
              <c:f>data!$D$33:$D$173</c:f>
              <c:numCache>
                <c:formatCode>0.000</c:formatCode>
                <c:ptCount val="1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1.9568000000000559E-5</c:v>
                </c:pt>
                <c:pt idx="32">
                  <c:v>7.8272000000001191E-5</c:v>
                </c:pt>
                <c:pt idx="33">
                  <c:v>1.7611200000000189E-4</c:v>
                </c:pt>
                <c:pt idx="34">
                  <c:v>3.1308800000000271E-4</c:v>
                </c:pt>
                <c:pt idx="35">
                  <c:v>4.8920000000000354E-4</c:v>
                </c:pt>
                <c:pt idx="36">
                  <c:v>7.0444800000000454E-4</c:v>
                </c:pt>
                <c:pt idx="37">
                  <c:v>9.5883200000000538E-4</c:v>
                </c:pt>
                <c:pt idx="38">
                  <c:v>1.2523520000000063E-3</c:v>
                </c:pt>
                <c:pt idx="39">
                  <c:v>1.5850080000000075E-3</c:v>
                </c:pt>
                <c:pt idx="40">
                  <c:v>1.9568000000000111E-3</c:v>
                </c:pt>
                <c:pt idx="41">
                  <c:v>2.6248484625000126E-3</c:v>
                </c:pt>
                <c:pt idx="42">
                  <c:v>3.4297812000000111E-3</c:v>
                </c:pt>
                <c:pt idx="43">
                  <c:v>4.3843479875000091E-3</c:v>
                </c:pt>
                <c:pt idx="44">
                  <c:v>5.501298600000008E-3</c:v>
                </c:pt>
                <c:pt idx="45">
                  <c:v>6.7933828125000019E-3</c:v>
                </c:pt>
                <c:pt idx="46">
                  <c:v>8.2733503999999954E-3</c:v>
                </c:pt>
                <c:pt idx="47">
                  <c:v>9.9539511374999931E-3</c:v>
                </c:pt>
                <c:pt idx="48">
                  <c:v>1.1847934799999982E-2</c:v>
                </c:pt>
                <c:pt idx="49">
                  <c:v>1.3968051162499971E-2</c:v>
                </c:pt>
                <c:pt idx="50">
                  <c:v>1.6327049999999961E-2</c:v>
                </c:pt>
                <c:pt idx="51">
                  <c:v>1.8937681087499946E-2</c:v>
                </c:pt>
                <c:pt idx="52">
                  <c:v>2.1812694199999927E-2</c:v>
                </c:pt>
                <c:pt idx="53">
                  <c:v>2.4964839112499915E-2</c:v>
                </c:pt>
                <c:pt idx="54">
                  <c:v>2.8406865599999893E-2</c:v>
                </c:pt>
                <c:pt idx="55">
                  <c:v>3.2151523437499878E-2</c:v>
                </c:pt>
                <c:pt idx="56">
                  <c:v>3.6211562399999841E-2</c:v>
                </c:pt>
                <c:pt idx="57">
                  <c:v>4.0599732262499813E-2</c:v>
                </c:pt>
                <c:pt idx="58">
                  <c:v>4.5328782799999794E-2</c:v>
                </c:pt>
                <c:pt idx="59">
                  <c:v>5.0411463787499756E-2</c:v>
                </c:pt>
                <c:pt idx="60">
                  <c:v>5.6410874999999611E-2</c:v>
                </c:pt>
                <c:pt idx="61">
                  <c:v>6.4333147962499559E-2</c:v>
                </c:pt>
                <c:pt idx="62">
                  <c:v>7.291819519999948E-2</c:v>
                </c:pt>
                <c:pt idx="63">
                  <c:v>8.2191607987499429E-2</c:v>
                </c:pt>
                <c:pt idx="64">
                  <c:v>9.2178977599999337E-2</c:v>
                </c:pt>
                <c:pt idx="65">
                  <c:v>0.10290589531249923</c:v>
                </c:pt>
                <c:pt idx="66">
                  <c:v>0.11439795239999917</c:v>
                </c:pt>
                <c:pt idx="67">
                  <c:v>0.12668074013749903</c:v>
                </c:pt>
                <c:pt idx="68">
                  <c:v>0.13977984979999894</c:v>
                </c:pt>
                <c:pt idx="69">
                  <c:v>0.15372087266249881</c:v>
                </c:pt>
                <c:pt idx="70">
                  <c:v>0.16852939999999869</c:v>
                </c:pt>
                <c:pt idx="71">
                  <c:v>0.18423102308749856</c:v>
                </c:pt>
                <c:pt idx="72">
                  <c:v>0.20085133319999848</c:v>
                </c:pt>
                <c:pt idx="73">
                  <c:v>0.21841592161249826</c:v>
                </c:pt>
                <c:pt idx="74">
                  <c:v>0.23695037959999815</c:v>
                </c:pt>
                <c:pt idx="75">
                  <c:v>0.25648029843749792</c:v>
                </c:pt>
                <c:pt idx="76">
                  <c:v>0.27703126939999767</c:v>
                </c:pt>
                <c:pt idx="77">
                  <c:v>0.29862888376249763</c:v>
                </c:pt>
                <c:pt idx="78">
                  <c:v>0.32129873279999743</c:v>
                </c:pt>
                <c:pt idx="79">
                  <c:v>0.34506640778749709</c:v>
                </c:pt>
                <c:pt idx="80">
                  <c:v>0.36995749999999689</c:v>
                </c:pt>
                <c:pt idx="81">
                  <c:v>0.39599760071249662</c:v>
                </c:pt>
                <c:pt idx="82">
                  <c:v>0.42321230119999653</c:v>
                </c:pt>
                <c:pt idx="83">
                  <c:v>0.45162719273749624</c:v>
                </c:pt>
                <c:pt idx="84">
                  <c:v>0.48126786659999593</c:v>
                </c:pt>
                <c:pt idx="85">
                  <c:v>0.51215991406249561</c:v>
                </c:pt>
                <c:pt idx="86">
                  <c:v>0.54432892639999519</c:v>
                </c:pt>
                <c:pt idx="87">
                  <c:v>0.57780049488749508</c:v>
                </c:pt>
                <c:pt idx="88">
                  <c:v>0.61260021079999483</c:v>
                </c:pt>
                <c:pt idx="89">
                  <c:v>0.64875366541249446</c:v>
                </c:pt>
                <c:pt idx="90">
                  <c:v>0.686286449999994</c:v>
                </c:pt>
                <c:pt idx="91">
                  <c:v>0.72522415583749367</c:v>
                </c:pt>
                <c:pt idx="92">
                  <c:v>0.76559237419999349</c:v>
                </c:pt>
                <c:pt idx="93">
                  <c:v>0.80741669636249302</c:v>
                </c:pt>
                <c:pt idx="94">
                  <c:v>0.85072271359999252</c:v>
                </c:pt>
                <c:pt idx="95">
                  <c:v>0.89553601718749221</c:v>
                </c:pt>
                <c:pt idx="96">
                  <c:v>0.94188219839999143</c:v>
                </c:pt>
                <c:pt idx="97">
                  <c:v>0.98978684851249121</c:v>
                </c:pt>
                <c:pt idx="98">
                  <c:v>1.0392755587999909</c:v>
                </c:pt>
                <c:pt idx="99">
                  <c:v>1.0903739205374903</c:v>
                </c:pt>
                <c:pt idx="100">
                  <c:v>1.1431075249999898</c:v>
                </c:pt>
                <c:pt idx="101">
                  <c:v>1.197501963462489</c:v>
                </c:pt>
                <c:pt idx="102">
                  <c:v>1.2535828271999887</c:v>
                </c:pt>
                <c:pt idx="103">
                  <c:v>1.3113757074874883</c:v>
                </c:pt>
                <c:pt idx="104">
                  <c:v>1.3709061955999877</c:v>
                </c:pt>
                <c:pt idx="105">
                  <c:v>1.4321998828124869</c:v>
                </c:pt>
                <c:pt idx="106">
                  <c:v>1.4952823603999863</c:v>
                </c:pt>
                <c:pt idx="107">
                  <c:v>1.560179219637486</c:v>
                </c:pt>
                <c:pt idx="108">
                  <c:v>1.6269160517999852</c:v>
                </c:pt>
                <c:pt idx="109">
                  <c:v>1.6955184481624845</c:v>
                </c:pt>
                <c:pt idx="110">
                  <c:v>1.7660119999999837</c:v>
                </c:pt>
                <c:pt idx="111">
                  <c:v>1.8114412522499896</c:v>
                </c:pt>
                <c:pt idx="112">
                  <c:v>1.8564442889999893</c:v>
                </c:pt>
                <c:pt idx="113">
                  <c:v>1.856568</c:v>
                </c:pt>
                <c:pt idx="114">
                  <c:v>1.856568</c:v>
                </c:pt>
                <c:pt idx="115">
                  <c:v>1.856568</c:v>
                </c:pt>
                <c:pt idx="116">
                  <c:v>1.856568</c:v>
                </c:pt>
                <c:pt idx="117">
                  <c:v>1.856568</c:v>
                </c:pt>
                <c:pt idx="118">
                  <c:v>1.856568</c:v>
                </c:pt>
                <c:pt idx="119">
                  <c:v>1.856568</c:v>
                </c:pt>
                <c:pt idx="120">
                  <c:v>1.856568</c:v>
                </c:pt>
                <c:pt idx="121">
                  <c:v>1.856568</c:v>
                </c:pt>
                <c:pt idx="122">
                  <c:v>1.856568</c:v>
                </c:pt>
                <c:pt idx="123">
                  <c:v>1.856568</c:v>
                </c:pt>
                <c:pt idx="124">
                  <c:v>1.856568</c:v>
                </c:pt>
                <c:pt idx="125">
                  <c:v>1.856568</c:v>
                </c:pt>
                <c:pt idx="126">
                  <c:v>1.856568</c:v>
                </c:pt>
                <c:pt idx="127">
                  <c:v>1.856568</c:v>
                </c:pt>
                <c:pt idx="128">
                  <c:v>1.856568</c:v>
                </c:pt>
                <c:pt idx="129">
                  <c:v>1.856568</c:v>
                </c:pt>
                <c:pt idx="130">
                  <c:v>1.856568</c:v>
                </c:pt>
                <c:pt idx="131">
                  <c:v>1.856568</c:v>
                </c:pt>
                <c:pt idx="132">
                  <c:v>1.856568</c:v>
                </c:pt>
                <c:pt idx="133">
                  <c:v>1.856568</c:v>
                </c:pt>
                <c:pt idx="134">
                  <c:v>1.856568</c:v>
                </c:pt>
                <c:pt idx="135">
                  <c:v>1.856568</c:v>
                </c:pt>
                <c:pt idx="136">
                  <c:v>1.856568</c:v>
                </c:pt>
                <c:pt idx="137">
                  <c:v>1.856568</c:v>
                </c:pt>
                <c:pt idx="138">
                  <c:v>1.856568</c:v>
                </c:pt>
                <c:pt idx="139">
                  <c:v>1.856568</c:v>
                </c:pt>
                <c:pt idx="140">
                  <c:v>1.856568</c:v>
                </c:pt>
              </c:numCache>
            </c:numRef>
          </c:yVal>
        </c:ser>
        <c:axId val="105421440"/>
        <c:axId val="105440000"/>
      </c:scatterChart>
      <c:valAx>
        <c:axId val="105421440"/>
        <c:scaling>
          <c:orientation val="minMax"/>
          <c:max val="7"/>
        </c:scaling>
        <c:axPos val="b"/>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en-US"/>
                  <a:t>VCOMP</a:t>
                </a:r>
              </a:p>
            </c:rich>
          </c:tx>
          <c:layout>
            <c:manualLayout>
              <c:xMode val="edge"/>
              <c:yMode val="edge"/>
              <c:x val="0.41246711061002167"/>
              <c:y val="0.88043571717446201"/>
            </c:manualLayout>
          </c:layout>
          <c:spPr>
            <a:noFill/>
            <a:ln w="25400">
              <a:noFill/>
            </a:ln>
          </c:spPr>
        </c:title>
        <c:numFmt formatCode="General" sourceLinked="1"/>
        <c:minorTickMark val="in"/>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105440000"/>
        <c:crosses val="autoZero"/>
        <c:crossBetween val="midCat"/>
        <c:minorUnit val="0.1"/>
      </c:valAx>
      <c:valAx>
        <c:axId val="105440000"/>
        <c:scaling>
          <c:orientation val="minMax"/>
        </c:scaling>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925" b="1" i="0" u="none" strike="noStrike" baseline="0">
                    <a:solidFill>
                      <a:srgbClr val="000000"/>
                    </a:solidFill>
                    <a:latin typeface="Arial"/>
                    <a:ea typeface="Arial"/>
                    <a:cs typeface="Arial"/>
                  </a:defRPr>
                </a:pPr>
                <a:r>
                  <a:rPr lang="en-US"/>
                  <a:t>M1M2</a:t>
                </a:r>
              </a:p>
            </c:rich>
          </c:tx>
          <c:layout>
            <c:manualLayout>
              <c:xMode val="edge"/>
              <c:yMode val="edge"/>
              <c:x val="2.7851476922220137E-2"/>
              <c:y val="0.43695698556065926"/>
            </c:manualLayout>
          </c:layout>
          <c:spPr>
            <a:noFill/>
            <a:ln w="25400">
              <a:noFill/>
            </a:ln>
          </c:spPr>
        </c:title>
        <c:numFmt formatCode="0.000" sourceLinked="1"/>
        <c:minorTickMark val="in"/>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105421440"/>
        <c:crosses val="autoZero"/>
        <c:crossBetween val="midCat"/>
      </c:valAx>
      <c:spPr>
        <a:noFill/>
        <a:ln w="12700">
          <a:solidFill>
            <a:srgbClr val="808080"/>
          </a:solidFill>
          <a:prstDash val="solid"/>
        </a:ln>
      </c:spPr>
    </c:plotArea>
    <c:plotVisOnly val="1"/>
    <c:dispBlanksAs val="gap"/>
  </c:chart>
  <c:spPr>
    <a:gradFill rotWithShape="0">
      <a:gsLst>
        <a:gs pos="0">
          <a:srgbClr val="FFFFFF"/>
        </a:gs>
        <a:gs pos="100000">
          <a:srgbClr val="FFFFCC"/>
        </a:gs>
      </a:gsLst>
      <a:lin ang="5400000" scaled="1"/>
    </a:gra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50" b="1" i="0" u="none" strike="noStrike" baseline="0">
                <a:solidFill>
                  <a:srgbClr val="000000"/>
                </a:solidFill>
                <a:latin typeface="Arial"/>
                <a:ea typeface="Arial"/>
                <a:cs typeface="Arial"/>
              </a:defRPr>
            </a:pPr>
            <a:r>
              <a:rPr lang="en-US"/>
              <a:t>Current Averaging Bode Plot</a:t>
            </a:r>
          </a:p>
        </c:rich>
      </c:tx>
      <c:layout>
        <c:manualLayout>
          <c:xMode val="edge"/>
          <c:yMode val="edge"/>
          <c:x val="0.36291390728476847"/>
          <c:y val="2.8790786948176578E-2"/>
        </c:manualLayout>
      </c:layout>
      <c:spPr>
        <a:noFill/>
        <a:ln w="25400">
          <a:noFill/>
        </a:ln>
      </c:spPr>
    </c:title>
    <c:plotArea>
      <c:layout>
        <c:manualLayout>
          <c:layoutTarget val="inner"/>
          <c:xMode val="edge"/>
          <c:yMode val="edge"/>
          <c:x val="0.10728476821192058"/>
          <c:y val="0.14395393474088294"/>
          <c:w val="0.78807947019867586"/>
          <c:h val="0.66410748560460664"/>
        </c:manualLayout>
      </c:layout>
      <c:scatterChart>
        <c:scatterStyle val="smoothMarker"/>
        <c:ser>
          <c:idx val="0"/>
          <c:order val="0"/>
          <c:tx>
            <c:v>Gain</c:v>
          </c:tx>
          <c:spPr>
            <a:ln w="38100">
              <a:solidFill>
                <a:srgbClr val="FF0000"/>
              </a:solidFill>
              <a:prstDash val="solid"/>
            </a:ln>
          </c:spPr>
          <c:marker>
            <c:symbol val="none"/>
          </c:marker>
          <c:xVal>
            <c:numRef>
              <c:f>data!$B$205:$B$255</c:f>
              <c:numCache>
                <c:formatCode>General</c:formatCode>
                <c:ptCount val="51"/>
                <c:pt idx="0">
                  <c:v>10</c:v>
                </c:pt>
                <c:pt idx="1">
                  <c:v>12.58925411794168</c:v>
                </c:pt>
                <c:pt idx="2">
                  <c:v>15.848931924611136</c:v>
                </c:pt>
                <c:pt idx="3">
                  <c:v>19.952623149688804</c:v>
                </c:pt>
                <c:pt idx="4">
                  <c:v>25.118864315095799</c:v>
                </c:pt>
                <c:pt idx="5">
                  <c:v>31.622776601683803</c:v>
                </c:pt>
                <c:pt idx="6">
                  <c:v>39.810717055349755</c:v>
                </c:pt>
                <c:pt idx="7">
                  <c:v>50.118723362727238</c:v>
                </c:pt>
                <c:pt idx="8">
                  <c:v>63.095734448019364</c:v>
                </c:pt>
                <c:pt idx="9">
                  <c:v>79.432823472428197</c:v>
                </c:pt>
                <c:pt idx="10">
                  <c:v>100</c:v>
                </c:pt>
                <c:pt idx="11">
                  <c:v>125.89254117941677</c:v>
                </c:pt>
                <c:pt idx="12">
                  <c:v>158.48931924611153</c:v>
                </c:pt>
                <c:pt idx="13">
                  <c:v>199.52623149688802</c:v>
                </c:pt>
                <c:pt idx="14">
                  <c:v>251.18864315095806</c:v>
                </c:pt>
                <c:pt idx="15">
                  <c:v>316.22776601683825</c:v>
                </c:pt>
                <c:pt idx="16">
                  <c:v>398.10717055349761</c:v>
                </c:pt>
                <c:pt idx="17">
                  <c:v>501.18723362727269</c:v>
                </c:pt>
                <c:pt idx="18">
                  <c:v>630.95734448019323</c:v>
                </c:pt>
                <c:pt idx="19">
                  <c:v>794.32823472428208</c:v>
                </c:pt>
                <c:pt idx="20">
                  <c:v>1000</c:v>
                </c:pt>
                <c:pt idx="21">
                  <c:v>1258.925411794168</c:v>
                </c:pt>
                <c:pt idx="22">
                  <c:v>1584.8931924611156</c:v>
                </c:pt>
                <c:pt idx="23">
                  <c:v>1995.2623149688804</c:v>
                </c:pt>
                <c:pt idx="24">
                  <c:v>2511.8864315095811</c:v>
                </c:pt>
                <c:pt idx="25">
                  <c:v>3162.2776601683804</c:v>
                </c:pt>
                <c:pt idx="26">
                  <c:v>3981.0717055349769</c:v>
                </c:pt>
                <c:pt idx="27">
                  <c:v>5011.8723362727324</c:v>
                </c:pt>
                <c:pt idx="28">
                  <c:v>6309.5734448019384</c:v>
                </c:pt>
                <c:pt idx="29">
                  <c:v>7943.2823472428154</c:v>
                </c:pt>
                <c:pt idx="30">
                  <c:v>10000</c:v>
                </c:pt>
                <c:pt idx="31">
                  <c:v>12589.254117941671</c:v>
                </c:pt>
                <c:pt idx="32">
                  <c:v>15848.931924611146</c:v>
                </c:pt>
                <c:pt idx="33">
                  <c:v>19952.623149688792</c:v>
                </c:pt>
                <c:pt idx="34">
                  <c:v>25118.86431509586</c:v>
                </c:pt>
                <c:pt idx="35">
                  <c:v>31622.77660168384</c:v>
                </c:pt>
                <c:pt idx="36">
                  <c:v>39810.717055349742</c:v>
                </c:pt>
                <c:pt idx="37">
                  <c:v>50118.723362727294</c:v>
                </c:pt>
                <c:pt idx="38">
                  <c:v>63095.734448019342</c:v>
                </c:pt>
                <c:pt idx="39">
                  <c:v>79432.823472428237</c:v>
                </c:pt>
                <c:pt idx="40">
                  <c:v>100000</c:v>
                </c:pt>
                <c:pt idx="41">
                  <c:v>125892.54117941685</c:v>
                </c:pt>
                <c:pt idx="42">
                  <c:v>158489.31924611164</c:v>
                </c:pt>
                <c:pt idx="43">
                  <c:v>199526.23149688813</c:v>
                </c:pt>
                <c:pt idx="44">
                  <c:v>251188.64315095844</c:v>
                </c:pt>
                <c:pt idx="45">
                  <c:v>316227.7660168382</c:v>
                </c:pt>
                <c:pt idx="46">
                  <c:v>398107.17055349716</c:v>
                </c:pt>
                <c:pt idx="47">
                  <c:v>501187.23362727347</c:v>
                </c:pt>
                <c:pt idx="48">
                  <c:v>630957.34448019415</c:v>
                </c:pt>
                <c:pt idx="49">
                  <c:v>794328.23472428333</c:v>
                </c:pt>
                <c:pt idx="50">
                  <c:v>1000000</c:v>
                </c:pt>
              </c:numCache>
            </c:numRef>
          </c:xVal>
          <c:yVal>
            <c:numRef>
              <c:f>data!$E$205:$E$255</c:f>
              <c:numCache>
                <c:formatCode>General</c:formatCode>
                <c:ptCount val="51"/>
                <c:pt idx="0">
                  <c:v>61.520299509679461</c:v>
                </c:pt>
                <c:pt idx="1">
                  <c:v>59.520296780190009</c:v>
                </c:pt>
                <c:pt idx="2">
                  <c:v>57.520292454244249</c:v>
                </c:pt>
                <c:pt idx="3">
                  <c:v>55.5202855980911</c:v>
                </c:pt>
                <c:pt idx="4">
                  <c:v>53.52027473184279</c:v>
                </c:pt>
                <c:pt idx="5">
                  <c:v>51.520257510055565</c:v>
                </c:pt>
                <c:pt idx="6">
                  <c:v>49.520230215502053</c:v>
                </c:pt>
                <c:pt idx="7">
                  <c:v>47.520186956901426</c:v>
                </c:pt>
                <c:pt idx="8">
                  <c:v>45.52011839752236</c:v>
                </c:pt>
                <c:pt idx="9">
                  <c:v>43.520009740446078</c:v>
                </c:pt>
                <c:pt idx="10">
                  <c:v>41.519837536154036</c:v>
                </c:pt>
                <c:pt idx="11">
                  <c:v>39.519564624729817</c:v>
                </c:pt>
                <c:pt idx="12">
                  <c:v>37.519132124397807</c:v>
                </c:pt>
                <c:pt idx="13">
                  <c:v>35.518446745780615</c:v>
                </c:pt>
                <c:pt idx="14">
                  <c:v>33.517360715386367</c:v>
                </c:pt>
                <c:pt idx="15">
                  <c:v>31.515640029318568</c:v>
                </c:pt>
                <c:pt idx="16">
                  <c:v>29.512914321384653</c:v>
                </c:pt>
                <c:pt idx="17">
                  <c:v>27.508597866565857</c:v>
                </c:pt>
                <c:pt idx="18">
                  <c:v>25.501765522437712</c:v>
                </c:pt>
                <c:pt idx="19">
                  <c:v>23.490958956199599</c:v>
                </c:pt>
                <c:pt idx="20">
                  <c:v>21.473886594400241</c:v>
                </c:pt>
                <c:pt idx="21">
                  <c:v>19.446965450168769</c:v>
                </c:pt>
                <c:pt idx="22">
                  <c:v>17.404637228500935</c:v>
                </c:pt>
                <c:pt idx="23">
                  <c:v>15.338385300200381</c:v>
                </c:pt>
                <c:pt idx="24">
                  <c:v>13.235410437536849</c:v>
                </c:pt>
                <c:pt idx="25">
                  <c:v>11.077048611784615</c:v>
                </c:pt>
                <c:pt idx="26">
                  <c:v>8.8373226678442975</c:v>
                </c:pt>
                <c:pt idx="27">
                  <c:v>6.4825701282013153</c:v>
                </c:pt>
                <c:pt idx="28">
                  <c:v>3.9736892229264114</c:v>
                </c:pt>
                <c:pt idx="29">
                  <c:v>1.2724191427343814</c:v>
                </c:pt>
                <c:pt idx="30">
                  <c:v>-1.6489064991742914</c:v>
                </c:pt>
                <c:pt idx="31">
                  <c:v>-4.7981972309239023</c:v>
                </c:pt>
                <c:pt idx="32">
                  <c:v>-8.1606723948549984</c:v>
                </c:pt>
                <c:pt idx="33">
                  <c:v>-11.704230553681377</c:v>
                </c:pt>
                <c:pt idx="34">
                  <c:v>-15.389417315622547</c:v>
                </c:pt>
                <c:pt idx="35">
                  <c:v>-19.17836077281423</c:v>
                </c:pt>
                <c:pt idx="36">
                  <c:v>-23.03971448208079</c:v>
                </c:pt>
                <c:pt idx="37">
                  <c:v>-26.949900913735213</c:v>
                </c:pt>
                <c:pt idx="38">
                  <c:v>-30.892261553795691</c:v>
                </c:pt>
                <c:pt idx="39">
                  <c:v>-34.85549598523184</c:v>
                </c:pt>
                <c:pt idx="40">
                  <c:v>-38.832137306569635</c:v>
                </c:pt>
                <c:pt idx="41">
                  <c:v>-42.817334069944252</c:v>
                </c:pt>
                <c:pt idx="42">
                  <c:v>-46.80796782996061</c:v>
                </c:pt>
                <c:pt idx="43">
                  <c:v>-50.802047721694322</c:v>
                </c:pt>
                <c:pt idx="44">
                  <c:v>-54.798308229342176</c:v>
                </c:pt>
                <c:pt idx="45">
                  <c:v>-58.795947111364491</c:v>
                </c:pt>
                <c:pt idx="46">
                  <c:v>-62.794456685878359</c:v>
                </c:pt>
                <c:pt idx="47">
                  <c:v>-66.793516027725929</c:v>
                </c:pt>
                <c:pt idx="48">
                  <c:v>-70.792922407707252</c:v>
                </c:pt>
                <c:pt idx="49">
                  <c:v>-74.792547817043499</c:v>
                </c:pt>
                <c:pt idx="50">
                  <c:v>-78.792311449687517</c:v>
                </c:pt>
              </c:numCache>
            </c:numRef>
          </c:yVal>
          <c:smooth val="1"/>
        </c:ser>
        <c:axId val="105225216"/>
        <c:axId val="105395328"/>
      </c:scatterChart>
      <c:scatterChart>
        <c:scatterStyle val="lineMarker"/>
        <c:ser>
          <c:idx val="1"/>
          <c:order val="1"/>
          <c:tx>
            <c:v>Phase</c:v>
          </c:tx>
          <c:spPr>
            <a:ln w="38100">
              <a:solidFill>
                <a:srgbClr val="0000FF"/>
              </a:solidFill>
              <a:prstDash val="solid"/>
            </a:ln>
          </c:spPr>
          <c:marker>
            <c:symbol val="none"/>
          </c:marker>
          <c:xVal>
            <c:numRef>
              <c:f>data!$B$205:$B$255</c:f>
              <c:numCache>
                <c:formatCode>General</c:formatCode>
                <c:ptCount val="51"/>
                <c:pt idx="0">
                  <c:v>10</c:v>
                </c:pt>
                <c:pt idx="1">
                  <c:v>12.58925411794168</c:v>
                </c:pt>
                <c:pt idx="2">
                  <c:v>15.848931924611136</c:v>
                </c:pt>
                <c:pt idx="3">
                  <c:v>19.952623149688804</c:v>
                </c:pt>
                <c:pt idx="4">
                  <c:v>25.118864315095799</c:v>
                </c:pt>
                <c:pt idx="5">
                  <c:v>31.622776601683803</c:v>
                </c:pt>
                <c:pt idx="6">
                  <c:v>39.810717055349755</c:v>
                </c:pt>
                <c:pt idx="7">
                  <c:v>50.118723362727238</c:v>
                </c:pt>
                <c:pt idx="8">
                  <c:v>63.095734448019364</c:v>
                </c:pt>
                <c:pt idx="9">
                  <c:v>79.432823472428197</c:v>
                </c:pt>
                <c:pt idx="10">
                  <c:v>100</c:v>
                </c:pt>
                <c:pt idx="11">
                  <c:v>125.89254117941677</c:v>
                </c:pt>
                <c:pt idx="12">
                  <c:v>158.48931924611153</c:v>
                </c:pt>
                <c:pt idx="13">
                  <c:v>199.52623149688802</c:v>
                </c:pt>
                <c:pt idx="14">
                  <c:v>251.18864315095806</c:v>
                </c:pt>
                <c:pt idx="15">
                  <c:v>316.22776601683825</c:v>
                </c:pt>
                <c:pt idx="16">
                  <c:v>398.10717055349761</c:v>
                </c:pt>
                <c:pt idx="17">
                  <c:v>501.18723362727269</c:v>
                </c:pt>
                <c:pt idx="18">
                  <c:v>630.95734448019323</c:v>
                </c:pt>
                <c:pt idx="19">
                  <c:v>794.32823472428208</c:v>
                </c:pt>
                <c:pt idx="20">
                  <c:v>1000</c:v>
                </c:pt>
                <c:pt idx="21">
                  <c:v>1258.925411794168</c:v>
                </c:pt>
                <c:pt idx="22">
                  <c:v>1584.8931924611156</c:v>
                </c:pt>
                <c:pt idx="23">
                  <c:v>1995.2623149688804</c:v>
                </c:pt>
                <c:pt idx="24">
                  <c:v>2511.8864315095811</c:v>
                </c:pt>
                <c:pt idx="25">
                  <c:v>3162.2776601683804</c:v>
                </c:pt>
                <c:pt idx="26">
                  <c:v>3981.0717055349769</c:v>
                </c:pt>
                <c:pt idx="27">
                  <c:v>5011.8723362727324</c:v>
                </c:pt>
                <c:pt idx="28">
                  <c:v>6309.5734448019384</c:v>
                </c:pt>
                <c:pt idx="29">
                  <c:v>7943.2823472428154</c:v>
                </c:pt>
                <c:pt idx="30">
                  <c:v>10000</c:v>
                </c:pt>
                <c:pt idx="31">
                  <c:v>12589.254117941671</c:v>
                </c:pt>
                <c:pt idx="32">
                  <c:v>15848.931924611146</c:v>
                </c:pt>
                <c:pt idx="33">
                  <c:v>19952.623149688792</c:v>
                </c:pt>
                <c:pt idx="34">
                  <c:v>25118.86431509586</c:v>
                </c:pt>
                <c:pt idx="35">
                  <c:v>31622.77660168384</c:v>
                </c:pt>
                <c:pt idx="36">
                  <c:v>39810.717055349742</c:v>
                </c:pt>
                <c:pt idx="37">
                  <c:v>50118.723362727294</c:v>
                </c:pt>
                <c:pt idx="38">
                  <c:v>63095.734448019342</c:v>
                </c:pt>
                <c:pt idx="39">
                  <c:v>79432.823472428237</c:v>
                </c:pt>
                <c:pt idx="40">
                  <c:v>100000</c:v>
                </c:pt>
                <c:pt idx="41">
                  <c:v>125892.54117941685</c:v>
                </c:pt>
                <c:pt idx="42">
                  <c:v>158489.31924611164</c:v>
                </c:pt>
                <c:pt idx="43">
                  <c:v>199526.23149688813</c:v>
                </c:pt>
                <c:pt idx="44">
                  <c:v>251188.64315095844</c:v>
                </c:pt>
                <c:pt idx="45">
                  <c:v>316227.7660168382</c:v>
                </c:pt>
                <c:pt idx="46">
                  <c:v>398107.17055349716</c:v>
                </c:pt>
                <c:pt idx="47">
                  <c:v>501187.23362727347</c:v>
                </c:pt>
                <c:pt idx="48">
                  <c:v>630957.34448019415</c:v>
                </c:pt>
                <c:pt idx="49">
                  <c:v>794328.23472428333</c:v>
                </c:pt>
                <c:pt idx="50">
                  <c:v>1000000</c:v>
                </c:pt>
              </c:numCache>
            </c:numRef>
          </c:xVal>
          <c:yVal>
            <c:numRef>
              <c:f>data!$F$205:$F$255</c:f>
              <c:numCache>
                <c:formatCode>General</c:formatCode>
                <c:ptCount val="51"/>
                <c:pt idx="0">
                  <c:v>-90.059392697514753</c:v>
                </c:pt>
                <c:pt idx="1">
                  <c:v>-90.074770960512097</c:v>
                </c:pt>
                <c:pt idx="2">
                  <c:v>-90.094131030998739</c:v>
                </c:pt>
                <c:pt idx="3">
                  <c:v>-90.118503884602433</c:v>
                </c:pt>
                <c:pt idx="4">
                  <c:v>-90.149187427297576</c:v>
                </c:pt>
                <c:pt idx="5">
                  <c:v>-90.187815595086064</c:v>
                </c:pt>
                <c:pt idx="6">
                  <c:v>-90.236445330046195</c:v>
                </c:pt>
                <c:pt idx="7">
                  <c:v>-90.297666046173831</c:v>
                </c:pt>
                <c:pt idx="8">
                  <c:v>-90.374737377826563</c:v>
                </c:pt>
                <c:pt idx="9">
                  <c:v>-90.471762473273785</c:v>
                </c:pt>
                <c:pt idx="10">
                  <c:v>-90.593905916037457</c:v>
                </c:pt>
                <c:pt idx="11">
                  <c:v>-90.747667588272392</c:v>
                </c:pt>
                <c:pt idx="12">
                  <c:v>-90.941226480412112</c:v>
                </c:pt>
                <c:pt idx="13">
                  <c:v>-91.184871600028472</c:v>
                </c:pt>
                <c:pt idx="14">
                  <c:v>-91.491540623913124</c:v>
                </c:pt>
                <c:pt idx="15">
                  <c:v>-91.877490393302978</c:v>
                </c:pt>
                <c:pt idx="16">
                  <c:v>-92.363125843648817</c:v>
                </c:pt>
                <c:pt idx="17">
                  <c:v>-92.974013432601566</c:v>
                </c:pt>
                <c:pt idx="18">
                  <c:v>-93.742097296689082</c:v>
                </c:pt>
                <c:pt idx="19">
                  <c:v>-94.70711264666771</c:v>
                </c:pt>
                <c:pt idx="20">
                  <c:v>-95.91813477437492</c:v>
                </c:pt>
                <c:pt idx="21">
                  <c:v>-97.435083163577474</c:v>
                </c:pt>
                <c:pt idx="22">
                  <c:v>-99.329767011912338</c:v>
                </c:pt>
                <c:pt idx="23">
                  <c:v>-101.6856351124372</c:v>
                </c:pt>
                <c:pt idx="24">
                  <c:v>-104.59470302600423</c:v>
                </c:pt>
                <c:pt idx="25">
                  <c:v>-108.14920721004658</c:v>
                </c:pt>
                <c:pt idx="26">
                  <c:v>-112.42482798170502</c:v>
                </c:pt>
                <c:pt idx="27">
                  <c:v>-117.45322720109729</c:v>
                </c:pt>
                <c:pt idx="28">
                  <c:v>-123.18666987764868</c:v>
                </c:pt>
                <c:pt idx="29">
                  <c:v>-129.46802259383855</c:v>
                </c:pt>
                <c:pt idx="30">
                  <c:v>-136.02951740311886</c:v>
                </c:pt>
                <c:pt idx="31">
                  <c:v>-142.53765282062571</c:v>
                </c:pt>
                <c:pt idx="32">
                  <c:v>-148.67193839220369</c:v>
                </c:pt>
                <c:pt idx="33">
                  <c:v>-154.19659768635148</c:v>
                </c:pt>
                <c:pt idx="34">
                  <c:v>-158.99064081311957</c:v>
                </c:pt>
                <c:pt idx="35">
                  <c:v>-163.03499581771408</c:v>
                </c:pt>
                <c:pt idx="36">
                  <c:v>-166.37864139029577</c:v>
                </c:pt>
                <c:pt idx="37">
                  <c:v>-169.10485938665514</c:v>
                </c:pt>
                <c:pt idx="38">
                  <c:v>-171.3071584096059</c:v>
                </c:pt>
                <c:pt idx="39">
                  <c:v>-173.07546894636772</c:v>
                </c:pt>
                <c:pt idx="40">
                  <c:v>-174.48976361234236</c:v>
                </c:pt>
                <c:pt idx="41">
                  <c:v>-175.6180827810586</c:v>
                </c:pt>
                <c:pt idx="42">
                  <c:v>-176.51681472590937</c:v>
                </c:pt>
                <c:pt idx="43">
                  <c:v>-177.23194960926315</c:v>
                </c:pt>
                <c:pt idx="44">
                  <c:v>-177.80062809349997</c:v>
                </c:pt>
                <c:pt idx="45">
                  <c:v>-178.25266011665281</c:v>
                </c:pt>
                <c:pt idx="46">
                  <c:v>-178.61187979486505</c:v>
                </c:pt>
                <c:pt idx="47">
                  <c:v>-178.89729731253414</c:v>
                </c:pt>
                <c:pt idx="48">
                  <c:v>-179.1240522101904</c:v>
                </c:pt>
                <c:pt idx="49">
                  <c:v>-179.30418993302627</c:v>
                </c:pt>
                <c:pt idx="50">
                  <c:v>-179.44728839050811</c:v>
                </c:pt>
              </c:numCache>
            </c:numRef>
          </c:yVal>
          <c:smooth val="1"/>
        </c:ser>
        <c:axId val="105397248"/>
        <c:axId val="105399040"/>
      </c:scatterChart>
      <c:valAx>
        <c:axId val="105225216"/>
        <c:scaling>
          <c:logBase val="10"/>
          <c:orientation val="minMax"/>
          <c:max val="1000000"/>
          <c:min val="10"/>
        </c:scaling>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75" b="1" i="0" u="none" strike="noStrike" baseline="0">
                    <a:solidFill>
                      <a:srgbClr val="000000"/>
                    </a:solidFill>
                    <a:latin typeface="Arial"/>
                    <a:ea typeface="Arial"/>
                    <a:cs typeface="Arial"/>
                  </a:defRPr>
                </a:pPr>
                <a:r>
                  <a:rPr lang="en-US"/>
                  <a:t>Frequency (Hz)</a:t>
                </a:r>
              </a:p>
            </c:rich>
          </c:tx>
          <c:layout>
            <c:manualLayout>
              <c:xMode val="edge"/>
              <c:yMode val="edge"/>
              <c:x val="0.42781456953642405"/>
              <c:y val="0.86948176583493253"/>
            </c:manualLayout>
          </c:layout>
          <c:spPr>
            <a:noFill/>
            <a:ln w="25400">
              <a:noFill/>
            </a:ln>
          </c:spPr>
        </c:title>
        <c:numFmt formatCode="General" sourceLinked="1"/>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105395328"/>
        <c:crossesAt val="-100"/>
        <c:crossBetween val="midCat"/>
        <c:majorUnit val="10"/>
        <c:minorUnit val="10"/>
      </c:valAx>
      <c:valAx>
        <c:axId val="105395328"/>
        <c:scaling>
          <c:orientation val="minMax"/>
          <c:max val="100"/>
          <c:min val="-100"/>
        </c:scaling>
        <c:axPos val="l"/>
        <c:majorGridlines>
          <c:spPr>
            <a:ln w="3175">
              <a:solidFill>
                <a:srgbClr val="000000"/>
              </a:solidFill>
              <a:prstDash val="solid"/>
            </a:ln>
          </c:spPr>
        </c:majorGridlines>
        <c:title>
          <c:tx>
            <c:rich>
              <a:bodyPr/>
              <a:lstStyle/>
              <a:p>
                <a:pPr>
                  <a:defRPr sz="1075" b="1" i="0" u="none" strike="noStrike" baseline="0">
                    <a:solidFill>
                      <a:srgbClr val="000000"/>
                    </a:solidFill>
                    <a:latin typeface="Arial"/>
                    <a:ea typeface="Arial"/>
                    <a:cs typeface="Arial"/>
                  </a:defRPr>
                </a:pPr>
                <a:r>
                  <a:rPr lang="en-US"/>
                  <a:t>Gain (dB)</a:t>
                </a:r>
              </a:p>
            </c:rich>
          </c:tx>
          <c:layout>
            <c:manualLayout>
              <c:xMode val="edge"/>
              <c:yMode val="edge"/>
              <c:x val="2.1192052980132447E-2"/>
              <c:y val="0.41074856046065272"/>
            </c:manualLayout>
          </c:layout>
          <c:spPr>
            <a:noFill/>
            <a:ln w="25400">
              <a:noFill/>
            </a:ln>
          </c:spPr>
        </c:title>
        <c:numFmt formatCode="General" sourceLinked="1"/>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105225216"/>
        <c:crossesAt val="10"/>
        <c:crossBetween val="midCat"/>
        <c:minorUnit val="10"/>
      </c:valAx>
      <c:valAx>
        <c:axId val="105397248"/>
        <c:scaling>
          <c:logBase val="10"/>
          <c:orientation val="minMax"/>
        </c:scaling>
        <c:delete val="1"/>
        <c:axPos val="t"/>
        <c:numFmt formatCode="General" sourceLinked="1"/>
        <c:tickLblPos val="none"/>
        <c:crossAx val="105399040"/>
        <c:crossesAt val="-180"/>
        <c:crossBetween val="midCat"/>
      </c:valAx>
      <c:valAx>
        <c:axId val="105399040"/>
        <c:scaling>
          <c:orientation val="minMax"/>
          <c:max val="-80"/>
          <c:min val="-180"/>
        </c:scaling>
        <c:axPos val="r"/>
        <c:title>
          <c:tx>
            <c:rich>
              <a:bodyPr rot="5400000" vert="horz"/>
              <a:lstStyle/>
              <a:p>
                <a:pPr algn="ctr">
                  <a:defRPr sz="1000" b="1" i="0" u="none" strike="noStrike" baseline="0">
                    <a:solidFill>
                      <a:srgbClr val="000000"/>
                    </a:solidFill>
                    <a:latin typeface="Arial"/>
                    <a:ea typeface="Arial"/>
                    <a:cs typeface="Arial"/>
                  </a:defRPr>
                </a:pPr>
                <a:r>
                  <a:rPr lang="en-US"/>
                  <a:t>Phase (degrees)</a:t>
                </a:r>
              </a:p>
            </c:rich>
          </c:tx>
          <c:layout>
            <c:manualLayout>
              <c:xMode val="edge"/>
              <c:yMode val="edge"/>
              <c:x val="0.94966887417218582"/>
              <c:y val="0.3742802303262957"/>
            </c:manualLayout>
          </c:layout>
          <c:spPr>
            <a:noFill/>
            <a:ln w="25400">
              <a:noFill/>
            </a:ln>
          </c:spPr>
        </c:title>
        <c:numFmt formatCode="General" sourceLinked="1"/>
        <c:majorTickMark val="cross"/>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105397248"/>
        <c:crosses val="max"/>
        <c:crossBetween val="midCat"/>
        <c:minorUnit val="10"/>
      </c:valAx>
      <c:spPr>
        <a:gradFill rotWithShape="0">
          <a:gsLst>
            <a:gs pos="0">
              <a:srgbClr val="FFFFFF"/>
            </a:gs>
            <a:gs pos="100000">
              <a:srgbClr val="FFFFCC"/>
            </a:gs>
          </a:gsLst>
          <a:lin ang="5400000" scaled="1"/>
        </a:gradFill>
        <a:ln w="12700">
          <a:solidFill>
            <a:srgbClr val="808080"/>
          </a:solidFill>
          <a:prstDash val="solid"/>
        </a:ln>
      </c:spPr>
    </c:plotArea>
    <c:legend>
      <c:legendPos val="b"/>
      <c:layout>
        <c:manualLayout>
          <c:xMode val="edge"/>
          <c:yMode val="edge"/>
          <c:x val="0.40662251655629139"/>
          <c:y val="0.93857965451055692"/>
          <c:w val="0.18940397350993388"/>
          <c:h val="4.7984644913627673E-2"/>
        </c:manualLayout>
      </c:layout>
      <c:spPr>
        <a:solidFill>
          <a:srgbClr val="FFFFFF"/>
        </a:solidFill>
        <a:ln w="3175">
          <a:solidFill>
            <a:srgbClr val="000000"/>
          </a:solidFill>
          <a:prstDash val="solid"/>
        </a:ln>
      </c:spPr>
      <c:txPr>
        <a:bodyPr/>
        <a:lstStyle/>
        <a:p>
          <a:pPr>
            <a:defRPr sz="98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875" b="1" i="0" u="none" strike="noStrike" baseline="0">
                <a:solidFill>
                  <a:srgbClr val="000000"/>
                </a:solidFill>
                <a:latin typeface="Arial"/>
                <a:ea typeface="Arial"/>
                <a:cs typeface="Arial"/>
              </a:defRPr>
            </a:pPr>
            <a:r>
              <a:rPr lang="en-US"/>
              <a:t>Input Voltage and Current Waveforms</a:t>
            </a:r>
          </a:p>
        </c:rich>
      </c:tx>
      <c:layout>
        <c:manualLayout>
          <c:xMode val="edge"/>
          <c:yMode val="edge"/>
          <c:x val="0.35723817910412931"/>
          <c:y val="3.3426183844011144E-2"/>
        </c:manualLayout>
      </c:layout>
      <c:spPr>
        <a:noFill/>
        <a:ln w="25400">
          <a:noFill/>
        </a:ln>
      </c:spPr>
    </c:title>
    <c:plotArea>
      <c:layout>
        <c:manualLayout>
          <c:layoutTarget val="inner"/>
          <c:xMode val="edge"/>
          <c:yMode val="edge"/>
          <c:x val="8.6321493092075846E-2"/>
          <c:y val="0.16991643454039013"/>
          <c:w val="0.83267040259587044"/>
          <c:h val="0.64345403899721454"/>
        </c:manualLayout>
      </c:layout>
      <c:scatterChart>
        <c:scatterStyle val="smoothMarker"/>
        <c:ser>
          <c:idx val="0"/>
          <c:order val="0"/>
          <c:tx>
            <c:v>Vin</c:v>
          </c:tx>
          <c:spPr>
            <a:ln w="38100">
              <a:solidFill>
                <a:srgbClr val="FF0000"/>
              </a:solidFill>
              <a:prstDash val="solid"/>
            </a:ln>
          </c:spPr>
          <c:marker>
            <c:symbol val="none"/>
          </c:marker>
          <c:xVal>
            <c:numRef>
              <c:f>data!$A$273:$A$382</c:f>
              <c:numCache>
                <c:formatCode>General</c:formatCode>
                <c:ptCount val="110"/>
                <c:pt idx="0">
                  <c:v>0</c:v>
                </c:pt>
                <c:pt idx="1">
                  <c:v>0.1</c:v>
                </c:pt>
                <c:pt idx="2">
                  <c:v>0.2</c:v>
                </c:pt>
                <c:pt idx="3">
                  <c:v>0.3</c:v>
                </c:pt>
                <c:pt idx="4">
                  <c:v>0.4</c:v>
                </c:pt>
                <c:pt idx="5">
                  <c:v>0.5</c:v>
                </c:pt>
                <c:pt idx="6">
                  <c:v>0.6</c:v>
                </c:pt>
                <c:pt idx="7">
                  <c:v>0.7</c:v>
                </c:pt>
                <c:pt idx="8">
                  <c:v>0.8</c:v>
                </c:pt>
                <c:pt idx="9">
                  <c:v>0.9</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pt idx="53">
                  <c:v>44</c:v>
                </c:pt>
                <c:pt idx="54">
                  <c:v>45</c:v>
                </c:pt>
                <c:pt idx="55">
                  <c:v>46</c:v>
                </c:pt>
                <c:pt idx="56">
                  <c:v>47</c:v>
                </c:pt>
                <c:pt idx="57">
                  <c:v>48</c:v>
                </c:pt>
                <c:pt idx="58">
                  <c:v>49</c:v>
                </c:pt>
                <c:pt idx="59">
                  <c:v>50</c:v>
                </c:pt>
                <c:pt idx="60">
                  <c:v>51</c:v>
                </c:pt>
                <c:pt idx="61">
                  <c:v>52</c:v>
                </c:pt>
                <c:pt idx="62">
                  <c:v>53</c:v>
                </c:pt>
                <c:pt idx="63">
                  <c:v>54</c:v>
                </c:pt>
                <c:pt idx="64">
                  <c:v>55</c:v>
                </c:pt>
                <c:pt idx="65">
                  <c:v>56</c:v>
                </c:pt>
                <c:pt idx="66">
                  <c:v>57</c:v>
                </c:pt>
                <c:pt idx="67">
                  <c:v>58</c:v>
                </c:pt>
                <c:pt idx="68">
                  <c:v>59</c:v>
                </c:pt>
                <c:pt idx="69">
                  <c:v>60</c:v>
                </c:pt>
                <c:pt idx="70">
                  <c:v>61</c:v>
                </c:pt>
                <c:pt idx="71">
                  <c:v>62</c:v>
                </c:pt>
                <c:pt idx="72">
                  <c:v>63</c:v>
                </c:pt>
                <c:pt idx="73">
                  <c:v>64</c:v>
                </c:pt>
                <c:pt idx="74">
                  <c:v>65</c:v>
                </c:pt>
                <c:pt idx="75">
                  <c:v>66</c:v>
                </c:pt>
                <c:pt idx="76">
                  <c:v>67</c:v>
                </c:pt>
                <c:pt idx="77">
                  <c:v>68</c:v>
                </c:pt>
                <c:pt idx="78">
                  <c:v>69</c:v>
                </c:pt>
                <c:pt idx="79">
                  <c:v>70</c:v>
                </c:pt>
                <c:pt idx="80">
                  <c:v>71</c:v>
                </c:pt>
                <c:pt idx="81">
                  <c:v>72</c:v>
                </c:pt>
                <c:pt idx="82">
                  <c:v>73</c:v>
                </c:pt>
                <c:pt idx="83">
                  <c:v>74</c:v>
                </c:pt>
                <c:pt idx="84">
                  <c:v>75</c:v>
                </c:pt>
                <c:pt idx="85">
                  <c:v>76</c:v>
                </c:pt>
                <c:pt idx="86">
                  <c:v>77</c:v>
                </c:pt>
                <c:pt idx="87">
                  <c:v>78</c:v>
                </c:pt>
                <c:pt idx="88">
                  <c:v>79</c:v>
                </c:pt>
                <c:pt idx="89">
                  <c:v>80</c:v>
                </c:pt>
                <c:pt idx="90">
                  <c:v>81</c:v>
                </c:pt>
                <c:pt idx="91">
                  <c:v>82</c:v>
                </c:pt>
                <c:pt idx="92">
                  <c:v>83</c:v>
                </c:pt>
                <c:pt idx="93">
                  <c:v>84</c:v>
                </c:pt>
                <c:pt idx="94">
                  <c:v>85</c:v>
                </c:pt>
                <c:pt idx="95">
                  <c:v>86</c:v>
                </c:pt>
                <c:pt idx="96">
                  <c:v>87</c:v>
                </c:pt>
                <c:pt idx="97">
                  <c:v>88</c:v>
                </c:pt>
                <c:pt idx="98">
                  <c:v>89</c:v>
                </c:pt>
                <c:pt idx="99">
                  <c:v>90</c:v>
                </c:pt>
                <c:pt idx="100">
                  <c:v>91</c:v>
                </c:pt>
                <c:pt idx="101">
                  <c:v>92</c:v>
                </c:pt>
                <c:pt idx="102">
                  <c:v>93</c:v>
                </c:pt>
                <c:pt idx="103">
                  <c:v>94</c:v>
                </c:pt>
                <c:pt idx="104">
                  <c:v>95</c:v>
                </c:pt>
                <c:pt idx="105">
                  <c:v>96</c:v>
                </c:pt>
                <c:pt idx="106">
                  <c:v>97</c:v>
                </c:pt>
                <c:pt idx="107">
                  <c:v>98</c:v>
                </c:pt>
                <c:pt idx="108">
                  <c:v>99</c:v>
                </c:pt>
                <c:pt idx="109">
                  <c:v>100</c:v>
                </c:pt>
              </c:numCache>
            </c:numRef>
          </c:xVal>
          <c:yVal>
            <c:numRef>
              <c:f>data!$C$273:$C$382</c:f>
              <c:numCache>
                <c:formatCode>General</c:formatCode>
                <c:ptCount val="110"/>
                <c:pt idx="0">
                  <c:v>0</c:v>
                </c:pt>
                <c:pt idx="1">
                  <c:v>2.9530193725878626</c:v>
                </c:pt>
                <c:pt idx="2">
                  <c:v>5.9055724291843079</c:v>
                </c:pt>
                <c:pt idx="3">
                  <c:v>8.8571929274346175</c:v>
                </c:pt>
                <c:pt idx="4">
                  <c:v>11.807414772245846</c:v>
                </c:pt>
                <c:pt idx="5">
                  <c:v>14.755772089388643</c:v>
                </c:pt>
                <c:pt idx="6">
                  <c:v>17.701799299064188</c:v>
                </c:pt>
                <c:pt idx="7">
                  <c:v>20.645031189424643</c:v>
                </c:pt>
                <c:pt idx="8">
                  <c:v>23.585002990035502</c:v>
                </c:pt>
                <c:pt idx="9">
                  <c:v>26.521250445268194</c:v>
                </c:pt>
                <c:pt idx="10">
                  <c:v>29.4533098876115</c:v>
                </c:pt>
                <c:pt idx="11">
                  <c:v>58.442123483740879</c:v>
                </c:pt>
                <c:pt idx="12">
                  <c:v>86.509269880899311</c:v>
                </c:pt>
                <c:pt idx="13">
                  <c:v>113.2121134139031</c:v>
                </c:pt>
                <c:pt idx="14">
                  <c:v>138.12953428873118</c:v>
                </c:pt>
                <c:pt idx="15">
                  <c:v>160.86856989324181</c:v>
                </c:pt>
                <c:pt idx="16">
                  <c:v>181.07061205231048</c:v>
                </c:pt>
                <c:pt idx="17">
                  <c:v>198.41706249297354</c:v>
                </c:pt>
                <c:pt idx="18">
                  <c:v>212.63435732951461</c:v>
                </c:pt>
                <c:pt idx="19">
                  <c:v>223.49828132936108</c:v>
                </c:pt>
                <c:pt idx="20">
                  <c:v>230.83750392124182</c:v>
                </c:pt>
                <c:pt idx="21">
                  <c:v>234.53628118064381</c:v>
                </c:pt>
                <c:pt idx="22">
                  <c:v>234.53628118064381</c:v>
                </c:pt>
                <c:pt idx="23">
                  <c:v>230.83750392124185</c:v>
                </c:pt>
                <c:pt idx="24">
                  <c:v>223.49828132936111</c:v>
                </c:pt>
                <c:pt idx="25">
                  <c:v>212.63435732951459</c:v>
                </c:pt>
                <c:pt idx="26">
                  <c:v>198.41706249297351</c:v>
                </c:pt>
                <c:pt idx="27">
                  <c:v>181.07061205231048</c:v>
                </c:pt>
                <c:pt idx="28">
                  <c:v>160.86856989324187</c:v>
                </c:pt>
                <c:pt idx="29">
                  <c:v>138.12953428873121</c:v>
                </c:pt>
                <c:pt idx="30">
                  <c:v>113.21211341390307</c:v>
                </c:pt>
                <c:pt idx="31">
                  <c:v>86.509269880899367</c:v>
                </c:pt>
                <c:pt idx="32">
                  <c:v>58.442123483740978</c:v>
                </c:pt>
                <c:pt idx="33">
                  <c:v>29.453309887611567</c:v>
                </c:pt>
                <c:pt idx="34">
                  <c:v>2.879098869035257E-14</c:v>
                </c:pt>
                <c:pt idx="35">
                  <c:v>29.453309887611507</c:v>
                </c:pt>
                <c:pt idx="36">
                  <c:v>58.442123483740822</c:v>
                </c:pt>
                <c:pt idx="37">
                  <c:v>86.509269880899311</c:v>
                </c:pt>
                <c:pt idx="38">
                  <c:v>113.21211341390311</c:v>
                </c:pt>
                <c:pt idx="39">
                  <c:v>138.12953428873109</c:v>
                </c:pt>
                <c:pt idx="40">
                  <c:v>160.86856989324178</c:v>
                </c:pt>
                <c:pt idx="41">
                  <c:v>181.07061205231051</c:v>
                </c:pt>
                <c:pt idx="42">
                  <c:v>198.4170624929736</c:v>
                </c:pt>
                <c:pt idx="43">
                  <c:v>212.63435732951464</c:v>
                </c:pt>
                <c:pt idx="44">
                  <c:v>223.49828132936108</c:v>
                </c:pt>
                <c:pt idx="45">
                  <c:v>230.83750392124185</c:v>
                </c:pt>
                <c:pt idx="46">
                  <c:v>234.53628118064381</c:v>
                </c:pt>
                <c:pt idx="47">
                  <c:v>234.53628118064381</c:v>
                </c:pt>
                <c:pt idx="48">
                  <c:v>230.83750392124185</c:v>
                </c:pt>
                <c:pt idx="49">
                  <c:v>223.49828132936111</c:v>
                </c:pt>
                <c:pt idx="50">
                  <c:v>212.63435732951467</c:v>
                </c:pt>
                <c:pt idx="51">
                  <c:v>198.41706249297351</c:v>
                </c:pt>
                <c:pt idx="52">
                  <c:v>181.07061205231057</c:v>
                </c:pt>
                <c:pt idx="53">
                  <c:v>160.8685698932419</c:v>
                </c:pt>
                <c:pt idx="54">
                  <c:v>138.12953428873124</c:v>
                </c:pt>
                <c:pt idx="55">
                  <c:v>113.21211341390328</c:v>
                </c:pt>
                <c:pt idx="56">
                  <c:v>86.509269880899296</c:v>
                </c:pt>
                <c:pt idx="57">
                  <c:v>58.442123483741007</c:v>
                </c:pt>
                <c:pt idx="58">
                  <c:v>29.453309887611592</c:v>
                </c:pt>
                <c:pt idx="59">
                  <c:v>5.758197738070514E-14</c:v>
                </c:pt>
                <c:pt idx="60">
                  <c:v>29.453309887611482</c:v>
                </c:pt>
                <c:pt idx="61">
                  <c:v>58.442123483740893</c:v>
                </c:pt>
                <c:pt idx="62">
                  <c:v>86.509269880899382</c:v>
                </c:pt>
                <c:pt idx="63">
                  <c:v>113.212113413903</c:v>
                </c:pt>
                <c:pt idx="64">
                  <c:v>138.12953428873112</c:v>
                </c:pt>
                <c:pt idx="65">
                  <c:v>160.86856989324181</c:v>
                </c:pt>
                <c:pt idx="66">
                  <c:v>181.07061205231034</c:v>
                </c:pt>
                <c:pt idx="67">
                  <c:v>198.41706249297357</c:v>
                </c:pt>
                <c:pt idx="68">
                  <c:v>212.63435732951456</c:v>
                </c:pt>
                <c:pt idx="69">
                  <c:v>223.49828132936099</c:v>
                </c:pt>
                <c:pt idx="70">
                  <c:v>230.83750392124182</c:v>
                </c:pt>
                <c:pt idx="71">
                  <c:v>234.53628118064381</c:v>
                </c:pt>
                <c:pt idx="72">
                  <c:v>234.53628118064381</c:v>
                </c:pt>
                <c:pt idx="73">
                  <c:v>230.83750392124182</c:v>
                </c:pt>
                <c:pt idx="74">
                  <c:v>223.49828132936111</c:v>
                </c:pt>
                <c:pt idx="75">
                  <c:v>212.63435732951453</c:v>
                </c:pt>
                <c:pt idx="76">
                  <c:v>198.41706249297354</c:v>
                </c:pt>
                <c:pt idx="77">
                  <c:v>181.07061205231031</c:v>
                </c:pt>
                <c:pt idx="78">
                  <c:v>160.86856989324178</c:v>
                </c:pt>
                <c:pt idx="79">
                  <c:v>138.12953428873124</c:v>
                </c:pt>
                <c:pt idx="80">
                  <c:v>113.21211341390294</c:v>
                </c:pt>
                <c:pt idx="81">
                  <c:v>86.509269880899325</c:v>
                </c:pt>
                <c:pt idx="82">
                  <c:v>58.442123483741042</c:v>
                </c:pt>
                <c:pt idx="83">
                  <c:v>29.453309887611415</c:v>
                </c:pt>
                <c:pt idx="84">
                  <c:v>8.6372966071057711E-14</c:v>
                </c:pt>
                <c:pt idx="85">
                  <c:v>29.453309887611248</c:v>
                </c:pt>
                <c:pt idx="86">
                  <c:v>58.442123483740872</c:v>
                </c:pt>
                <c:pt idx="87">
                  <c:v>86.509269880899154</c:v>
                </c:pt>
                <c:pt idx="88">
                  <c:v>113.21211341390315</c:v>
                </c:pt>
                <c:pt idx="89">
                  <c:v>138.12953428873112</c:v>
                </c:pt>
                <c:pt idx="90">
                  <c:v>160.86856989324164</c:v>
                </c:pt>
                <c:pt idx="91">
                  <c:v>181.0706120523102</c:v>
                </c:pt>
                <c:pt idx="92">
                  <c:v>198.41706249297368</c:v>
                </c:pt>
                <c:pt idx="93">
                  <c:v>212.63435732951461</c:v>
                </c:pt>
                <c:pt idx="94">
                  <c:v>223.49828132936105</c:v>
                </c:pt>
                <c:pt idx="95">
                  <c:v>230.83750392124179</c:v>
                </c:pt>
                <c:pt idx="96">
                  <c:v>234.53628118064378</c:v>
                </c:pt>
                <c:pt idx="97">
                  <c:v>234.53628118064381</c:v>
                </c:pt>
                <c:pt idx="98">
                  <c:v>230.83750392124182</c:v>
                </c:pt>
                <c:pt idx="99">
                  <c:v>223.49828132936113</c:v>
                </c:pt>
                <c:pt idx="100">
                  <c:v>212.6343573295147</c:v>
                </c:pt>
                <c:pt idx="101">
                  <c:v>198.41706249297377</c:v>
                </c:pt>
                <c:pt idx="102">
                  <c:v>181.07061205231057</c:v>
                </c:pt>
                <c:pt idx="103">
                  <c:v>160.86856989324181</c:v>
                </c:pt>
                <c:pt idx="104">
                  <c:v>138.12953428873126</c:v>
                </c:pt>
                <c:pt idx="105">
                  <c:v>113.21211341390334</c:v>
                </c:pt>
                <c:pt idx="106">
                  <c:v>86.509269880899353</c:v>
                </c:pt>
                <c:pt idx="107">
                  <c:v>58.442123483741064</c:v>
                </c:pt>
                <c:pt idx="108">
                  <c:v>29.453309887611443</c:v>
                </c:pt>
                <c:pt idx="109">
                  <c:v>1.1516395476141028E-13</c:v>
                </c:pt>
              </c:numCache>
            </c:numRef>
          </c:yVal>
          <c:smooth val="1"/>
        </c:ser>
        <c:axId val="106196352"/>
        <c:axId val="106222720"/>
      </c:scatterChart>
      <c:scatterChart>
        <c:scatterStyle val="lineMarker"/>
        <c:ser>
          <c:idx val="1"/>
          <c:order val="1"/>
          <c:tx>
            <c:v>Iin</c:v>
          </c:tx>
          <c:spPr>
            <a:ln w="38100">
              <a:solidFill>
                <a:srgbClr val="0000FF"/>
              </a:solidFill>
              <a:prstDash val="solid"/>
            </a:ln>
          </c:spPr>
          <c:marker>
            <c:symbol val="none"/>
          </c:marker>
          <c:xVal>
            <c:numRef>
              <c:f>data!$A$273:$A$382</c:f>
              <c:numCache>
                <c:formatCode>General</c:formatCode>
                <c:ptCount val="110"/>
                <c:pt idx="0">
                  <c:v>0</c:v>
                </c:pt>
                <c:pt idx="1">
                  <c:v>0.1</c:v>
                </c:pt>
                <c:pt idx="2">
                  <c:v>0.2</c:v>
                </c:pt>
                <c:pt idx="3">
                  <c:v>0.3</c:v>
                </c:pt>
                <c:pt idx="4">
                  <c:v>0.4</c:v>
                </c:pt>
                <c:pt idx="5">
                  <c:v>0.5</c:v>
                </c:pt>
                <c:pt idx="6">
                  <c:v>0.6</c:v>
                </c:pt>
                <c:pt idx="7">
                  <c:v>0.7</c:v>
                </c:pt>
                <c:pt idx="8">
                  <c:v>0.8</c:v>
                </c:pt>
                <c:pt idx="9">
                  <c:v>0.9</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pt idx="53">
                  <c:v>44</c:v>
                </c:pt>
                <c:pt idx="54">
                  <c:v>45</c:v>
                </c:pt>
                <c:pt idx="55">
                  <c:v>46</c:v>
                </c:pt>
                <c:pt idx="56">
                  <c:v>47</c:v>
                </c:pt>
                <c:pt idx="57">
                  <c:v>48</c:v>
                </c:pt>
                <c:pt idx="58">
                  <c:v>49</c:v>
                </c:pt>
                <c:pt idx="59">
                  <c:v>50</c:v>
                </c:pt>
                <c:pt idx="60">
                  <c:v>51</c:v>
                </c:pt>
                <c:pt idx="61">
                  <c:v>52</c:v>
                </c:pt>
                <c:pt idx="62">
                  <c:v>53</c:v>
                </c:pt>
                <c:pt idx="63">
                  <c:v>54</c:v>
                </c:pt>
                <c:pt idx="64">
                  <c:v>55</c:v>
                </c:pt>
                <c:pt idx="65">
                  <c:v>56</c:v>
                </c:pt>
                <c:pt idx="66">
                  <c:v>57</c:v>
                </c:pt>
                <c:pt idx="67">
                  <c:v>58</c:v>
                </c:pt>
                <c:pt idx="68">
                  <c:v>59</c:v>
                </c:pt>
                <c:pt idx="69">
                  <c:v>60</c:v>
                </c:pt>
                <c:pt idx="70">
                  <c:v>61</c:v>
                </c:pt>
                <c:pt idx="71">
                  <c:v>62</c:v>
                </c:pt>
                <c:pt idx="72">
                  <c:v>63</c:v>
                </c:pt>
                <c:pt idx="73">
                  <c:v>64</c:v>
                </c:pt>
                <c:pt idx="74">
                  <c:v>65</c:v>
                </c:pt>
                <c:pt idx="75">
                  <c:v>66</c:v>
                </c:pt>
                <c:pt idx="76">
                  <c:v>67</c:v>
                </c:pt>
                <c:pt idx="77">
                  <c:v>68</c:v>
                </c:pt>
                <c:pt idx="78">
                  <c:v>69</c:v>
                </c:pt>
                <c:pt idx="79">
                  <c:v>70</c:v>
                </c:pt>
                <c:pt idx="80">
                  <c:v>71</c:v>
                </c:pt>
                <c:pt idx="81">
                  <c:v>72</c:v>
                </c:pt>
                <c:pt idx="82">
                  <c:v>73</c:v>
                </c:pt>
                <c:pt idx="83">
                  <c:v>74</c:v>
                </c:pt>
                <c:pt idx="84">
                  <c:v>75</c:v>
                </c:pt>
                <c:pt idx="85">
                  <c:v>76</c:v>
                </c:pt>
                <c:pt idx="86">
                  <c:v>77</c:v>
                </c:pt>
                <c:pt idx="87">
                  <c:v>78</c:v>
                </c:pt>
                <c:pt idx="88">
                  <c:v>79</c:v>
                </c:pt>
                <c:pt idx="89">
                  <c:v>80</c:v>
                </c:pt>
                <c:pt idx="90">
                  <c:v>81</c:v>
                </c:pt>
                <c:pt idx="91">
                  <c:v>82</c:v>
                </c:pt>
                <c:pt idx="92">
                  <c:v>83</c:v>
                </c:pt>
                <c:pt idx="93">
                  <c:v>84</c:v>
                </c:pt>
                <c:pt idx="94">
                  <c:v>85</c:v>
                </c:pt>
                <c:pt idx="95">
                  <c:v>86</c:v>
                </c:pt>
                <c:pt idx="96">
                  <c:v>87</c:v>
                </c:pt>
                <c:pt idx="97">
                  <c:v>88</c:v>
                </c:pt>
                <c:pt idx="98">
                  <c:v>89</c:v>
                </c:pt>
                <c:pt idx="99">
                  <c:v>90</c:v>
                </c:pt>
                <c:pt idx="100">
                  <c:v>91</c:v>
                </c:pt>
                <c:pt idx="101">
                  <c:v>92</c:v>
                </c:pt>
                <c:pt idx="102">
                  <c:v>93</c:v>
                </c:pt>
                <c:pt idx="103">
                  <c:v>94</c:v>
                </c:pt>
                <c:pt idx="104">
                  <c:v>95</c:v>
                </c:pt>
                <c:pt idx="105">
                  <c:v>96</c:v>
                </c:pt>
                <c:pt idx="106">
                  <c:v>97</c:v>
                </c:pt>
                <c:pt idx="107">
                  <c:v>98</c:v>
                </c:pt>
                <c:pt idx="108">
                  <c:v>99</c:v>
                </c:pt>
                <c:pt idx="109">
                  <c:v>100</c:v>
                </c:pt>
              </c:numCache>
            </c:numRef>
          </c:xVal>
          <c:yVal>
            <c:numRef>
              <c:f>data!$D$273:$D$382</c:f>
              <c:numCache>
                <c:formatCode>General</c:formatCode>
                <c:ptCount val="110"/>
                <c:pt idx="0">
                  <c:v>0</c:v>
                </c:pt>
                <c:pt idx="1">
                  <c:v>3.0347845651116791E-2</c:v>
                </c:pt>
                <c:pt idx="2">
                  <c:v>6.0690899025601888E-2</c:v>
                </c:pt>
                <c:pt idx="3">
                  <c:v>9.1024368603579611E-2</c:v>
                </c:pt>
                <c:pt idx="4">
                  <c:v>0.12134346437856687</c:v>
                </c:pt>
                <c:pt idx="5">
                  <c:v>0.15164339861387069</c:v>
                </c:pt>
                <c:pt idx="6">
                  <c:v>0.18191938659862733</c:v>
                </c:pt>
                <c:pt idx="7">
                  <c:v>0.21216664740336361</c:v>
                </c:pt>
                <c:pt idx="8">
                  <c:v>0.24238040463496119</c:v>
                </c:pt>
                <c:pt idx="9">
                  <c:v>0.27255588719090396</c:v>
                </c:pt>
                <c:pt idx="10">
                  <c:v>0.30268833001269135</c:v>
                </c:pt>
                <c:pt idx="11">
                  <c:v>0.60060308424383879</c:v>
                </c:pt>
                <c:pt idx="12">
                  <c:v>0.88904596905356903</c:v>
                </c:pt>
                <c:pt idx="13">
                  <c:v>1.1634680678410059</c:v>
                </c:pt>
                <c:pt idx="14">
                  <c:v>1.4195415801764548</c:v>
                </c:pt>
                <c:pt idx="15">
                  <c:v>1.6532280737994847</c:v>
                </c:pt>
                <c:pt idx="16">
                  <c:v>1.8608421731081166</c:v>
                </c:pt>
                <c:pt idx="17">
                  <c:v>2.0391096797336004</c:v>
                </c:pt>
                <c:pt idx="18">
                  <c:v>2.1852192086046074</c:v>
                </c:pt>
                <c:pt idx="19">
                  <c:v>2.2968665251692379</c:v>
                </c:pt>
                <c:pt idx="20">
                  <c:v>2.3722908845503952</c:v>
                </c:pt>
                <c:pt idx="21">
                  <c:v>2.4103027995443091</c:v>
                </c:pt>
                <c:pt idx="22">
                  <c:v>2.4103027995443091</c:v>
                </c:pt>
                <c:pt idx="23">
                  <c:v>2.3722908845503952</c:v>
                </c:pt>
                <c:pt idx="24">
                  <c:v>2.2968665251692384</c:v>
                </c:pt>
                <c:pt idx="25">
                  <c:v>2.1852192086046069</c:v>
                </c:pt>
                <c:pt idx="26">
                  <c:v>2.0391096797336004</c:v>
                </c:pt>
                <c:pt idx="27">
                  <c:v>1.8608421731081166</c:v>
                </c:pt>
                <c:pt idx="28">
                  <c:v>1.6532280737994853</c:v>
                </c:pt>
                <c:pt idx="29">
                  <c:v>1.419541580176455</c:v>
                </c:pt>
                <c:pt idx="30">
                  <c:v>1.1634680678410054</c:v>
                </c:pt>
                <c:pt idx="31">
                  <c:v>0.88904596905356947</c:v>
                </c:pt>
                <c:pt idx="32">
                  <c:v>0.60060308424383979</c:v>
                </c:pt>
                <c:pt idx="33">
                  <c:v>0.30268833001269208</c:v>
                </c:pt>
                <c:pt idx="34">
                  <c:v>2.9588173007892176E-16</c:v>
                </c:pt>
                <c:pt idx="35">
                  <c:v>0.30268833001269141</c:v>
                </c:pt>
                <c:pt idx="36">
                  <c:v>0.60060308424383813</c:v>
                </c:pt>
                <c:pt idx="37">
                  <c:v>0.88904596905356903</c:v>
                </c:pt>
                <c:pt idx="38">
                  <c:v>1.1634680678410059</c:v>
                </c:pt>
                <c:pt idx="39">
                  <c:v>1.4195415801764539</c:v>
                </c:pt>
                <c:pt idx="40">
                  <c:v>1.6532280737994844</c:v>
                </c:pt>
                <c:pt idx="41">
                  <c:v>1.8608421731081168</c:v>
                </c:pt>
                <c:pt idx="42">
                  <c:v>2.0391096797336012</c:v>
                </c:pt>
                <c:pt idx="43">
                  <c:v>2.1852192086046074</c:v>
                </c:pt>
                <c:pt idx="44">
                  <c:v>2.2968665251692379</c:v>
                </c:pt>
                <c:pt idx="45">
                  <c:v>2.3722908845503952</c:v>
                </c:pt>
                <c:pt idx="46">
                  <c:v>2.4103027995443091</c:v>
                </c:pt>
                <c:pt idx="47">
                  <c:v>2.4103027995443091</c:v>
                </c:pt>
                <c:pt idx="48">
                  <c:v>2.3722908845503952</c:v>
                </c:pt>
                <c:pt idx="49">
                  <c:v>2.2968665251692384</c:v>
                </c:pt>
                <c:pt idx="50">
                  <c:v>2.1852192086046078</c:v>
                </c:pt>
                <c:pt idx="51">
                  <c:v>2.0391096797336004</c:v>
                </c:pt>
                <c:pt idx="52">
                  <c:v>1.8608421731081175</c:v>
                </c:pt>
                <c:pt idx="53">
                  <c:v>1.6532280737994858</c:v>
                </c:pt>
                <c:pt idx="54">
                  <c:v>1.4195415801764555</c:v>
                </c:pt>
                <c:pt idx="55">
                  <c:v>1.1634680678410076</c:v>
                </c:pt>
                <c:pt idx="56">
                  <c:v>0.88904596905356881</c:v>
                </c:pt>
                <c:pt idx="57">
                  <c:v>0.60060308424384001</c:v>
                </c:pt>
                <c:pt idx="58">
                  <c:v>0.3026883300126923</c:v>
                </c:pt>
                <c:pt idx="59">
                  <c:v>5.9176346015784352E-16</c:v>
                </c:pt>
                <c:pt idx="60">
                  <c:v>0.30268833001269119</c:v>
                </c:pt>
                <c:pt idx="61">
                  <c:v>0.6006030842438389</c:v>
                </c:pt>
                <c:pt idx="62">
                  <c:v>0.8890459690535697</c:v>
                </c:pt>
                <c:pt idx="63">
                  <c:v>1.1634680678410048</c:v>
                </c:pt>
                <c:pt idx="64">
                  <c:v>1.4195415801764542</c:v>
                </c:pt>
                <c:pt idx="65">
                  <c:v>1.6532280737994847</c:v>
                </c:pt>
                <c:pt idx="66">
                  <c:v>1.8608421731081153</c:v>
                </c:pt>
                <c:pt idx="67">
                  <c:v>2.0391096797336008</c:v>
                </c:pt>
                <c:pt idx="68">
                  <c:v>2.1852192086046065</c:v>
                </c:pt>
                <c:pt idx="69">
                  <c:v>2.2968665251692371</c:v>
                </c:pt>
                <c:pt idx="70">
                  <c:v>2.3722908845503952</c:v>
                </c:pt>
                <c:pt idx="71">
                  <c:v>2.4103027995443091</c:v>
                </c:pt>
                <c:pt idx="72">
                  <c:v>2.4103027995443091</c:v>
                </c:pt>
                <c:pt idx="73">
                  <c:v>2.3722908845503952</c:v>
                </c:pt>
                <c:pt idx="74">
                  <c:v>2.2968665251692384</c:v>
                </c:pt>
                <c:pt idx="75">
                  <c:v>2.1852192086046065</c:v>
                </c:pt>
                <c:pt idx="76">
                  <c:v>2.0391096797336004</c:v>
                </c:pt>
                <c:pt idx="77">
                  <c:v>1.8608421731081148</c:v>
                </c:pt>
                <c:pt idx="78">
                  <c:v>1.6532280737994844</c:v>
                </c:pt>
                <c:pt idx="79">
                  <c:v>1.4195415801764555</c:v>
                </c:pt>
                <c:pt idx="80">
                  <c:v>1.1634680678410041</c:v>
                </c:pt>
                <c:pt idx="81">
                  <c:v>0.88904596905356914</c:v>
                </c:pt>
                <c:pt idx="82">
                  <c:v>0.60060308424384046</c:v>
                </c:pt>
                <c:pt idx="83">
                  <c:v>0.30268833001269047</c:v>
                </c:pt>
                <c:pt idx="84">
                  <c:v>8.8764519023676518E-16</c:v>
                </c:pt>
                <c:pt idx="85">
                  <c:v>0.3026883300126888</c:v>
                </c:pt>
                <c:pt idx="86">
                  <c:v>0.60060308424383868</c:v>
                </c:pt>
                <c:pt idx="87">
                  <c:v>0.88904596905356736</c:v>
                </c:pt>
                <c:pt idx="88">
                  <c:v>1.1634680678410063</c:v>
                </c:pt>
                <c:pt idx="89">
                  <c:v>1.4195415801764542</c:v>
                </c:pt>
                <c:pt idx="90">
                  <c:v>1.6532280737994831</c:v>
                </c:pt>
                <c:pt idx="91">
                  <c:v>1.8608421731081137</c:v>
                </c:pt>
                <c:pt idx="92">
                  <c:v>2.0391096797336021</c:v>
                </c:pt>
                <c:pt idx="93">
                  <c:v>2.1852192086046074</c:v>
                </c:pt>
                <c:pt idx="94">
                  <c:v>2.2968665251692375</c:v>
                </c:pt>
                <c:pt idx="95">
                  <c:v>2.3722908845503947</c:v>
                </c:pt>
                <c:pt idx="96">
                  <c:v>2.4103027995443091</c:v>
                </c:pt>
                <c:pt idx="97">
                  <c:v>2.4103027995443091</c:v>
                </c:pt>
                <c:pt idx="98">
                  <c:v>2.3722908845503952</c:v>
                </c:pt>
                <c:pt idx="99">
                  <c:v>2.2968665251692384</c:v>
                </c:pt>
                <c:pt idx="100">
                  <c:v>2.1852192086046083</c:v>
                </c:pt>
                <c:pt idx="101">
                  <c:v>2.039109679733603</c:v>
                </c:pt>
                <c:pt idx="102">
                  <c:v>1.8608421731081175</c:v>
                </c:pt>
                <c:pt idx="103">
                  <c:v>1.6532280737994847</c:v>
                </c:pt>
                <c:pt idx="104">
                  <c:v>1.4195415801764557</c:v>
                </c:pt>
                <c:pt idx="105">
                  <c:v>1.1634680678410083</c:v>
                </c:pt>
                <c:pt idx="106">
                  <c:v>0.88904596905356936</c:v>
                </c:pt>
                <c:pt idx="107">
                  <c:v>0.60060308424384068</c:v>
                </c:pt>
                <c:pt idx="108">
                  <c:v>0.30268833001269074</c:v>
                </c:pt>
                <c:pt idx="109">
                  <c:v>1.183526920315687E-15</c:v>
                </c:pt>
              </c:numCache>
            </c:numRef>
          </c:yVal>
        </c:ser>
        <c:axId val="106224640"/>
        <c:axId val="106234624"/>
      </c:scatterChart>
      <c:valAx>
        <c:axId val="106196352"/>
        <c:scaling>
          <c:orientation val="minMax"/>
          <c:max val="100"/>
        </c:scaling>
        <c:axPos val="b"/>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6222720"/>
        <c:crosses val="autoZero"/>
        <c:crossBetween val="midCat"/>
      </c:valAx>
      <c:valAx>
        <c:axId val="106222720"/>
        <c:scaling>
          <c:orientation val="minMax"/>
        </c:scaling>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Vin (V)</a:t>
                </a:r>
              </a:p>
            </c:rich>
          </c:tx>
          <c:layout>
            <c:manualLayout>
              <c:xMode val="edge"/>
              <c:yMode val="edge"/>
              <c:x val="2.1248367530357148E-2"/>
              <c:y val="0.43454038997214506"/>
            </c:manualLayout>
          </c:layout>
          <c:spPr>
            <a:noFill/>
            <a:ln w="25400">
              <a:noFill/>
            </a:ln>
          </c:spPr>
        </c:title>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6196352"/>
        <c:crosses val="autoZero"/>
        <c:crossBetween val="midCat"/>
      </c:valAx>
      <c:valAx>
        <c:axId val="106224640"/>
        <c:scaling>
          <c:orientation val="minMax"/>
        </c:scaling>
        <c:delete val="1"/>
        <c:axPos val="b"/>
        <c:numFmt formatCode="General" sourceLinked="1"/>
        <c:tickLblPos val="none"/>
        <c:crossAx val="106234624"/>
        <c:crosses val="autoZero"/>
        <c:crossBetween val="midCat"/>
      </c:valAx>
      <c:valAx>
        <c:axId val="106234624"/>
        <c:scaling>
          <c:orientation val="minMax"/>
        </c:scaling>
        <c:axPos val="r"/>
        <c:title>
          <c:tx>
            <c:rich>
              <a:bodyPr rot="5400000" vert="horz"/>
              <a:lstStyle/>
              <a:p>
                <a:pPr algn="ctr">
                  <a:defRPr sz="825" b="1" i="0" u="none" strike="noStrike" baseline="0">
                    <a:solidFill>
                      <a:srgbClr val="000000"/>
                    </a:solidFill>
                    <a:latin typeface="Arial"/>
                    <a:ea typeface="Arial"/>
                    <a:cs typeface="Arial"/>
                  </a:defRPr>
                </a:pPr>
                <a:r>
                  <a:rPr lang="en-US"/>
                  <a:t>Iin (A)</a:t>
                </a:r>
              </a:p>
            </c:rich>
          </c:tx>
          <c:layout>
            <c:manualLayout>
              <c:xMode val="edge"/>
              <c:yMode val="edge"/>
              <c:x val="0.95219246995412876"/>
              <c:y val="0.44011142061281339"/>
            </c:manualLayout>
          </c:layout>
          <c:spPr>
            <a:noFill/>
            <a:ln w="25400">
              <a:noFill/>
            </a:ln>
          </c:spPr>
        </c:title>
        <c:numFmt formatCode="General"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6224640"/>
        <c:crosses val="max"/>
        <c:crossBetween val="midCat"/>
      </c:valAx>
      <c:spPr>
        <a:gradFill rotWithShape="0">
          <a:gsLst>
            <a:gs pos="0">
              <a:srgbClr val="FFFFFF"/>
            </a:gs>
            <a:gs pos="100000">
              <a:srgbClr val="FFFFCC"/>
            </a:gs>
          </a:gsLst>
          <a:lin ang="5400000" scaled="1"/>
        </a:gradFill>
        <a:ln w="12700">
          <a:solidFill>
            <a:srgbClr val="808080"/>
          </a:solidFill>
          <a:prstDash val="solid"/>
        </a:ln>
      </c:spPr>
    </c:plotArea>
    <c:legend>
      <c:legendPos val="b"/>
      <c:layout>
        <c:manualLayout>
          <c:xMode val="edge"/>
          <c:yMode val="edge"/>
          <c:x val="0.43559153437232112"/>
          <c:y val="0.91922005571030641"/>
          <c:w val="0.13413032003537936"/>
          <c:h val="6.1281337047353772E-2"/>
        </c:manualLayout>
      </c:layout>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Arial"/>
                <a:ea typeface="Arial"/>
                <a:cs typeface="Arial"/>
              </a:defRPr>
            </a:pPr>
            <a:r>
              <a:rPr lang="en-US"/>
              <a:t>Voltage Open-Loop Bode Plot</a:t>
            </a:r>
          </a:p>
        </c:rich>
      </c:tx>
      <c:layout>
        <c:manualLayout>
          <c:xMode val="edge"/>
          <c:yMode val="edge"/>
          <c:x val="0.34661399533895088"/>
          <c:y val="2.9013567053734601E-2"/>
        </c:manualLayout>
      </c:layout>
      <c:spPr>
        <a:noFill/>
        <a:ln w="25400">
          <a:noFill/>
        </a:ln>
      </c:spPr>
    </c:title>
    <c:plotArea>
      <c:layout>
        <c:manualLayout>
          <c:layoutTarget val="inner"/>
          <c:xMode val="edge"/>
          <c:yMode val="edge"/>
          <c:x val="0.10756986062243296"/>
          <c:y val="0.14700207307225535"/>
          <c:w val="0.78618959862321369"/>
          <c:h val="0.65957509102156664"/>
        </c:manualLayout>
      </c:layout>
      <c:scatterChart>
        <c:scatterStyle val="smoothMarker"/>
        <c:ser>
          <c:idx val="0"/>
          <c:order val="0"/>
          <c:tx>
            <c:v>Total Open Loop Gain</c:v>
          </c:tx>
          <c:spPr>
            <a:ln w="38100">
              <a:solidFill>
                <a:srgbClr val="FF0000"/>
              </a:solidFill>
              <a:prstDash val="solid"/>
            </a:ln>
          </c:spPr>
          <c:marker>
            <c:symbol val="none"/>
          </c:marker>
          <c:xVal>
            <c:numRef>
              <c:f>data!$H$205:$H$255</c:f>
              <c:numCache>
                <c:formatCode>0.000</c:formatCode>
                <c:ptCount val="51"/>
                <c:pt idx="0">
                  <c:v>0.01</c:v>
                </c:pt>
                <c:pt idx="1">
                  <c:v>1.2589254117941664E-2</c:v>
                </c:pt>
                <c:pt idx="2">
                  <c:v>1.5848931924611124E-2</c:v>
                </c:pt>
                <c:pt idx="3">
                  <c:v>1.9952623149688792E-2</c:v>
                </c:pt>
                <c:pt idx="4">
                  <c:v>2.511886431509578E-2</c:v>
                </c:pt>
                <c:pt idx="5">
                  <c:v>3.1622776601683784E-2</c:v>
                </c:pt>
                <c:pt idx="6">
                  <c:v>3.9810717055349727E-2</c:v>
                </c:pt>
                <c:pt idx="7">
                  <c:v>5.0118723362727206E-2</c:v>
                </c:pt>
                <c:pt idx="8">
                  <c:v>6.3095734448019317E-2</c:v>
                </c:pt>
                <c:pt idx="9">
                  <c:v>7.9432823472428096E-2</c:v>
                </c:pt>
                <c:pt idx="10">
                  <c:v>0.1</c:v>
                </c:pt>
                <c:pt idx="11">
                  <c:v>0.12589254117941667</c:v>
                </c:pt>
                <c:pt idx="12">
                  <c:v>0.15848931924611132</c:v>
                </c:pt>
                <c:pt idx="13">
                  <c:v>0.19952623149688795</c:v>
                </c:pt>
                <c:pt idx="14">
                  <c:v>0.25118864315095801</c:v>
                </c:pt>
                <c:pt idx="15">
                  <c:v>0.31622776601683794</c:v>
                </c:pt>
                <c:pt idx="16">
                  <c:v>0.3981071705534972</c:v>
                </c:pt>
                <c:pt idx="17">
                  <c:v>0.50118723362727224</c:v>
                </c:pt>
                <c:pt idx="18">
                  <c:v>0.63095734448019325</c:v>
                </c:pt>
                <c:pt idx="19">
                  <c:v>0.79432823472428149</c:v>
                </c:pt>
                <c:pt idx="20">
                  <c:v>1</c:v>
                </c:pt>
                <c:pt idx="21">
                  <c:v>1.2589254117941673</c:v>
                </c:pt>
                <c:pt idx="22">
                  <c:v>1.5848931924611136</c:v>
                </c:pt>
                <c:pt idx="23">
                  <c:v>1.9952623149688797</c:v>
                </c:pt>
                <c:pt idx="24">
                  <c:v>2.5118864315095806</c:v>
                </c:pt>
                <c:pt idx="25">
                  <c:v>3.1622776601683795</c:v>
                </c:pt>
                <c:pt idx="26">
                  <c:v>3.9810717055349727</c:v>
                </c:pt>
                <c:pt idx="27">
                  <c:v>5.0118723362727229</c:v>
                </c:pt>
                <c:pt idx="28">
                  <c:v>6.3095734448019343</c:v>
                </c:pt>
                <c:pt idx="29">
                  <c:v>7.9432823472428176</c:v>
                </c:pt>
                <c:pt idx="30">
                  <c:v>10</c:v>
                </c:pt>
                <c:pt idx="31">
                  <c:v>12.58925411794168</c:v>
                </c:pt>
                <c:pt idx="32">
                  <c:v>15.848931924611136</c:v>
                </c:pt>
                <c:pt idx="33">
                  <c:v>19.952623149688804</c:v>
                </c:pt>
                <c:pt idx="34">
                  <c:v>25.118864315095799</c:v>
                </c:pt>
                <c:pt idx="35">
                  <c:v>31.622776601683803</c:v>
                </c:pt>
                <c:pt idx="36">
                  <c:v>39.810717055349755</c:v>
                </c:pt>
                <c:pt idx="37">
                  <c:v>50.118723362727238</c:v>
                </c:pt>
                <c:pt idx="38">
                  <c:v>63.095734448019364</c:v>
                </c:pt>
                <c:pt idx="39">
                  <c:v>79.432823472428197</c:v>
                </c:pt>
                <c:pt idx="40">
                  <c:v>100</c:v>
                </c:pt>
                <c:pt idx="41">
                  <c:v>125.89254117941677</c:v>
                </c:pt>
                <c:pt idx="42">
                  <c:v>158.48931924611153</c:v>
                </c:pt>
                <c:pt idx="43">
                  <c:v>199.52623149688802</c:v>
                </c:pt>
                <c:pt idx="44">
                  <c:v>251.18864315095806</c:v>
                </c:pt>
                <c:pt idx="45">
                  <c:v>316.22776601683825</c:v>
                </c:pt>
                <c:pt idx="46">
                  <c:v>398.10717055349761</c:v>
                </c:pt>
                <c:pt idx="47">
                  <c:v>501.18723362727269</c:v>
                </c:pt>
                <c:pt idx="48">
                  <c:v>630.95734448019323</c:v>
                </c:pt>
                <c:pt idx="49">
                  <c:v>794.32823472428208</c:v>
                </c:pt>
                <c:pt idx="50">
                  <c:v>1000</c:v>
                </c:pt>
              </c:numCache>
            </c:numRef>
          </c:xVal>
          <c:yVal>
            <c:numRef>
              <c:f>data!$N$205:$N$255</c:f>
              <c:numCache>
                <c:formatCode>General</c:formatCode>
                <c:ptCount val="51"/>
                <c:pt idx="0">
                  <c:v>18.92904294459748</c:v>
                </c:pt>
                <c:pt idx="1">
                  <c:v>18.928314401197316</c:v>
                </c:pt>
                <c:pt idx="2">
                  <c:v>18.927159988008768</c:v>
                </c:pt>
                <c:pt idx="3">
                  <c:v>18.925330994738779</c:v>
                </c:pt>
                <c:pt idx="4">
                  <c:v>18.922433812635152</c:v>
                </c:pt>
                <c:pt idx="5">
                  <c:v>18.917846043723504</c:v>
                </c:pt>
                <c:pt idx="6">
                  <c:v>18.910584832759312</c:v>
                </c:pt>
                <c:pt idx="7">
                  <c:v>18.899101399607076</c:v>
                </c:pt>
                <c:pt idx="8">
                  <c:v>18.88096335425066</c:v>
                </c:pt>
                <c:pt idx="9">
                  <c:v>18.852370765150518</c:v>
                </c:pt>
                <c:pt idx="10">
                  <c:v>18.807436670459374</c:v>
                </c:pt>
                <c:pt idx="11">
                  <c:v>18.737159762561035</c:v>
                </c:pt>
                <c:pt idx="12">
                  <c:v>18.628056694338216</c:v>
                </c:pt>
                <c:pt idx="13">
                  <c:v>18.460565584174248</c:v>
                </c:pt>
                <c:pt idx="14">
                  <c:v>18.207671846348884</c:v>
                </c:pt>
                <c:pt idx="15">
                  <c:v>17.834785043306304</c:v>
                </c:pt>
                <c:pt idx="16">
                  <c:v>17.302458752383906</c:v>
                </c:pt>
                <c:pt idx="17">
                  <c:v>16.57323286733628</c:v>
                </c:pt>
                <c:pt idx="18">
                  <c:v>15.621617174411792</c:v>
                </c:pt>
                <c:pt idx="19">
                  <c:v>14.442729689732978</c:v>
                </c:pt>
                <c:pt idx="20">
                  <c:v>13.054116011490608</c:v>
                </c:pt>
                <c:pt idx="21">
                  <c:v>11.489456233129825</c:v>
                </c:pt>
                <c:pt idx="22">
                  <c:v>9.7884353233831956</c:v>
                </c:pt>
                <c:pt idx="23">
                  <c:v>7.9882502693847455</c:v>
                </c:pt>
                <c:pt idx="24">
                  <c:v>6.1192255470537003</c:v>
                </c:pt>
                <c:pt idx="25">
                  <c:v>4.2039450972460486</c:v>
                </c:pt>
                <c:pt idx="26">
                  <c:v>2.2582625690759919</c:v>
                </c:pt>
                <c:pt idx="27">
                  <c:v>0.29288745458841481</c:v>
                </c:pt>
                <c:pt idx="28">
                  <c:v>-1.685122822202302</c:v>
                </c:pt>
                <c:pt idx="29">
                  <c:v>-3.6711907367049204</c:v>
                </c:pt>
                <c:pt idx="30">
                  <c:v>-5.6623771328351493</c:v>
                </c:pt>
                <c:pt idx="31">
                  <c:v>-7.6568069075120313</c:v>
                </c:pt>
                <c:pt idx="32">
                  <c:v>-9.6532886533897724</c:v>
                </c:pt>
                <c:pt idx="33">
                  <c:v>-11.651067317713091</c:v>
                </c:pt>
                <c:pt idx="34">
                  <c:v>-13.649665164830649</c:v>
                </c:pt>
                <c:pt idx="35">
                  <c:v>-15.648780233188154</c:v>
                </c:pt>
                <c:pt idx="36">
                  <c:v>-17.648221786276157</c:v>
                </c:pt>
                <c:pt idx="37">
                  <c:v>-19.647869393143736</c:v>
                </c:pt>
                <c:pt idx="38">
                  <c:v>-21.647647033395444</c:v>
                </c:pt>
                <c:pt idx="39">
                  <c:v>-23.647506728021099</c:v>
                </c:pt>
                <c:pt idx="40">
                  <c:v>-25.647418198982326</c:v>
                </c:pt>
                <c:pt idx="41">
                  <c:v>-27.647362340006552</c:v>
                </c:pt>
                <c:pt idx="42">
                  <c:v>-29.64732709500587</c:v>
                </c:pt>
                <c:pt idx="43">
                  <c:v>-31.647304856766642</c:v>
                </c:pt>
                <c:pt idx="44">
                  <c:v>-33.64729082532768</c:v>
                </c:pt>
                <c:pt idx="45">
                  <c:v>-35.647281972064889</c:v>
                </c:pt>
                <c:pt idx="46">
                  <c:v>-37.64727638602443</c:v>
                </c:pt>
                <c:pt idx="47">
                  <c:v>-39.647272861467506</c:v>
                </c:pt>
                <c:pt idx="48">
                  <c:v>-41.647270637620878</c:v>
                </c:pt>
                <c:pt idx="49">
                  <c:v>-43.647269234468027</c:v>
                </c:pt>
                <c:pt idx="50">
                  <c:v>-45.647268349138166</c:v>
                </c:pt>
              </c:numCache>
            </c:numRef>
          </c:yVal>
          <c:smooth val="1"/>
        </c:ser>
        <c:ser>
          <c:idx val="1"/>
          <c:order val="1"/>
          <c:tx>
            <c:v>PWM_PS Gain</c:v>
          </c:tx>
          <c:spPr>
            <a:ln w="25400">
              <a:solidFill>
                <a:srgbClr val="993300"/>
              </a:solidFill>
              <a:prstDash val="solid"/>
            </a:ln>
          </c:spPr>
          <c:marker>
            <c:symbol val="none"/>
          </c:marker>
          <c:xVal>
            <c:numRef>
              <c:f>data!$H$205:$H$255</c:f>
              <c:numCache>
                <c:formatCode>0.000</c:formatCode>
                <c:ptCount val="51"/>
                <c:pt idx="0">
                  <c:v>0.01</c:v>
                </c:pt>
                <c:pt idx="1">
                  <c:v>1.2589254117941664E-2</c:v>
                </c:pt>
                <c:pt idx="2">
                  <c:v>1.5848931924611124E-2</c:v>
                </c:pt>
                <c:pt idx="3">
                  <c:v>1.9952623149688792E-2</c:v>
                </c:pt>
                <c:pt idx="4">
                  <c:v>2.511886431509578E-2</c:v>
                </c:pt>
                <c:pt idx="5">
                  <c:v>3.1622776601683784E-2</c:v>
                </c:pt>
                <c:pt idx="6">
                  <c:v>3.9810717055349727E-2</c:v>
                </c:pt>
                <c:pt idx="7">
                  <c:v>5.0118723362727206E-2</c:v>
                </c:pt>
                <c:pt idx="8">
                  <c:v>6.3095734448019317E-2</c:v>
                </c:pt>
                <c:pt idx="9">
                  <c:v>7.9432823472428096E-2</c:v>
                </c:pt>
                <c:pt idx="10">
                  <c:v>0.1</c:v>
                </c:pt>
                <c:pt idx="11">
                  <c:v>0.12589254117941667</c:v>
                </c:pt>
                <c:pt idx="12">
                  <c:v>0.15848931924611132</c:v>
                </c:pt>
                <c:pt idx="13">
                  <c:v>0.19952623149688795</c:v>
                </c:pt>
                <c:pt idx="14">
                  <c:v>0.25118864315095801</c:v>
                </c:pt>
                <c:pt idx="15">
                  <c:v>0.31622776601683794</c:v>
                </c:pt>
                <c:pt idx="16">
                  <c:v>0.3981071705534972</c:v>
                </c:pt>
                <c:pt idx="17">
                  <c:v>0.50118723362727224</c:v>
                </c:pt>
                <c:pt idx="18">
                  <c:v>0.63095734448019325</c:v>
                </c:pt>
                <c:pt idx="19">
                  <c:v>0.79432823472428149</c:v>
                </c:pt>
                <c:pt idx="20">
                  <c:v>1</c:v>
                </c:pt>
                <c:pt idx="21">
                  <c:v>1.2589254117941673</c:v>
                </c:pt>
                <c:pt idx="22">
                  <c:v>1.5848931924611136</c:v>
                </c:pt>
                <c:pt idx="23">
                  <c:v>1.9952623149688797</c:v>
                </c:pt>
                <c:pt idx="24">
                  <c:v>2.5118864315095806</c:v>
                </c:pt>
                <c:pt idx="25">
                  <c:v>3.1622776601683795</c:v>
                </c:pt>
                <c:pt idx="26">
                  <c:v>3.9810717055349727</c:v>
                </c:pt>
                <c:pt idx="27">
                  <c:v>5.0118723362727229</c:v>
                </c:pt>
                <c:pt idx="28">
                  <c:v>6.3095734448019343</c:v>
                </c:pt>
                <c:pt idx="29">
                  <c:v>7.9432823472428176</c:v>
                </c:pt>
                <c:pt idx="30">
                  <c:v>10</c:v>
                </c:pt>
                <c:pt idx="31">
                  <c:v>12.58925411794168</c:v>
                </c:pt>
                <c:pt idx="32">
                  <c:v>15.848931924611136</c:v>
                </c:pt>
                <c:pt idx="33">
                  <c:v>19.952623149688804</c:v>
                </c:pt>
                <c:pt idx="34">
                  <c:v>25.118864315095799</c:v>
                </c:pt>
                <c:pt idx="35">
                  <c:v>31.622776601683803</c:v>
                </c:pt>
                <c:pt idx="36">
                  <c:v>39.810717055349755</c:v>
                </c:pt>
                <c:pt idx="37">
                  <c:v>50.118723362727238</c:v>
                </c:pt>
                <c:pt idx="38">
                  <c:v>63.095734448019364</c:v>
                </c:pt>
                <c:pt idx="39">
                  <c:v>79.432823472428197</c:v>
                </c:pt>
                <c:pt idx="40">
                  <c:v>100</c:v>
                </c:pt>
                <c:pt idx="41">
                  <c:v>125.89254117941677</c:v>
                </c:pt>
                <c:pt idx="42">
                  <c:v>158.48931924611153</c:v>
                </c:pt>
                <c:pt idx="43">
                  <c:v>199.52623149688802</c:v>
                </c:pt>
                <c:pt idx="44">
                  <c:v>251.18864315095806</c:v>
                </c:pt>
                <c:pt idx="45">
                  <c:v>316.22776601683825</c:v>
                </c:pt>
                <c:pt idx="46">
                  <c:v>398.10717055349761</c:v>
                </c:pt>
                <c:pt idx="47">
                  <c:v>501.18723362727269</c:v>
                </c:pt>
                <c:pt idx="48">
                  <c:v>630.95734448019323</c:v>
                </c:pt>
                <c:pt idx="49">
                  <c:v>794.32823472428208</c:v>
                </c:pt>
                <c:pt idx="50">
                  <c:v>1000</c:v>
                </c:pt>
              </c:numCache>
            </c:numRef>
          </c:xVal>
          <c:yVal>
            <c:numRef>
              <c:f>data!$L$205:$L$255</c:f>
              <c:numCache>
                <c:formatCode>General</c:formatCode>
                <c:ptCount val="51"/>
                <c:pt idx="0">
                  <c:v>56.796594956915634</c:v>
                </c:pt>
                <c:pt idx="1">
                  <c:v>56.795866413515476</c:v>
                </c:pt>
                <c:pt idx="2">
                  <c:v>56.794712000326932</c:v>
                </c:pt>
                <c:pt idx="3">
                  <c:v>56.792883007056936</c:v>
                </c:pt>
                <c:pt idx="4">
                  <c:v>56.789985824953312</c:v>
                </c:pt>
                <c:pt idx="5">
                  <c:v>56.785398056041664</c:v>
                </c:pt>
                <c:pt idx="6">
                  <c:v>56.778136845077469</c:v>
                </c:pt>
                <c:pt idx="7">
                  <c:v>56.76665341192524</c:v>
                </c:pt>
                <c:pt idx="8">
                  <c:v>56.74851536656881</c:v>
                </c:pt>
                <c:pt idx="9">
                  <c:v>56.719922777468675</c:v>
                </c:pt>
                <c:pt idx="10">
                  <c:v>56.674988682777538</c:v>
                </c:pt>
                <c:pt idx="11">
                  <c:v>56.604711774879192</c:v>
                </c:pt>
                <c:pt idx="12">
                  <c:v>56.495608706656377</c:v>
                </c:pt>
                <c:pt idx="13">
                  <c:v>56.328117596492405</c:v>
                </c:pt>
                <c:pt idx="14">
                  <c:v>56.07522385866703</c:v>
                </c:pt>
                <c:pt idx="15">
                  <c:v>55.702337055624454</c:v>
                </c:pt>
                <c:pt idx="16">
                  <c:v>55.17001076470207</c:v>
                </c:pt>
                <c:pt idx="17">
                  <c:v>54.440784879654444</c:v>
                </c:pt>
                <c:pt idx="18">
                  <c:v>53.489169186729946</c:v>
                </c:pt>
                <c:pt idx="19">
                  <c:v>52.310281702051135</c:v>
                </c:pt>
                <c:pt idx="20">
                  <c:v>50.921668023808763</c:v>
                </c:pt>
                <c:pt idx="21">
                  <c:v>49.357008245447986</c:v>
                </c:pt>
                <c:pt idx="22">
                  <c:v>47.65598733570134</c:v>
                </c:pt>
                <c:pt idx="23">
                  <c:v>45.855802281702907</c:v>
                </c:pt>
                <c:pt idx="24">
                  <c:v>43.986777559371866</c:v>
                </c:pt>
                <c:pt idx="25">
                  <c:v>42.071497109564191</c:v>
                </c:pt>
                <c:pt idx="26">
                  <c:v>40.125814581394152</c:v>
                </c:pt>
                <c:pt idx="27">
                  <c:v>38.160439466906539</c:v>
                </c:pt>
                <c:pt idx="28">
                  <c:v>36.182429190115855</c:v>
                </c:pt>
                <c:pt idx="29">
                  <c:v>34.196361275613235</c:v>
                </c:pt>
                <c:pt idx="30">
                  <c:v>32.20517487948301</c:v>
                </c:pt>
                <c:pt idx="31">
                  <c:v>30.210745104806133</c:v>
                </c:pt>
                <c:pt idx="32">
                  <c:v>28.214263358928392</c:v>
                </c:pt>
                <c:pt idx="33">
                  <c:v>26.216484694605061</c:v>
                </c:pt>
                <c:pt idx="34">
                  <c:v>24.217886847487506</c:v>
                </c:pt>
                <c:pt idx="35">
                  <c:v>22.21877177912998</c:v>
                </c:pt>
                <c:pt idx="36">
                  <c:v>20.219330226042015</c:v>
                </c:pt>
                <c:pt idx="37">
                  <c:v>18.219682619174399</c:v>
                </c:pt>
                <c:pt idx="38">
                  <c:v>16.21990497892271</c:v>
                </c:pt>
                <c:pt idx="39">
                  <c:v>14.220045284297058</c:v>
                </c:pt>
                <c:pt idx="40">
                  <c:v>12.220133813335835</c:v>
                </c:pt>
                <c:pt idx="41">
                  <c:v>10.220189672311591</c:v>
                </c:pt>
                <c:pt idx="42">
                  <c:v>8.2202249173122937</c:v>
                </c:pt>
                <c:pt idx="43">
                  <c:v>6.2202471555515162</c:v>
                </c:pt>
                <c:pt idx="44">
                  <c:v>4.2202611869904674</c:v>
                </c:pt>
                <c:pt idx="45">
                  <c:v>2.2202700402532423</c:v>
                </c:pt>
                <c:pt idx="46">
                  <c:v>0.22027562629371661</c:v>
                </c:pt>
                <c:pt idx="47">
                  <c:v>-1.7797208491493264</c:v>
                </c:pt>
                <c:pt idx="48">
                  <c:v>-3.7797186253027326</c:v>
                </c:pt>
                <c:pt idx="49">
                  <c:v>-5.7797172221498787</c:v>
                </c:pt>
                <c:pt idx="50">
                  <c:v>-7.7797163368200071</c:v>
                </c:pt>
              </c:numCache>
            </c:numRef>
          </c:yVal>
          <c:smooth val="1"/>
        </c:ser>
        <c:axId val="106296064"/>
        <c:axId val="106297984"/>
      </c:scatterChart>
      <c:scatterChart>
        <c:scatterStyle val="lineMarker"/>
        <c:ser>
          <c:idx val="2"/>
          <c:order val="2"/>
          <c:tx>
            <c:v>Total Open Loop Phase</c:v>
          </c:tx>
          <c:spPr>
            <a:ln w="38100">
              <a:solidFill>
                <a:srgbClr val="0000FF"/>
              </a:solidFill>
              <a:prstDash val="solid"/>
            </a:ln>
          </c:spPr>
          <c:marker>
            <c:symbol val="none"/>
          </c:marker>
          <c:xVal>
            <c:numRef>
              <c:f>data!$H$205:$H$255</c:f>
              <c:numCache>
                <c:formatCode>0.000</c:formatCode>
                <c:ptCount val="51"/>
                <c:pt idx="0">
                  <c:v>0.01</c:v>
                </c:pt>
                <c:pt idx="1">
                  <c:v>1.2589254117941664E-2</c:v>
                </c:pt>
                <c:pt idx="2">
                  <c:v>1.5848931924611124E-2</c:v>
                </c:pt>
                <c:pt idx="3">
                  <c:v>1.9952623149688792E-2</c:v>
                </c:pt>
                <c:pt idx="4">
                  <c:v>2.511886431509578E-2</c:v>
                </c:pt>
                <c:pt idx="5">
                  <c:v>3.1622776601683784E-2</c:v>
                </c:pt>
                <c:pt idx="6">
                  <c:v>3.9810717055349727E-2</c:v>
                </c:pt>
                <c:pt idx="7">
                  <c:v>5.0118723362727206E-2</c:v>
                </c:pt>
                <c:pt idx="8">
                  <c:v>6.3095734448019317E-2</c:v>
                </c:pt>
                <c:pt idx="9">
                  <c:v>7.9432823472428096E-2</c:v>
                </c:pt>
                <c:pt idx="10">
                  <c:v>0.1</c:v>
                </c:pt>
                <c:pt idx="11">
                  <c:v>0.12589254117941667</c:v>
                </c:pt>
                <c:pt idx="12">
                  <c:v>0.15848931924611132</c:v>
                </c:pt>
                <c:pt idx="13">
                  <c:v>0.19952623149688795</c:v>
                </c:pt>
                <c:pt idx="14">
                  <c:v>0.25118864315095801</c:v>
                </c:pt>
                <c:pt idx="15">
                  <c:v>0.31622776601683794</c:v>
                </c:pt>
                <c:pt idx="16">
                  <c:v>0.3981071705534972</c:v>
                </c:pt>
                <c:pt idx="17">
                  <c:v>0.50118723362727224</c:v>
                </c:pt>
                <c:pt idx="18">
                  <c:v>0.63095734448019325</c:v>
                </c:pt>
                <c:pt idx="19">
                  <c:v>0.79432823472428149</c:v>
                </c:pt>
                <c:pt idx="20">
                  <c:v>1</c:v>
                </c:pt>
                <c:pt idx="21">
                  <c:v>1.2589254117941673</c:v>
                </c:pt>
                <c:pt idx="22">
                  <c:v>1.5848931924611136</c:v>
                </c:pt>
                <c:pt idx="23">
                  <c:v>1.9952623149688797</c:v>
                </c:pt>
                <c:pt idx="24">
                  <c:v>2.5118864315095806</c:v>
                </c:pt>
                <c:pt idx="25">
                  <c:v>3.1622776601683795</c:v>
                </c:pt>
                <c:pt idx="26">
                  <c:v>3.9810717055349727</c:v>
                </c:pt>
                <c:pt idx="27">
                  <c:v>5.0118723362727229</c:v>
                </c:pt>
                <c:pt idx="28">
                  <c:v>6.3095734448019343</c:v>
                </c:pt>
                <c:pt idx="29">
                  <c:v>7.9432823472428176</c:v>
                </c:pt>
                <c:pt idx="30">
                  <c:v>10</c:v>
                </c:pt>
                <c:pt idx="31">
                  <c:v>12.58925411794168</c:v>
                </c:pt>
                <c:pt idx="32">
                  <c:v>15.848931924611136</c:v>
                </c:pt>
                <c:pt idx="33">
                  <c:v>19.952623149688804</c:v>
                </c:pt>
                <c:pt idx="34">
                  <c:v>25.118864315095799</c:v>
                </c:pt>
                <c:pt idx="35">
                  <c:v>31.622776601683803</c:v>
                </c:pt>
                <c:pt idx="36">
                  <c:v>39.810717055349755</c:v>
                </c:pt>
                <c:pt idx="37">
                  <c:v>50.118723362727238</c:v>
                </c:pt>
                <c:pt idx="38">
                  <c:v>63.095734448019364</c:v>
                </c:pt>
                <c:pt idx="39">
                  <c:v>79.432823472428197</c:v>
                </c:pt>
                <c:pt idx="40">
                  <c:v>100</c:v>
                </c:pt>
                <c:pt idx="41">
                  <c:v>125.89254117941677</c:v>
                </c:pt>
                <c:pt idx="42">
                  <c:v>158.48931924611153</c:v>
                </c:pt>
                <c:pt idx="43">
                  <c:v>199.52623149688802</c:v>
                </c:pt>
                <c:pt idx="44">
                  <c:v>251.18864315095806</c:v>
                </c:pt>
                <c:pt idx="45">
                  <c:v>316.22776601683825</c:v>
                </c:pt>
                <c:pt idx="46">
                  <c:v>398.10717055349761</c:v>
                </c:pt>
                <c:pt idx="47">
                  <c:v>501.18723362727269</c:v>
                </c:pt>
                <c:pt idx="48">
                  <c:v>630.95734448019323</c:v>
                </c:pt>
                <c:pt idx="49">
                  <c:v>794.32823472428208</c:v>
                </c:pt>
                <c:pt idx="50">
                  <c:v>1000</c:v>
                </c:pt>
              </c:numCache>
            </c:numRef>
          </c:xVal>
          <c:yVal>
            <c:numRef>
              <c:f>data!$O$205:$O$255</c:f>
              <c:numCache>
                <c:formatCode>General</c:formatCode>
                <c:ptCount val="51"/>
                <c:pt idx="0">
                  <c:v>-0.97041809343661789</c:v>
                </c:pt>
                <c:pt idx="1">
                  <c:v>-1.2216156825775959</c:v>
                </c:pt>
                <c:pt idx="2">
                  <c:v>-1.5377867547259521</c:v>
                </c:pt>
                <c:pt idx="3">
                  <c:v>-1.9356870380737325</c:v>
                </c:pt>
                <c:pt idx="4">
                  <c:v>-2.4363436723987326</c:v>
                </c:pt>
                <c:pt idx="5">
                  <c:v>-3.0660947880308518</c:v>
                </c:pt>
                <c:pt idx="6">
                  <c:v>-3.8578329410887018</c:v>
                </c:pt>
                <c:pt idx="7">
                  <c:v>-4.8524418204242847</c:v>
                </c:pt>
                <c:pt idx="8">
                  <c:v>-6.1003533093069491</c:v>
                </c:pt>
                <c:pt idx="9">
                  <c:v>-7.6630214490931374</c:v>
                </c:pt>
                <c:pt idx="10">
                  <c:v>-9.6138562587657894</c:v>
                </c:pt>
                <c:pt idx="11">
                  <c:v>-12.037705345010664</c:v>
                </c:pt>
                <c:pt idx="12">
                  <c:v>-15.0272435507139</c:v>
                </c:pt>
                <c:pt idx="13">
                  <c:v>-18.67369586216682</c:v>
                </c:pt>
                <c:pt idx="14">
                  <c:v>-23.048717413397835</c:v>
                </c:pt>
                <c:pt idx="15">
                  <c:v>-28.175545443917137</c:v>
                </c:pt>
                <c:pt idx="16">
                  <c:v>-33.993293740397675</c:v>
                </c:pt>
                <c:pt idx="17">
                  <c:v>-40.329310358790615</c:v>
                </c:pt>
                <c:pt idx="18">
                  <c:v>-46.903497810315244</c:v>
                </c:pt>
                <c:pt idx="19">
                  <c:v>-53.379225367978485</c:v>
                </c:pt>
                <c:pt idx="20">
                  <c:v>-59.443791465451262</c:v>
                </c:pt>
                <c:pt idx="21">
                  <c:v>-64.875990239473424</c:v>
                </c:pt>
                <c:pt idx="22">
                  <c:v>-69.569812892751699</c:v>
                </c:pt>
                <c:pt idx="23">
                  <c:v>-73.517330982501605</c:v>
                </c:pt>
                <c:pt idx="24">
                  <c:v>-76.773851747994939</c:v>
                </c:pt>
                <c:pt idx="25">
                  <c:v>-79.425157066067726</c:v>
                </c:pt>
                <c:pt idx="26">
                  <c:v>-81.564880019902873</c:v>
                </c:pt>
                <c:pt idx="27">
                  <c:v>-83.281873765894645</c:v>
                </c:pt>
                <c:pt idx="28">
                  <c:v>-84.654574885179031</c:v>
                </c:pt>
                <c:pt idx="29">
                  <c:v>-85.749430780075912</c:v>
                </c:pt>
                <c:pt idx="30">
                  <c:v>-86.621366718422877</c:v>
                </c:pt>
                <c:pt idx="31">
                  <c:v>-87.315108127453499</c:v>
                </c:pt>
                <c:pt idx="32">
                  <c:v>-87.866738461281031</c:v>
                </c:pt>
                <c:pt idx="33">
                  <c:v>-88.305201156097425</c:v>
                </c:pt>
                <c:pt idx="34">
                  <c:v>-88.653628524685089</c:v>
                </c:pt>
                <c:pt idx="35">
                  <c:v>-88.930466477034258</c:v>
                </c:pt>
                <c:pt idx="36">
                  <c:v>-89.150402908367639</c:v>
                </c:pt>
                <c:pt idx="37">
                  <c:v>-89.325122788266924</c:v>
                </c:pt>
                <c:pt idx="38">
                  <c:v>-89.463916826495577</c:v>
                </c:pt>
                <c:pt idx="39">
                  <c:v>-89.574169413406366</c:v>
                </c:pt>
                <c:pt idx="40">
                  <c:v>-89.661748443483248</c:v>
                </c:pt>
                <c:pt idx="41">
                  <c:v>-89.73131608627952</c:v>
                </c:pt>
                <c:pt idx="42">
                  <c:v>-89.786576203770807</c:v>
                </c:pt>
                <c:pt idx="43">
                  <c:v>-89.830471163332973</c:v>
                </c:pt>
                <c:pt idx="44">
                  <c:v>-89.865338313411087</c:v>
                </c:pt>
                <c:pt idx="45">
                  <c:v>-89.893034347522274</c:v>
                </c:pt>
                <c:pt idx="46">
                  <c:v>-89.915034125662586</c:v>
                </c:pt>
                <c:pt idx="47">
                  <c:v>-89.932509188768151</c:v>
                </c:pt>
                <c:pt idx="48">
                  <c:v>-89.94639013390362</c:v>
                </c:pt>
                <c:pt idx="49">
                  <c:v>-89.957416165113756</c:v>
                </c:pt>
                <c:pt idx="50">
                  <c:v>-89.966174455308519</c:v>
                </c:pt>
              </c:numCache>
            </c:numRef>
          </c:yVal>
          <c:smooth val="1"/>
        </c:ser>
        <c:axId val="106431232"/>
        <c:axId val="106432768"/>
      </c:scatterChart>
      <c:valAx>
        <c:axId val="106296064"/>
        <c:scaling>
          <c:logBase val="10"/>
          <c:orientation val="minMax"/>
          <c:max val="1000"/>
          <c:min val="1.0000000000000004E-2"/>
        </c:scaling>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50" b="1" i="0" u="none" strike="noStrike" baseline="0">
                    <a:solidFill>
                      <a:srgbClr val="000000"/>
                    </a:solidFill>
                    <a:latin typeface="Arial"/>
                    <a:ea typeface="Arial"/>
                    <a:cs typeface="Arial"/>
                  </a:defRPr>
                </a:pPr>
                <a:r>
                  <a:rPr lang="en-US"/>
                  <a:t>Frequency (Hz)</a:t>
                </a:r>
              </a:p>
            </c:rich>
          </c:tx>
          <c:layout>
            <c:manualLayout>
              <c:xMode val="edge"/>
              <c:yMode val="edge"/>
              <c:x val="0.42762339654843717"/>
              <c:y val="0.86847277380845567"/>
            </c:manualLayout>
          </c:layout>
          <c:spPr>
            <a:noFill/>
            <a:ln w="25400">
              <a:noFill/>
            </a:ln>
          </c:spPr>
        </c:title>
        <c:numFmt formatCode="General" sourceLinked="0"/>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06297984"/>
        <c:crossesAt val="-100"/>
        <c:crossBetween val="midCat"/>
        <c:majorUnit val="10"/>
        <c:minorUnit val="10"/>
      </c:valAx>
      <c:valAx>
        <c:axId val="106297984"/>
        <c:scaling>
          <c:orientation val="minMax"/>
          <c:max val="100"/>
          <c:min val="-100"/>
        </c:scaling>
        <c:axPos val="l"/>
        <c:majorGridlines>
          <c:spPr>
            <a:ln w="3175">
              <a:solidFill>
                <a:srgbClr val="000000"/>
              </a:solidFill>
              <a:prstDash val="solid"/>
            </a:ln>
          </c:spPr>
        </c:majorGridlines>
        <c:title>
          <c:tx>
            <c:rich>
              <a:bodyPr/>
              <a:lstStyle/>
              <a:p>
                <a:pPr>
                  <a:defRPr sz="1050" b="1" i="0" u="none" strike="noStrike" baseline="0">
                    <a:solidFill>
                      <a:srgbClr val="000000"/>
                    </a:solidFill>
                    <a:latin typeface="Arial"/>
                    <a:ea typeface="Arial"/>
                    <a:cs typeface="Arial"/>
                  </a:defRPr>
                </a:pPr>
                <a:r>
                  <a:rPr lang="en-US"/>
                  <a:t>Gain (dB)</a:t>
                </a:r>
              </a:p>
            </c:rich>
          </c:tx>
          <c:layout>
            <c:manualLayout>
              <c:xMode val="edge"/>
              <c:yMode val="edge"/>
              <c:x val="2.1248367530357148E-2"/>
              <c:y val="0.41005841435944923"/>
            </c:manualLayout>
          </c:layout>
          <c:spPr>
            <a:noFill/>
            <a:ln w="25400">
              <a:noFill/>
            </a:ln>
          </c:spPr>
        </c:title>
        <c:numFmt formatCode="General" sourceLinked="1"/>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06296064"/>
        <c:crossesAt val="1.0000000000000004E-2"/>
        <c:crossBetween val="midCat"/>
      </c:valAx>
      <c:valAx>
        <c:axId val="106431232"/>
        <c:scaling>
          <c:logBase val="10"/>
          <c:orientation val="minMax"/>
        </c:scaling>
        <c:delete val="1"/>
        <c:axPos val="b"/>
        <c:numFmt formatCode="0.000" sourceLinked="1"/>
        <c:tickLblPos val="none"/>
        <c:crossAx val="106432768"/>
        <c:crosses val="autoZero"/>
        <c:crossBetween val="midCat"/>
      </c:valAx>
      <c:valAx>
        <c:axId val="106432768"/>
        <c:scaling>
          <c:orientation val="minMax"/>
        </c:scaling>
        <c:axPos val="r"/>
        <c:title>
          <c:tx>
            <c:rich>
              <a:bodyPr rot="5400000" vert="horz"/>
              <a:lstStyle/>
              <a:p>
                <a:pPr algn="ctr">
                  <a:defRPr sz="1050" b="1" i="0" u="none" strike="noStrike" baseline="0">
                    <a:solidFill>
                      <a:srgbClr val="000000"/>
                    </a:solidFill>
                    <a:latin typeface="Arial"/>
                    <a:ea typeface="Arial"/>
                    <a:cs typeface="Arial"/>
                  </a:defRPr>
                </a:pPr>
                <a:r>
                  <a:rPr lang="en-US"/>
                  <a:t>Phase (degrees)</a:t>
                </a:r>
              </a:p>
            </c:rich>
          </c:tx>
          <c:layout>
            <c:manualLayout>
              <c:xMode val="edge"/>
              <c:yMode val="edge"/>
              <c:x val="0.94820840104218673"/>
              <c:y val="0.35976823146630904"/>
            </c:manualLayout>
          </c:layout>
          <c:spPr>
            <a:noFill/>
            <a:ln w="25400">
              <a:noFill/>
            </a:ln>
          </c:spPr>
        </c:title>
        <c:numFmt formatCode="General" sourceLinked="1"/>
        <c:majorTickMark val="cross"/>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06431232"/>
        <c:crosses val="max"/>
        <c:crossBetween val="midCat"/>
      </c:valAx>
      <c:spPr>
        <a:gradFill rotWithShape="0">
          <a:gsLst>
            <a:gs pos="0">
              <a:srgbClr val="FFFFFF"/>
            </a:gs>
            <a:gs pos="100000">
              <a:srgbClr val="FFFFCC"/>
            </a:gs>
          </a:gsLst>
          <a:lin ang="5400000" scaled="1"/>
        </a:gradFill>
        <a:ln w="12700">
          <a:solidFill>
            <a:srgbClr val="808080"/>
          </a:solidFill>
          <a:prstDash val="solid"/>
        </a:ln>
      </c:spPr>
    </c:plotArea>
    <c:legend>
      <c:legendPos val="b"/>
      <c:layout>
        <c:manualLayout>
          <c:xMode val="edge"/>
          <c:yMode val="edge"/>
          <c:x val="0.16334682538962042"/>
          <c:y val="0.93810533473741853"/>
          <c:w val="0.67330764611819205"/>
          <c:h val="4.8355945089557657E-2"/>
        </c:manualLayout>
      </c:layout>
      <c:spPr>
        <a:solidFill>
          <a:srgbClr val="FFFFFF"/>
        </a:solidFill>
        <a:ln w="3175">
          <a:solidFill>
            <a:srgbClr val="000000"/>
          </a:solidFill>
          <a:prstDash val="solid"/>
        </a:ln>
      </c:spPr>
      <c:txPr>
        <a:bodyPr/>
        <a:lstStyle/>
        <a:p>
          <a:pPr>
            <a:defRPr sz="96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Arial"/>
                <a:ea typeface="Arial"/>
                <a:cs typeface="Arial"/>
              </a:defRPr>
            </a:pPr>
            <a:r>
              <a:rPr lang="en-US"/>
              <a:t>Voltage Closed-Loop Bode Plot</a:t>
            </a:r>
          </a:p>
        </c:rich>
      </c:tx>
      <c:layout>
        <c:manualLayout>
          <c:xMode val="edge"/>
          <c:yMode val="edge"/>
          <c:x val="0.33774834437086115"/>
          <c:y val="2.9465983011738549E-2"/>
        </c:manualLayout>
      </c:layout>
      <c:spPr>
        <a:noFill/>
        <a:ln w="25400">
          <a:noFill/>
        </a:ln>
      </c:spPr>
    </c:title>
    <c:plotArea>
      <c:layout>
        <c:manualLayout>
          <c:layoutTarget val="inner"/>
          <c:xMode val="edge"/>
          <c:yMode val="edge"/>
          <c:x val="0.10860927152317887"/>
          <c:y val="0.14180504324399179"/>
          <c:w val="0.78410596026490054"/>
          <c:h val="0.65930136988764998"/>
        </c:manualLayout>
      </c:layout>
      <c:scatterChart>
        <c:scatterStyle val="smoothMarker"/>
        <c:ser>
          <c:idx val="0"/>
          <c:order val="0"/>
          <c:tx>
            <c:v>EA Gain</c:v>
          </c:tx>
          <c:spPr>
            <a:ln w="38100">
              <a:solidFill>
                <a:srgbClr val="993300"/>
              </a:solidFill>
              <a:prstDash val="solid"/>
            </a:ln>
          </c:spPr>
          <c:marker>
            <c:symbol val="none"/>
          </c:marker>
          <c:xVal>
            <c:numRef>
              <c:f>data!$H$205:$H$255</c:f>
              <c:numCache>
                <c:formatCode>0.000</c:formatCode>
                <c:ptCount val="51"/>
                <c:pt idx="0">
                  <c:v>0.01</c:v>
                </c:pt>
                <c:pt idx="1">
                  <c:v>1.2589254117941664E-2</c:v>
                </c:pt>
                <c:pt idx="2">
                  <c:v>1.5848931924611124E-2</c:v>
                </c:pt>
                <c:pt idx="3">
                  <c:v>1.9952623149688792E-2</c:v>
                </c:pt>
                <c:pt idx="4">
                  <c:v>2.511886431509578E-2</c:v>
                </c:pt>
                <c:pt idx="5">
                  <c:v>3.1622776601683784E-2</c:v>
                </c:pt>
                <c:pt idx="6">
                  <c:v>3.9810717055349727E-2</c:v>
                </c:pt>
                <c:pt idx="7">
                  <c:v>5.0118723362727206E-2</c:v>
                </c:pt>
                <c:pt idx="8">
                  <c:v>6.3095734448019317E-2</c:v>
                </c:pt>
                <c:pt idx="9">
                  <c:v>7.9432823472428096E-2</c:v>
                </c:pt>
                <c:pt idx="10">
                  <c:v>0.1</c:v>
                </c:pt>
                <c:pt idx="11">
                  <c:v>0.12589254117941667</c:v>
                </c:pt>
                <c:pt idx="12">
                  <c:v>0.15848931924611132</c:v>
                </c:pt>
                <c:pt idx="13">
                  <c:v>0.19952623149688795</c:v>
                </c:pt>
                <c:pt idx="14">
                  <c:v>0.25118864315095801</c:v>
                </c:pt>
                <c:pt idx="15">
                  <c:v>0.31622776601683794</c:v>
                </c:pt>
                <c:pt idx="16">
                  <c:v>0.3981071705534972</c:v>
                </c:pt>
                <c:pt idx="17">
                  <c:v>0.50118723362727224</c:v>
                </c:pt>
                <c:pt idx="18">
                  <c:v>0.63095734448019325</c:v>
                </c:pt>
                <c:pt idx="19">
                  <c:v>0.79432823472428149</c:v>
                </c:pt>
                <c:pt idx="20">
                  <c:v>1</c:v>
                </c:pt>
                <c:pt idx="21">
                  <c:v>1.2589254117941673</c:v>
                </c:pt>
                <c:pt idx="22">
                  <c:v>1.5848931924611136</c:v>
                </c:pt>
                <c:pt idx="23">
                  <c:v>1.9952623149688797</c:v>
                </c:pt>
                <c:pt idx="24">
                  <c:v>2.5118864315095806</c:v>
                </c:pt>
                <c:pt idx="25">
                  <c:v>3.1622776601683795</c:v>
                </c:pt>
                <c:pt idx="26">
                  <c:v>3.9810717055349727</c:v>
                </c:pt>
                <c:pt idx="27">
                  <c:v>5.0118723362727229</c:v>
                </c:pt>
                <c:pt idx="28">
                  <c:v>6.3095734448019343</c:v>
                </c:pt>
                <c:pt idx="29">
                  <c:v>7.9432823472428176</c:v>
                </c:pt>
                <c:pt idx="30">
                  <c:v>10</c:v>
                </c:pt>
                <c:pt idx="31">
                  <c:v>12.58925411794168</c:v>
                </c:pt>
                <c:pt idx="32">
                  <c:v>15.848931924611136</c:v>
                </c:pt>
                <c:pt idx="33">
                  <c:v>19.952623149688804</c:v>
                </c:pt>
                <c:pt idx="34">
                  <c:v>25.118864315095799</c:v>
                </c:pt>
                <c:pt idx="35">
                  <c:v>31.622776601683803</c:v>
                </c:pt>
                <c:pt idx="36">
                  <c:v>39.810717055349755</c:v>
                </c:pt>
                <c:pt idx="37">
                  <c:v>50.118723362727238</c:v>
                </c:pt>
                <c:pt idx="38">
                  <c:v>63.095734448019364</c:v>
                </c:pt>
                <c:pt idx="39">
                  <c:v>79.432823472428197</c:v>
                </c:pt>
                <c:pt idx="40">
                  <c:v>100</c:v>
                </c:pt>
                <c:pt idx="41">
                  <c:v>125.89254117941677</c:v>
                </c:pt>
                <c:pt idx="42">
                  <c:v>158.48931924611153</c:v>
                </c:pt>
                <c:pt idx="43">
                  <c:v>199.52623149688802</c:v>
                </c:pt>
                <c:pt idx="44">
                  <c:v>251.18864315095806</c:v>
                </c:pt>
                <c:pt idx="45">
                  <c:v>316.22776601683825</c:v>
                </c:pt>
                <c:pt idx="46">
                  <c:v>398.10717055349761</c:v>
                </c:pt>
                <c:pt idx="47">
                  <c:v>501.18723362727269</c:v>
                </c:pt>
                <c:pt idx="48">
                  <c:v>630.95734448019323</c:v>
                </c:pt>
                <c:pt idx="49">
                  <c:v>794.32823472428208</c:v>
                </c:pt>
                <c:pt idx="50">
                  <c:v>1000</c:v>
                </c:pt>
              </c:numCache>
            </c:numRef>
          </c:xVal>
          <c:yVal>
            <c:numRef>
              <c:f>data!$Q$205:$Q$255</c:f>
              <c:numCache>
                <c:formatCode>General</c:formatCode>
                <c:ptCount val="51"/>
                <c:pt idx="0">
                  <c:v>32.068874404124557</c:v>
                </c:pt>
                <c:pt idx="1">
                  <c:v>30.069450949052225</c:v>
                </c:pt>
                <c:pt idx="2">
                  <c:v>28.070364553937786</c:v>
                </c:pt>
                <c:pt idx="3">
                  <c:v>26.07181212529731</c:v>
                </c:pt>
                <c:pt idx="4">
                  <c:v>24.074105380296722</c:v>
                </c:pt>
                <c:pt idx="5">
                  <c:v>22.077737458090002</c:v>
                </c:pt>
                <c:pt idx="6">
                  <c:v>20.083487678996683</c:v>
                </c:pt>
                <c:pt idx="7">
                  <c:v>18.092585549142406</c:v>
                </c:pt>
                <c:pt idx="8">
                  <c:v>16.106965652328192</c:v>
                </c:pt>
                <c:pt idx="9">
                  <c:v>14.129659186654601</c:v>
                </c:pt>
                <c:pt idx="10">
                  <c:v>12.165384097832197</c:v>
                </c:pt>
                <c:pt idx="11">
                  <c:v>10.221407204159647</c:v>
                </c:pt>
                <c:pt idx="12">
                  <c:v>8.3087388630918664</c:v>
                </c:pt>
                <c:pt idx="13">
                  <c:v>6.4436391385463594</c:v>
                </c:pt>
                <c:pt idx="14">
                  <c:v>4.6491849386642521</c:v>
                </c:pt>
                <c:pt idx="15">
                  <c:v>2.9561847962547789</c:v>
                </c:pt>
                <c:pt idx="16">
                  <c:v>1.402092208599248</c:v>
                </c:pt>
                <c:pt idx="17">
                  <c:v>2.6290033600039394E-2</c:v>
                </c:pt>
                <c:pt idx="18">
                  <c:v>-1.1386926614217086</c:v>
                </c:pt>
                <c:pt idx="19">
                  <c:v>-2.0773007075441199</c:v>
                </c:pt>
                <c:pt idx="20">
                  <c:v>-2.7968534185314016</c:v>
                </c:pt>
                <c:pt idx="21">
                  <c:v>-3.3252734997938775</c:v>
                </c:pt>
                <c:pt idx="22">
                  <c:v>-3.7024012307893965</c:v>
                </c:pt>
                <c:pt idx="23">
                  <c:v>-3.9705159501201148</c:v>
                </c:pt>
                <c:pt idx="24">
                  <c:v>-4.1683865925627419</c:v>
                </c:pt>
                <c:pt idx="25">
                  <c:v>-4.329672000571362</c:v>
                </c:pt>
                <c:pt idx="26">
                  <c:v>-4.4843740248215447</c:v>
                </c:pt>
                <c:pt idx="27">
                  <c:v>-4.6617595904971223</c:v>
                </c:pt>
                <c:pt idx="28">
                  <c:v>-4.8935280292461982</c:v>
                </c:pt>
                <c:pt idx="29">
                  <c:v>-5.2161061431693856</c:v>
                </c:pt>
                <c:pt idx="30">
                  <c:v>-5.6706413997583507</c:v>
                </c:pt>
                <c:pt idx="31">
                  <c:v>-6.2991023381563309</c:v>
                </c:pt>
                <c:pt idx="32">
                  <c:v>-7.1360783764881717</c:v>
                </c:pt>
                <c:pt idx="33">
                  <c:v>-8.1990082702857308</c:v>
                </c:pt>
                <c:pt idx="34">
                  <c:v>-9.4824344000011109</c:v>
                </c:pt>
                <c:pt idx="35">
                  <c:v>-10.960384821826093</c:v>
                </c:pt>
                <c:pt idx="36">
                  <c:v>-12.595308450405117</c:v>
                </c:pt>
                <c:pt idx="37">
                  <c:v>-14.348030401859784</c:v>
                </c:pt>
                <c:pt idx="38">
                  <c:v>-16.184410565512959</c:v>
                </c:pt>
                <c:pt idx="39">
                  <c:v>-18.077897432209159</c:v>
                </c:pt>
                <c:pt idx="40">
                  <c:v>-20.00931813549893</c:v>
                </c:pt>
                <c:pt idx="41">
                  <c:v>-21.965481754033121</c:v>
                </c:pt>
                <c:pt idx="42">
                  <c:v>-23.937592714304799</c:v>
                </c:pt>
                <c:pt idx="43">
                  <c:v>-25.91990302536157</c:v>
                </c:pt>
                <c:pt idx="44">
                  <c:v>-27.908704279883093</c:v>
                </c:pt>
                <c:pt idx="45">
                  <c:v>-29.901623414882678</c:v>
                </c:pt>
                <c:pt idx="46">
                  <c:v>-31.897149724818696</c:v>
                </c:pt>
                <c:pt idx="47">
                  <c:v>-33.894324636736933</c:v>
                </c:pt>
                <c:pt idx="48">
                  <c:v>-35.892541177652923</c:v>
                </c:pt>
                <c:pt idx="49">
                  <c:v>-37.89141551290426</c:v>
                </c:pt>
                <c:pt idx="50">
                  <c:v>-39.890705115839296</c:v>
                </c:pt>
              </c:numCache>
            </c:numRef>
          </c:yVal>
          <c:smooth val="1"/>
        </c:ser>
        <c:ser>
          <c:idx val="1"/>
          <c:order val="1"/>
          <c:tx>
            <c:v>Total Closed  Loop Gain</c:v>
          </c:tx>
          <c:spPr>
            <a:ln w="38100">
              <a:solidFill>
                <a:srgbClr val="FF0000"/>
              </a:solidFill>
              <a:prstDash val="solid"/>
            </a:ln>
          </c:spPr>
          <c:marker>
            <c:symbol val="none"/>
          </c:marker>
          <c:xVal>
            <c:numRef>
              <c:f>data!$H$205:$H$255</c:f>
              <c:numCache>
                <c:formatCode>0.000</c:formatCode>
                <c:ptCount val="51"/>
                <c:pt idx="0">
                  <c:v>0.01</c:v>
                </c:pt>
                <c:pt idx="1">
                  <c:v>1.2589254117941664E-2</c:v>
                </c:pt>
                <c:pt idx="2">
                  <c:v>1.5848931924611124E-2</c:v>
                </c:pt>
                <c:pt idx="3">
                  <c:v>1.9952623149688792E-2</c:v>
                </c:pt>
                <c:pt idx="4">
                  <c:v>2.511886431509578E-2</c:v>
                </c:pt>
                <c:pt idx="5">
                  <c:v>3.1622776601683784E-2</c:v>
                </c:pt>
                <c:pt idx="6">
                  <c:v>3.9810717055349727E-2</c:v>
                </c:pt>
                <c:pt idx="7">
                  <c:v>5.0118723362727206E-2</c:v>
                </c:pt>
                <c:pt idx="8">
                  <c:v>6.3095734448019317E-2</c:v>
                </c:pt>
                <c:pt idx="9">
                  <c:v>7.9432823472428096E-2</c:v>
                </c:pt>
                <c:pt idx="10">
                  <c:v>0.1</c:v>
                </c:pt>
                <c:pt idx="11">
                  <c:v>0.12589254117941667</c:v>
                </c:pt>
                <c:pt idx="12">
                  <c:v>0.15848931924611132</c:v>
                </c:pt>
                <c:pt idx="13">
                  <c:v>0.19952623149688795</c:v>
                </c:pt>
                <c:pt idx="14">
                  <c:v>0.25118864315095801</c:v>
                </c:pt>
                <c:pt idx="15">
                  <c:v>0.31622776601683794</c:v>
                </c:pt>
                <c:pt idx="16">
                  <c:v>0.3981071705534972</c:v>
                </c:pt>
                <c:pt idx="17">
                  <c:v>0.50118723362727224</c:v>
                </c:pt>
                <c:pt idx="18">
                  <c:v>0.63095734448019325</c:v>
                </c:pt>
                <c:pt idx="19">
                  <c:v>0.79432823472428149</c:v>
                </c:pt>
                <c:pt idx="20">
                  <c:v>1</c:v>
                </c:pt>
                <c:pt idx="21">
                  <c:v>1.2589254117941673</c:v>
                </c:pt>
                <c:pt idx="22">
                  <c:v>1.5848931924611136</c:v>
                </c:pt>
                <c:pt idx="23">
                  <c:v>1.9952623149688797</c:v>
                </c:pt>
                <c:pt idx="24">
                  <c:v>2.5118864315095806</c:v>
                </c:pt>
                <c:pt idx="25">
                  <c:v>3.1622776601683795</c:v>
                </c:pt>
                <c:pt idx="26">
                  <c:v>3.9810717055349727</c:v>
                </c:pt>
                <c:pt idx="27">
                  <c:v>5.0118723362727229</c:v>
                </c:pt>
                <c:pt idx="28">
                  <c:v>6.3095734448019343</c:v>
                </c:pt>
                <c:pt idx="29">
                  <c:v>7.9432823472428176</c:v>
                </c:pt>
                <c:pt idx="30">
                  <c:v>10</c:v>
                </c:pt>
                <c:pt idx="31">
                  <c:v>12.58925411794168</c:v>
                </c:pt>
                <c:pt idx="32">
                  <c:v>15.848931924611136</c:v>
                </c:pt>
                <c:pt idx="33">
                  <c:v>19.952623149688804</c:v>
                </c:pt>
                <c:pt idx="34">
                  <c:v>25.118864315095799</c:v>
                </c:pt>
                <c:pt idx="35">
                  <c:v>31.622776601683803</c:v>
                </c:pt>
                <c:pt idx="36">
                  <c:v>39.810717055349755</c:v>
                </c:pt>
                <c:pt idx="37">
                  <c:v>50.118723362727238</c:v>
                </c:pt>
                <c:pt idx="38">
                  <c:v>63.095734448019364</c:v>
                </c:pt>
                <c:pt idx="39">
                  <c:v>79.432823472428197</c:v>
                </c:pt>
                <c:pt idx="40">
                  <c:v>100</c:v>
                </c:pt>
                <c:pt idx="41">
                  <c:v>125.89254117941677</c:v>
                </c:pt>
                <c:pt idx="42">
                  <c:v>158.48931924611153</c:v>
                </c:pt>
                <c:pt idx="43">
                  <c:v>199.52623149688802</c:v>
                </c:pt>
                <c:pt idx="44">
                  <c:v>251.18864315095806</c:v>
                </c:pt>
                <c:pt idx="45">
                  <c:v>316.22776601683825</c:v>
                </c:pt>
                <c:pt idx="46">
                  <c:v>398.10717055349761</c:v>
                </c:pt>
                <c:pt idx="47">
                  <c:v>501.18723362727269</c:v>
                </c:pt>
                <c:pt idx="48">
                  <c:v>630.95734448019323</c:v>
                </c:pt>
                <c:pt idx="49">
                  <c:v>794.32823472428208</c:v>
                </c:pt>
                <c:pt idx="50">
                  <c:v>1000</c:v>
                </c:pt>
              </c:numCache>
            </c:numRef>
          </c:xVal>
          <c:yVal>
            <c:numRef>
              <c:f>data!$S$205:$S$255</c:f>
              <c:numCache>
                <c:formatCode>General</c:formatCode>
                <c:ptCount val="51"/>
                <c:pt idx="0">
                  <c:v>50.997917348722041</c:v>
                </c:pt>
                <c:pt idx="1">
                  <c:v>48.997765350249551</c:v>
                </c:pt>
                <c:pt idx="2">
                  <c:v>46.997524541946561</c:v>
                </c:pt>
                <c:pt idx="3">
                  <c:v>44.997143120036071</c:v>
                </c:pt>
                <c:pt idx="4">
                  <c:v>42.996539192931849</c:v>
                </c:pt>
                <c:pt idx="5">
                  <c:v>40.995583501813478</c:v>
                </c:pt>
                <c:pt idx="6">
                  <c:v>38.994072511755995</c:v>
                </c:pt>
                <c:pt idx="7">
                  <c:v>36.991686948749482</c:v>
                </c:pt>
                <c:pt idx="8">
                  <c:v>34.98792900657886</c:v>
                </c:pt>
                <c:pt idx="9">
                  <c:v>32.982029951805117</c:v>
                </c:pt>
                <c:pt idx="10">
                  <c:v>30.972820768291569</c:v>
                </c:pt>
                <c:pt idx="11">
                  <c:v>28.958566966720682</c:v>
                </c:pt>
                <c:pt idx="12">
                  <c:v>26.93679555743007</c:v>
                </c:pt>
                <c:pt idx="13">
                  <c:v>24.904204722720596</c:v>
                </c:pt>
                <c:pt idx="14">
                  <c:v>22.856856785013125</c:v>
                </c:pt>
                <c:pt idx="15">
                  <c:v>20.790969839561079</c:v>
                </c:pt>
                <c:pt idx="16">
                  <c:v>18.704550960983152</c:v>
                </c:pt>
                <c:pt idx="17">
                  <c:v>16.599522900936325</c:v>
                </c:pt>
                <c:pt idx="18">
                  <c:v>14.482924512990078</c:v>
                </c:pt>
                <c:pt idx="19">
                  <c:v>12.365428982188867</c:v>
                </c:pt>
                <c:pt idx="20">
                  <c:v>10.257262592959218</c:v>
                </c:pt>
                <c:pt idx="21">
                  <c:v>8.1641827333359558</c:v>
                </c:pt>
                <c:pt idx="22">
                  <c:v>6.0860340925937981</c:v>
                </c:pt>
                <c:pt idx="23">
                  <c:v>4.017734319264636</c:v>
                </c:pt>
                <c:pt idx="24">
                  <c:v>1.950838954490951</c:v>
                </c:pt>
                <c:pt idx="25">
                  <c:v>-0.12572690332531808</c:v>
                </c:pt>
                <c:pt idx="26">
                  <c:v>-2.226111455745551</c:v>
                </c:pt>
                <c:pt idx="27">
                  <c:v>-4.368872135908707</c:v>
                </c:pt>
                <c:pt idx="28">
                  <c:v>-6.5786508514484998</c:v>
                </c:pt>
                <c:pt idx="29">
                  <c:v>-8.8872968798743113</c:v>
                </c:pt>
                <c:pt idx="30">
                  <c:v>-11.333018532593499</c:v>
                </c:pt>
                <c:pt idx="31">
                  <c:v>-13.95590924566835</c:v>
                </c:pt>
                <c:pt idx="32">
                  <c:v>-16.789367029877955</c:v>
                </c:pt>
                <c:pt idx="33">
                  <c:v>-19.850075587998827</c:v>
                </c:pt>
                <c:pt idx="34">
                  <c:v>-23.132099564831758</c:v>
                </c:pt>
                <c:pt idx="35">
                  <c:v>-26.609165055014241</c:v>
                </c:pt>
                <c:pt idx="36">
                  <c:v>-30.243530236681259</c:v>
                </c:pt>
                <c:pt idx="37">
                  <c:v>-33.995899795003496</c:v>
                </c:pt>
                <c:pt idx="38">
                  <c:v>-37.832057598908399</c:v>
                </c:pt>
                <c:pt idx="39">
                  <c:v>-41.725404160230262</c:v>
                </c:pt>
                <c:pt idx="40">
                  <c:v>-45.656736334481266</c:v>
                </c:pt>
                <c:pt idx="41">
                  <c:v>-49.612844094039666</c:v>
                </c:pt>
                <c:pt idx="42">
                  <c:v>-53.584919809310662</c:v>
                </c:pt>
                <c:pt idx="43">
                  <c:v>-57.567207882128216</c:v>
                </c:pt>
                <c:pt idx="44">
                  <c:v>-61.555995105210776</c:v>
                </c:pt>
                <c:pt idx="45">
                  <c:v>-65.548905386947581</c:v>
                </c:pt>
                <c:pt idx="46">
                  <c:v>-69.544426110843133</c:v>
                </c:pt>
                <c:pt idx="47">
                  <c:v>-73.541597498204425</c:v>
                </c:pt>
                <c:pt idx="48">
                  <c:v>-77.539811815273779</c:v>
                </c:pt>
                <c:pt idx="49">
                  <c:v>-81.538684747372287</c:v>
                </c:pt>
                <c:pt idx="50">
                  <c:v>-85.537973464977455</c:v>
                </c:pt>
              </c:numCache>
            </c:numRef>
          </c:yVal>
          <c:smooth val="1"/>
        </c:ser>
        <c:axId val="106506496"/>
        <c:axId val="106520960"/>
      </c:scatterChart>
      <c:scatterChart>
        <c:scatterStyle val="lineMarker"/>
        <c:ser>
          <c:idx val="2"/>
          <c:order val="2"/>
          <c:tx>
            <c:v>Total Closed Loop Phase Margin</c:v>
          </c:tx>
          <c:spPr>
            <a:ln w="38100">
              <a:solidFill>
                <a:srgbClr val="0000FF"/>
              </a:solidFill>
              <a:prstDash val="solid"/>
            </a:ln>
          </c:spPr>
          <c:marker>
            <c:symbol val="none"/>
          </c:marker>
          <c:xVal>
            <c:numRef>
              <c:f>data!$H$205:$H$255</c:f>
              <c:numCache>
                <c:formatCode>0.000</c:formatCode>
                <c:ptCount val="51"/>
                <c:pt idx="0">
                  <c:v>0.01</c:v>
                </c:pt>
                <c:pt idx="1">
                  <c:v>1.2589254117941664E-2</c:v>
                </c:pt>
                <c:pt idx="2">
                  <c:v>1.5848931924611124E-2</c:v>
                </c:pt>
                <c:pt idx="3">
                  <c:v>1.9952623149688792E-2</c:v>
                </c:pt>
                <c:pt idx="4">
                  <c:v>2.511886431509578E-2</c:v>
                </c:pt>
                <c:pt idx="5">
                  <c:v>3.1622776601683784E-2</c:v>
                </c:pt>
                <c:pt idx="6">
                  <c:v>3.9810717055349727E-2</c:v>
                </c:pt>
                <c:pt idx="7">
                  <c:v>5.0118723362727206E-2</c:v>
                </c:pt>
                <c:pt idx="8">
                  <c:v>6.3095734448019317E-2</c:v>
                </c:pt>
                <c:pt idx="9">
                  <c:v>7.9432823472428096E-2</c:v>
                </c:pt>
                <c:pt idx="10">
                  <c:v>0.1</c:v>
                </c:pt>
                <c:pt idx="11">
                  <c:v>0.12589254117941667</c:v>
                </c:pt>
                <c:pt idx="12">
                  <c:v>0.15848931924611132</c:v>
                </c:pt>
                <c:pt idx="13">
                  <c:v>0.19952623149688795</c:v>
                </c:pt>
                <c:pt idx="14">
                  <c:v>0.25118864315095801</c:v>
                </c:pt>
                <c:pt idx="15">
                  <c:v>0.31622776601683794</c:v>
                </c:pt>
                <c:pt idx="16">
                  <c:v>0.3981071705534972</c:v>
                </c:pt>
                <c:pt idx="17">
                  <c:v>0.50118723362727224</c:v>
                </c:pt>
                <c:pt idx="18">
                  <c:v>0.63095734448019325</c:v>
                </c:pt>
                <c:pt idx="19">
                  <c:v>0.79432823472428149</c:v>
                </c:pt>
                <c:pt idx="20">
                  <c:v>1</c:v>
                </c:pt>
                <c:pt idx="21">
                  <c:v>1.2589254117941673</c:v>
                </c:pt>
                <c:pt idx="22">
                  <c:v>1.5848931924611136</c:v>
                </c:pt>
                <c:pt idx="23">
                  <c:v>1.9952623149688797</c:v>
                </c:pt>
                <c:pt idx="24">
                  <c:v>2.5118864315095806</c:v>
                </c:pt>
                <c:pt idx="25">
                  <c:v>3.1622776601683795</c:v>
                </c:pt>
                <c:pt idx="26">
                  <c:v>3.9810717055349727</c:v>
                </c:pt>
                <c:pt idx="27">
                  <c:v>5.0118723362727229</c:v>
                </c:pt>
                <c:pt idx="28">
                  <c:v>6.3095734448019343</c:v>
                </c:pt>
                <c:pt idx="29">
                  <c:v>7.9432823472428176</c:v>
                </c:pt>
                <c:pt idx="30">
                  <c:v>10</c:v>
                </c:pt>
                <c:pt idx="31">
                  <c:v>12.58925411794168</c:v>
                </c:pt>
                <c:pt idx="32">
                  <c:v>15.848931924611136</c:v>
                </c:pt>
                <c:pt idx="33">
                  <c:v>19.952623149688804</c:v>
                </c:pt>
                <c:pt idx="34">
                  <c:v>25.118864315095799</c:v>
                </c:pt>
                <c:pt idx="35">
                  <c:v>31.622776601683803</c:v>
                </c:pt>
                <c:pt idx="36">
                  <c:v>39.810717055349755</c:v>
                </c:pt>
                <c:pt idx="37">
                  <c:v>50.118723362727238</c:v>
                </c:pt>
                <c:pt idx="38">
                  <c:v>63.095734448019364</c:v>
                </c:pt>
                <c:pt idx="39">
                  <c:v>79.432823472428197</c:v>
                </c:pt>
                <c:pt idx="40">
                  <c:v>100</c:v>
                </c:pt>
                <c:pt idx="41">
                  <c:v>125.89254117941677</c:v>
                </c:pt>
                <c:pt idx="42">
                  <c:v>158.48931924611153</c:v>
                </c:pt>
                <c:pt idx="43">
                  <c:v>199.52623149688802</c:v>
                </c:pt>
                <c:pt idx="44">
                  <c:v>251.18864315095806</c:v>
                </c:pt>
                <c:pt idx="45">
                  <c:v>316.22776601683825</c:v>
                </c:pt>
                <c:pt idx="46">
                  <c:v>398.10717055349761</c:v>
                </c:pt>
                <c:pt idx="47">
                  <c:v>501.18723362727269</c:v>
                </c:pt>
                <c:pt idx="48">
                  <c:v>630.95734448019323</c:v>
                </c:pt>
                <c:pt idx="49">
                  <c:v>794.32823472428208</c:v>
                </c:pt>
                <c:pt idx="50">
                  <c:v>1000</c:v>
                </c:pt>
              </c:numCache>
            </c:numRef>
          </c:xVal>
          <c:yVal>
            <c:numRef>
              <c:f>data!$T$205:$T$255</c:f>
              <c:numCache>
                <c:formatCode>General</c:formatCode>
                <c:ptCount val="51"/>
                <c:pt idx="0">
                  <c:v>89.85928833837508</c:v>
                </c:pt>
                <c:pt idx="1">
                  <c:v>89.822874626086517</c:v>
                </c:pt>
                <c:pt idx="2">
                  <c:v>89.777052480078709</c:v>
                </c:pt>
                <c:pt idx="3">
                  <c:v>89.719405690998244</c:v>
                </c:pt>
                <c:pt idx="4">
                  <c:v>89.646912137741808</c:v>
                </c:pt>
                <c:pt idx="5">
                  <c:v>89.555806357557117</c:v>
                </c:pt>
                <c:pt idx="6">
                  <c:v>89.441425559228733</c:v>
                </c:pt>
                <c:pt idx="7">
                  <c:v>89.298053011030831</c:v>
                </c:pt>
                <c:pt idx="8">
                  <c:v>89.118792959762274</c:v>
                </c:pt>
                <c:pt idx="9">
                  <c:v>88.895550110684525</c:v>
                </c:pt>
                <c:pt idx="10">
                  <c:v>88.619256209992002</c:v>
                </c:pt>
                <c:pt idx="11">
                  <c:v>88.280597380402909</c:v>
                </c:pt>
                <c:pt idx="12">
                  <c:v>87.87163713643902</c:v>
                </c:pt>
                <c:pt idx="13">
                  <c:v>87.388805983683795</c:v>
                </c:pt>
                <c:pt idx="14">
                  <c:v>86.837439710042517</c:v>
                </c:pt>
                <c:pt idx="15">
                  <c:v>86.236814143487294</c:v>
                </c:pt>
                <c:pt idx="16">
                  <c:v>85.622037296546765</c:v>
                </c:pt>
                <c:pt idx="17">
                  <c:v>85.036720635244393</c:v>
                </c:pt>
                <c:pt idx="18">
                  <c:v>84.513052103484142</c:v>
                </c:pt>
                <c:pt idx="19">
                  <c:v>84.047132932702738</c:v>
                </c:pt>
                <c:pt idx="20">
                  <c:v>83.58728987743936</c:v>
                </c:pt>
                <c:pt idx="21">
                  <c:v>83.044789808505811</c:v>
                </c:pt>
                <c:pt idx="22">
                  <c:v>82.316280587584842</c:v>
                </c:pt>
                <c:pt idx="23">
                  <c:v>81.300588523590037</c:v>
                </c:pt>
                <c:pt idx="24">
                  <c:v>79.903276105791221</c:v>
                </c:pt>
                <c:pt idx="25">
                  <c:v>78.033448976140619</c:v>
                </c:pt>
                <c:pt idx="26">
                  <c:v>75.600008400161471</c:v>
                </c:pt>
                <c:pt idx="27">
                  <c:v>72.512821607078067</c:v>
                </c:pt>
                <c:pt idx="28">
                  <c:v>68.69267776716373</c:v>
                </c:pt>
                <c:pt idx="29">
                  <c:v>64.092735714424265</c:v>
                </c:pt>
                <c:pt idx="30">
                  <c:v>58.730849348519243</c:v>
                </c:pt>
                <c:pt idx="31">
                  <c:v>52.723752555009042</c:v>
                </c:pt>
                <c:pt idx="32">
                  <c:v>46.302516368271739</c:v>
                </c:pt>
                <c:pt idx="33">
                  <c:v>39.786436660876461</c:v>
                </c:pt>
                <c:pt idx="34">
                  <c:v>33.513887581331574</c:v>
                </c:pt>
                <c:pt idx="35">
                  <c:v>27.762533202835584</c:v>
                </c:pt>
                <c:pt idx="36">
                  <c:v>22.700808579202089</c:v>
                </c:pt>
                <c:pt idx="37">
                  <c:v>18.385873809138872</c:v>
                </c:pt>
                <c:pt idx="38">
                  <c:v>14.792293202554731</c:v>
                </c:pt>
                <c:pt idx="39">
                  <c:v>11.847701546579998</c:v>
                </c:pt>
                <c:pt idx="40">
                  <c:v>9.4611683152965043</c:v>
                </c:pt>
                <c:pt idx="41">
                  <c:v>7.5408302681546502</c:v>
                </c:pt>
                <c:pt idx="42">
                  <c:v>6.0028312429074902</c:v>
                </c:pt>
                <c:pt idx="43">
                  <c:v>4.7747431847151631</c:v>
                </c:pt>
                <c:pt idx="44">
                  <c:v>3.7959965973173553</c:v>
                </c:pt>
                <c:pt idx="45">
                  <c:v>3.01691697922098</c:v>
                </c:pt>
                <c:pt idx="46">
                  <c:v>2.3972504718213088</c:v>
                </c:pt>
                <c:pt idx="47">
                  <c:v>1.9046192048208752</c:v>
                </c:pt>
                <c:pt idx="48">
                  <c:v>1.5131011715622265</c:v>
                </c:pt>
                <c:pt idx="49">
                  <c:v>1.2020034523747256</c:v>
                </c:pt>
                <c:pt idx="50">
                  <c:v>0.95483765269631249</c:v>
                </c:pt>
              </c:numCache>
            </c:numRef>
          </c:yVal>
          <c:smooth val="1"/>
        </c:ser>
        <c:axId val="106522880"/>
        <c:axId val="106524672"/>
      </c:scatterChart>
      <c:valAx>
        <c:axId val="106506496"/>
        <c:scaling>
          <c:logBase val="10"/>
          <c:orientation val="minMax"/>
          <c:max val="1000"/>
          <c:min val="1.0000000000000004E-2"/>
        </c:scaling>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50" b="1" i="0" u="none" strike="noStrike" baseline="0">
                    <a:solidFill>
                      <a:srgbClr val="000000"/>
                    </a:solidFill>
                    <a:latin typeface="Arial"/>
                    <a:ea typeface="Arial"/>
                    <a:cs typeface="Arial"/>
                  </a:defRPr>
                </a:pPr>
                <a:r>
                  <a:rPr lang="en-US"/>
                  <a:t>Frequency (Hz)</a:t>
                </a:r>
              </a:p>
            </c:rich>
          </c:tx>
          <c:layout>
            <c:manualLayout>
              <c:xMode val="edge"/>
              <c:yMode val="edge"/>
              <c:x val="0.42649006622516566"/>
              <c:y val="0.86556325096982001"/>
            </c:manualLayout>
          </c:layout>
          <c:spPr>
            <a:noFill/>
            <a:ln w="25400">
              <a:noFill/>
            </a:ln>
          </c:spPr>
        </c:title>
        <c:numFmt formatCode="General" sourceLinked="0"/>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106520960"/>
        <c:crossesAt val="-150"/>
        <c:crossBetween val="midCat"/>
        <c:majorUnit val="10"/>
        <c:minorUnit val="10"/>
      </c:valAx>
      <c:valAx>
        <c:axId val="106520960"/>
        <c:scaling>
          <c:orientation val="minMax"/>
          <c:max val="100"/>
        </c:scaling>
        <c:axPos val="l"/>
        <c:majorGridlines>
          <c:spPr>
            <a:ln w="3175">
              <a:solidFill>
                <a:srgbClr val="000000"/>
              </a:solidFill>
              <a:prstDash val="solid"/>
            </a:ln>
          </c:spPr>
        </c:majorGridlines>
        <c:title>
          <c:tx>
            <c:rich>
              <a:bodyPr/>
              <a:lstStyle/>
              <a:p>
                <a:pPr>
                  <a:defRPr sz="1150" b="1" i="0" u="none" strike="noStrike" baseline="0">
                    <a:solidFill>
                      <a:srgbClr val="000000"/>
                    </a:solidFill>
                    <a:latin typeface="Arial"/>
                    <a:ea typeface="Arial"/>
                    <a:cs typeface="Arial"/>
                  </a:defRPr>
                </a:pPr>
                <a:r>
                  <a:rPr lang="en-US"/>
                  <a:t>Gain (dB)</a:t>
                </a:r>
              </a:p>
            </c:rich>
          </c:tx>
          <c:layout>
            <c:manualLayout>
              <c:xMode val="edge"/>
              <c:yMode val="edge"/>
              <c:x val="2.1192052980132447E-2"/>
              <c:y val="0.40699889034963893"/>
            </c:manualLayout>
          </c:layout>
          <c:spPr>
            <a:noFill/>
            <a:ln w="25400">
              <a:noFill/>
            </a:ln>
          </c:spPr>
        </c:title>
        <c:numFmt formatCode="General" sourceLinked="1"/>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106506496"/>
        <c:crossesAt val="1.0000000000000004E-2"/>
        <c:crossBetween val="midCat"/>
      </c:valAx>
      <c:valAx>
        <c:axId val="106522880"/>
        <c:scaling>
          <c:logBase val="10"/>
          <c:orientation val="minMax"/>
        </c:scaling>
        <c:delete val="1"/>
        <c:axPos val="b"/>
        <c:numFmt formatCode="0.000" sourceLinked="1"/>
        <c:tickLblPos val="none"/>
        <c:crossAx val="106524672"/>
        <c:crosses val="autoZero"/>
        <c:crossBetween val="midCat"/>
      </c:valAx>
      <c:valAx>
        <c:axId val="106524672"/>
        <c:scaling>
          <c:orientation val="minMax"/>
          <c:max val="180"/>
        </c:scaling>
        <c:axPos val="r"/>
        <c:title>
          <c:tx>
            <c:rich>
              <a:bodyPr rot="5400000" vert="horz"/>
              <a:lstStyle/>
              <a:p>
                <a:pPr algn="ctr">
                  <a:defRPr sz="1125" b="1" i="0" u="none" strike="noStrike" baseline="0">
                    <a:solidFill>
                      <a:srgbClr val="000000"/>
                    </a:solidFill>
                    <a:latin typeface="Arial"/>
                    <a:ea typeface="Arial"/>
                    <a:cs typeface="Arial"/>
                  </a:defRPr>
                </a:pPr>
                <a:r>
                  <a:rPr lang="en-US"/>
                  <a:t>Phase (degrees)</a:t>
                </a:r>
              </a:p>
            </c:rich>
          </c:tx>
          <c:layout>
            <c:manualLayout>
              <c:xMode val="edge"/>
              <c:yMode val="edge"/>
              <c:x val="0.9430463576158945"/>
              <c:y val="0.36095829189379741"/>
            </c:manualLayout>
          </c:layout>
          <c:spPr>
            <a:noFill/>
            <a:ln w="25400">
              <a:noFill/>
            </a:ln>
          </c:spPr>
        </c:title>
        <c:numFmt formatCode="General" sourceLinked="1"/>
        <c:majorTickMark val="cross"/>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106522880"/>
        <c:crosses val="max"/>
        <c:crossBetween val="midCat"/>
      </c:valAx>
      <c:spPr>
        <a:gradFill rotWithShape="0">
          <a:gsLst>
            <a:gs pos="0">
              <a:srgbClr val="FFFFFF"/>
            </a:gs>
            <a:gs pos="100000">
              <a:srgbClr val="FFFFCC"/>
            </a:gs>
          </a:gsLst>
          <a:lin ang="5400000" scaled="1"/>
        </a:gradFill>
        <a:ln w="12700">
          <a:solidFill>
            <a:srgbClr val="808080"/>
          </a:solidFill>
          <a:prstDash val="solid"/>
        </a:ln>
      </c:spPr>
    </c:plotArea>
    <c:legend>
      <c:legendPos val="b"/>
      <c:layout>
        <c:manualLayout>
          <c:xMode val="edge"/>
          <c:yMode val="edge"/>
          <c:x val="0.15099337748344377"/>
          <c:y val="0.93922820849916666"/>
          <c:w val="0.69801324503311268"/>
          <c:h val="4.788222239407517E-2"/>
        </c:manualLayout>
      </c:layout>
      <c:spPr>
        <a:solidFill>
          <a:srgbClr val="FFFFFF"/>
        </a:solidFill>
        <a:ln w="3175">
          <a:solidFill>
            <a:srgbClr val="000000"/>
          </a:solidFill>
          <a:prstDash val="solid"/>
        </a:ln>
      </c:spPr>
      <c:txPr>
        <a:bodyPr/>
        <a:lstStyle/>
        <a:p>
          <a:pPr>
            <a:defRPr sz="105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9525</xdr:colOff>
      <xdr:row>144</xdr:row>
      <xdr:rowOff>0</xdr:rowOff>
    </xdr:from>
    <xdr:to>
      <xdr:col>3</xdr:col>
      <xdr:colOff>600075</xdr:colOff>
      <xdr:row>166</xdr:row>
      <xdr:rowOff>200025</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176</xdr:row>
      <xdr:rowOff>0</xdr:rowOff>
    </xdr:from>
    <xdr:to>
      <xdr:col>3</xdr:col>
      <xdr:colOff>600075</xdr:colOff>
      <xdr:row>206</xdr:row>
      <xdr:rowOff>104775</xdr:rowOff>
    </xdr:to>
    <xdr:graphicFrame macro="">
      <xdr:nvGraphicFramePr>
        <xdr:cNvPr id="10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206</xdr:row>
      <xdr:rowOff>133350</xdr:rowOff>
    </xdr:from>
    <xdr:to>
      <xdr:col>3</xdr:col>
      <xdr:colOff>600075</xdr:colOff>
      <xdr:row>227</xdr:row>
      <xdr:rowOff>152400</xdr:rowOff>
    </xdr:to>
    <xdr:graphicFrame macro="">
      <xdr:nvGraphicFramePr>
        <xdr:cNvPr id="10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228</xdr:row>
      <xdr:rowOff>0</xdr:rowOff>
    </xdr:from>
    <xdr:to>
      <xdr:col>3</xdr:col>
      <xdr:colOff>600075</xdr:colOff>
      <xdr:row>258</xdr:row>
      <xdr:rowOff>66675</xdr:rowOff>
    </xdr:to>
    <xdr:graphicFrame macro="">
      <xdr:nvGraphicFramePr>
        <xdr:cNvPr id="1031"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271</xdr:row>
      <xdr:rowOff>9525</xdr:rowOff>
    </xdr:from>
    <xdr:to>
      <xdr:col>3</xdr:col>
      <xdr:colOff>676275</xdr:colOff>
      <xdr:row>302</xdr:row>
      <xdr:rowOff>133350</xdr:rowOff>
    </xdr:to>
    <xdr:graphicFrame macro="">
      <xdr:nvGraphicFramePr>
        <xdr:cNvPr id="103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enableFormatConditionsCalculation="0">
    <tabColor indexed="13"/>
  </sheetPr>
  <dimension ref="A1:N18"/>
  <sheetViews>
    <sheetView zoomScale="75" workbookViewId="0">
      <selection activeCell="Q7" sqref="Q7"/>
    </sheetView>
  </sheetViews>
  <sheetFormatPr defaultRowHeight="13.2"/>
  <sheetData>
    <row r="1" spans="1:14" ht="33">
      <c r="A1" s="147" t="s">
        <v>365</v>
      </c>
      <c r="B1" s="147"/>
      <c r="C1" s="147"/>
      <c r="D1" s="147"/>
      <c r="E1" s="147"/>
      <c r="F1" s="147"/>
      <c r="G1" s="147"/>
      <c r="H1" s="147"/>
      <c r="I1" s="147"/>
      <c r="J1" s="147"/>
      <c r="K1" s="147"/>
      <c r="L1" s="147"/>
      <c r="M1" s="147"/>
      <c r="N1" s="147"/>
    </row>
    <row r="2" spans="1:14" ht="75.75" customHeight="1">
      <c r="A2" s="148" t="s">
        <v>366</v>
      </c>
      <c r="B2" s="148"/>
      <c r="C2" s="148"/>
      <c r="D2" s="148"/>
      <c r="E2" s="148"/>
      <c r="F2" s="148"/>
      <c r="G2" s="148"/>
      <c r="H2" s="148"/>
      <c r="I2" s="148"/>
      <c r="J2" s="148"/>
      <c r="K2" s="148"/>
      <c r="L2" s="148"/>
      <c r="M2" s="148"/>
      <c r="N2" s="148"/>
    </row>
    <row r="3" spans="1:14">
      <c r="A3" s="144"/>
      <c r="B3" s="144"/>
      <c r="C3" s="144"/>
      <c r="D3" s="144"/>
      <c r="E3" s="144"/>
      <c r="F3" s="144"/>
      <c r="G3" s="144"/>
      <c r="H3" s="144"/>
      <c r="I3" s="144"/>
      <c r="J3" s="144"/>
      <c r="K3" s="144"/>
      <c r="L3" s="144"/>
      <c r="M3" s="144"/>
      <c r="N3" s="144"/>
    </row>
    <row r="4" spans="1:14" ht="24.6">
      <c r="A4" s="146" t="s">
        <v>291</v>
      </c>
      <c r="B4" s="146"/>
      <c r="C4" s="146"/>
      <c r="D4" s="146"/>
      <c r="E4" s="146"/>
      <c r="F4" s="146"/>
      <c r="G4" s="146"/>
      <c r="H4" s="146"/>
      <c r="I4" s="146"/>
      <c r="J4" s="146"/>
      <c r="K4" s="146"/>
      <c r="L4" s="146"/>
      <c r="M4" s="146"/>
      <c r="N4" s="146"/>
    </row>
    <row r="5" spans="1:14">
      <c r="A5" s="144"/>
      <c r="B5" s="144"/>
      <c r="C5" s="144"/>
      <c r="D5" s="144"/>
      <c r="E5" s="144"/>
      <c r="F5" s="144"/>
      <c r="G5" s="144"/>
      <c r="H5" s="144"/>
      <c r="I5" s="144"/>
      <c r="J5" s="144"/>
      <c r="K5" s="144"/>
      <c r="L5" s="144"/>
      <c r="M5" s="144"/>
      <c r="N5" s="144"/>
    </row>
    <row r="6" spans="1:14" ht="24.6">
      <c r="A6" s="76" t="s">
        <v>292</v>
      </c>
      <c r="B6" s="76"/>
      <c r="C6" s="76"/>
      <c r="D6" s="76"/>
      <c r="E6" s="76"/>
      <c r="F6" s="76"/>
      <c r="G6" s="76"/>
      <c r="H6" s="76"/>
      <c r="I6" s="76"/>
      <c r="J6" s="76"/>
      <c r="K6" s="76"/>
      <c r="L6" s="76"/>
      <c r="M6" s="76"/>
      <c r="N6" s="76"/>
    </row>
    <row r="7" spans="1:14" ht="24.6">
      <c r="A7" s="76"/>
      <c r="B7" s="145" t="s">
        <v>373</v>
      </c>
      <c r="C7" s="146"/>
      <c r="D7" s="146"/>
      <c r="E7" s="146"/>
      <c r="F7" s="146"/>
      <c r="G7" s="146"/>
      <c r="H7" s="146"/>
      <c r="I7" s="146"/>
      <c r="J7" s="146"/>
      <c r="K7" s="146"/>
      <c r="L7" s="146"/>
      <c r="M7" s="146"/>
      <c r="N7" s="146"/>
    </row>
    <row r="8" spans="1:14" ht="24.6">
      <c r="A8" s="76"/>
      <c r="B8" s="146" t="s">
        <v>293</v>
      </c>
      <c r="C8" s="146"/>
      <c r="D8" s="146"/>
      <c r="E8" s="146"/>
      <c r="F8" s="146"/>
      <c r="G8" s="146"/>
      <c r="H8" s="146"/>
      <c r="I8" s="146"/>
      <c r="J8" s="146"/>
      <c r="K8" s="146"/>
      <c r="L8" s="146"/>
      <c r="M8" s="146"/>
      <c r="N8" s="146"/>
    </row>
    <row r="9" spans="1:14" ht="24.6">
      <c r="A9" s="76"/>
      <c r="B9" s="146"/>
      <c r="C9" s="146"/>
      <c r="D9" s="146"/>
      <c r="E9" s="146"/>
      <c r="F9" s="146"/>
      <c r="G9" s="146"/>
      <c r="H9" s="146"/>
      <c r="I9" s="146"/>
      <c r="J9" s="146"/>
      <c r="K9" s="146"/>
      <c r="L9" s="146"/>
      <c r="M9" s="146"/>
      <c r="N9" s="146"/>
    </row>
    <row r="10" spans="1:14">
      <c r="A10" s="144"/>
      <c r="B10" s="144"/>
      <c r="C10" s="144"/>
      <c r="D10" s="144"/>
      <c r="E10" s="144"/>
      <c r="F10" s="144"/>
      <c r="G10" s="144"/>
      <c r="H10" s="144"/>
      <c r="I10" s="144"/>
      <c r="J10" s="144"/>
      <c r="K10" s="144"/>
      <c r="L10" s="144"/>
      <c r="M10" s="144"/>
      <c r="N10" s="144"/>
    </row>
    <row r="11" spans="1:14" ht="24.6">
      <c r="A11" s="76" t="s">
        <v>294</v>
      </c>
      <c r="B11" s="76"/>
      <c r="C11" s="76"/>
      <c r="D11" s="76"/>
      <c r="E11" s="76"/>
      <c r="F11" s="76"/>
      <c r="G11" s="76"/>
      <c r="H11" s="76"/>
      <c r="I11" s="76"/>
      <c r="J11" s="76"/>
      <c r="K11" s="76"/>
      <c r="L11" s="76"/>
      <c r="M11" s="76"/>
      <c r="N11" s="76"/>
    </row>
    <row r="12" spans="1:14" ht="80.25" customHeight="1">
      <c r="A12" s="76"/>
      <c r="B12" s="143" t="s">
        <v>295</v>
      </c>
      <c r="C12" s="143"/>
      <c r="D12" s="143"/>
      <c r="E12" s="143"/>
      <c r="F12" s="143"/>
      <c r="G12" s="143"/>
      <c r="H12" s="143"/>
      <c r="I12" s="143"/>
      <c r="J12" s="143"/>
      <c r="K12" s="143"/>
      <c r="L12" s="143"/>
      <c r="M12" s="143"/>
      <c r="N12" s="143"/>
    </row>
    <row r="13" spans="1:14" ht="54" customHeight="1">
      <c r="A13" s="76"/>
      <c r="B13" s="143" t="s">
        <v>296</v>
      </c>
      <c r="C13" s="143"/>
      <c r="D13" s="143"/>
      <c r="E13" s="143"/>
      <c r="F13" s="143"/>
      <c r="G13" s="143"/>
      <c r="H13" s="143"/>
      <c r="I13" s="143"/>
      <c r="J13" s="143"/>
      <c r="K13" s="143"/>
      <c r="L13" s="143"/>
      <c r="M13" s="143"/>
      <c r="N13" s="143"/>
    </row>
    <row r="14" spans="1:14">
      <c r="A14" s="144"/>
      <c r="B14" s="144"/>
      <c r="C14" s="144"/>
      <c r="D14" s="144"/>
      <c r="E14" s="144"/>
      <c r="F14" s="144"/>
      <c r="G14" s="144"/>
      <c r="H14" s="144"/>
      <c r="I14" s="144"/>
      <c r="J14" s="144"/>
      <c r="K14" s="144"/>
      <c r="L14" s="144"/>
      <c r="M14" s="144"/>
      <c r="N14" s="144"/>
    </row>
    <row r="15" spans="1:14" ht="48" customHeight="1">
      <c r="A15" s="143" t="s">
        <v>297</v>
      </c>
      <c r="B15" s="143"/>
      <c r="C15" s="143"/>
      <c r="D15" s="143"/>
      <c r="E15" s="143"/>
      <c r="F15" s="143"/>
      <c r="G15" s="143"/>
      <c r="H15" s="143"/>
      <c r="I15" s="143"/>
      <c r="J15" s="143"/>
      <c r="K15" s="143"/>
      <c r="L15" s="143"/>
      <c r="M15" s="143"/>
      <c r="N15" s="143"/>
    </row>
    <row r="16" spans="1:14">
      <c r="A16" s="144"/>
      <c r="B16" s="144"/>
      <c r="C16" s="144"/>
      <c r="D16" s="144"/>
      <c r="E16" s="144"/>
      <c r="F16" s="144"/>
      <c r="G16" s="144"/>
      <c r="H16" s="144"/>
      <c r="I16" s="144"/>
      <c r="J16" s="144"/>
      <c r="K16" s="144"/>
      <c r="L16" s="144"/>
      <c r="M16" s="144"/>
      <c r="N16" s="144"/>
    </row>
    <row r="17" spans="1:14" ht="49.5" customHeight="1">
      <c r="A17" s="143" t="s">
        <v>298</v>
      </c>
      <c r="B17" s="143"/>
      <c r="C17" s="143"/>
      <c r="D17" s="143"/>
      <c r="E17" s="143"/>
      <c r="F17" s="143"/>
      <c r="G17" s="143"/>
      <c r="H17" s="143"/>
      <c r="I17" s="143"/>
      <c r="J17" s="143"/>
      <c r="K17" s="143"/>
      <c r="L17" s="143"/>
      <c r="M17" s="143"/>
      <c r="N17" s="143"/>
    </row>
    <row r="18" spans="1:14">
      <c r="A18" s="144"/>
      <c r="B18" s="144"/>
      <c r="C18" s="144"/>
      <c r="D18" s="144"/>
      <c r="E18" s="144"/>
      <c r="F18" s="144"/>
      <c r="G18" s="144"/>
      <c r="H18" s="144"/>
      <c r="I18" s="144"/>
      <c r="J18" s="144"/>
      <c r="K18" s="144"/>
      <c r="L18" s="144"/>
      <c r="M18" s="144"/>
      <c r="N18" s="144"/>
    </row>
  </sheetData>
  <sheetProtection password="E59D" sheet="1" objects="1" scenarios="1" selectLockedCells="1" selectUnlockedCells="1"/>
  <mergeCells count="16">
    <mergeCell ref="A5:N5"/>
    <mergeCell ref="B7:N7"/>
    <mergeCell ref="B8:N8"/>
    <mergeCell ref="B9:N9"/>
    <mergeCell ref="A1:N1"/>
    <mergeCell ref="A2:N2"/>
    <mergeCell ref="A3:N3"/>
    <mergeCell ref="A4:N4"/>
    <mergeCell ref="A15:N15"/>
    <mergeCell ref="A16:N16"/>
    <mergeCell ref="A17:N17"/>
    <mergeCell ref="A18:N18"/>
    <mergeCell ref="A10:N10"/>
    <mergeCell ref="B12:N12"/>
    <mergeCell ref="B13:N13"/>
    <mergeCell ref="A14:N14"/>
  </mergeCells>
  <phoneticPr fontId="6"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heet1"/>
  <dimension ref="A1:I334"/>
  <sheetViews>
    <sheetView tabSelected="1" topLeftCell="A295" zoomScale="80" zoomScaleNormal="80" workbookViewId="0">
      <selection activeCell="C266" sqref="C266"/>
    </sheetView>
  </sheetViews>
  <sheetFormatPr defaultColWidth="9.109375" defaultRowHeight="13.2"/>
  <cols>
    <col min="1" max="1" width="75.109375" style="6" customWidth="1"/>
    <col min="2" max="2" width="21.6640625" style="6" customWidth="1"/>
    <col min="3" max="3" width="17.88671875" style="6" customWidth="1"/>
    <col min="4" max="4" width="10.109375" style="6" customWidth="1"/>
    <col min="5" max="5" width="14.109375" style="6" customWidth="1"/>
    <col min="6" max="16384" width="9.109375" style="6"/>
  </cols>
  <sheetData>
    <row r="1" spans="1:5" ht="69" customHeight="1">
      <c r="A1" s="177" t="s">
        <v>372</v>
      </c>
      <c r="B1" s="178"/>
      <c r="C1" s="178"/>
      <c r="D1" s="178"/>
    </row>
    <row r="2" spans="1:5" ht="13.8" thickBot="1">
      <c r="A2" s="185" t="s">
        <v>494</v>
      </c>
      <c r="B2" s="185"/>
      <c r="C2" s="185"/>
      <c r="D2" s="185"/>
    </row>
    <row r="3" spans="1:5">
      <c r="A3" s="188" t="s">
        <v>378</v>
      </c>
      <c r="B3" s="189"/>
      <c r="C3" s="189"/>
      <c r="D3" s="190"/>
    </row>
    <row r="4" spans="1:5">
      <c r="A4" s="171" t="s">
        <v>379</v>
      </c>
      <c r="B4" s="172"/>
      <c r="C4" s="172"/>
      <c r="D4" s="173"/>
    </row>
    <row r="5" spans="1:5">
      <c r="A5" s="171"/>
      <c r="B5" s="172"/>
      <c r="C5" s="172"/>
      <c r="D5" s="173"/>
    </row>
    <row r="6" spans="1:5" ht="13.8" thickBot="1">
      <c r="A6" s="174"/>
      <c r="B6" s="175"/>
      <c r="C6" s="175"/>
      <c r="D6" s="176"/>
    </row>
    <row r="7" spans="1:5" s="103" customFormat="1" ht="45.6">
      <c r="A7" s="104" t="s">
        <v>375</v>
      </c>
      <c r="B7" s="102" t="s">
        <v>27</v>
      </c>
      <c r="C7" s="186" t="s">
        <v>28</v>
      </c>
      <c r="D7" s="186"/>
    </row>
    <row r="8" spans="1:5" ht="15.6">
      <c r="A8" s="187" t="s">
        <v>376</v>
      </c>
      <c r="B8" s="187"/>
      <c r="C8" s="187"/>
      <c r="D8" s="187"/>
    </row>
    <row r="9" spans="1:5">
      <c r="A9" s="184"/>
      <c r="B9" s="184"/>
      <c r="C9" s="184"/>
      <c r="D9" s="184"/>
    </row>
    <row r="10" spans="1:5" ht="17.399999999999999">
      <c r="A10" s="182" t="s">
        <v>377</v>
      </c>
      <c r="B10" s="183"/>
      <c r="C10" s="183"/>
      <c r="D10" s="183"/>
    </row>
    <row r="11" spans="1:5" ht="13.8" thickBot="1">
      <c r="A11" s="159"/>
      <c r="B11" s="159"/>
      <c r="C11" s="159"/>
      <c r="D11" s="159"/>
    </row>
    <row r="12" spans="1:5" ht="15.6">
      <c r="A12" s="155" t="s">
        <v>23</v>
      </c>
      <c r="B12" s="156"/>
      <c r="C12" s="156"/>
      <c r="D12" s="157"/>
    </row>
    <row r="13" spans="1:5" ht="15.6">
      <c r="A13" s="7" t="s">
        <v>39</v>
      </c>
      <c r="B13" s="8" t="s">
        <v>15</v>
      </c>
      <c r="C13" s="1">
        <v>500</v>
      </c>
      <c r="D13" s="9" t="s">
        <v>14</v>
      </c>
    </row>
    <row r="14" spans="1:5" ht="15.6">
      <c r="A14" s="7" t="s">
        <v>364</v>
      </c>
      <c r="B14" s="8" t="s">
        <v>147</v>
      </c>
      <c r="C14" s="1">
        <v>390</v>
      </c>
      <c r="D14" s="9" t="s">
        <v>13</v>
      </c>
      <c r="E14" s="101" t="str">
        <f>IF(Vout&lt;=Vin_rect_max,"Output Voltage Must be Greater Than Maximum Rectified Input Voltage"," ")</f>
        <v xml:space="preserve"> </v>
      </c>
    </row>
    <row r="15" spans="1:5" ht="15.6">
      <c r="A15" s="7" t="s">
        <v>282</v>
      </c>
      <c r="B15" s="8" t="s">
        <v>16</v>
      </c>
      <c r="C15" s="1">
        <v>0.99</v>
      </c>
      <c r="D15" s="9"/>
      <c r="E15" s="6" t="str">
        <f>IF(PF&gt;=1,"ENTER VALUE LESS THAN 1"," ")</f>
        <v xml:space="preserve"> </v>
      </c>
    </row>
    <row r="16" spans="1:5">
      <c r="A16" s="7" t="s">
        <v>12</v>
      </c>
      <c r="B16" s="10" t="s">
        <v>11</v>
      </c>
      <c r="C16" s="1">
        <v>0.94</v>
      </c>
      <c r="D16" s="9"/>
      <c r="E16" s="6" t="str">
        <f>IF(eff&gt;=1,"ENTER VALUE LESS THAN 1"," ")</f>
        <v xml:space="preserve"> </v>
      </c>
    </row>
    <row r="17" spans="1:5" ht="15.6">
      <c r="A17" s="11" t="s">
        <v>47</v>
      </c>
      <c r="B17" s="12" t="s">
        <v>50</v>
      </c>
      <c r="C17" s="1">
        <v>50</v>
      </c>
      <c r="D17" s="13" t="s">
        <v>46</v>
      </c>
    </row>
    <row r="18" spans="1:5" ht="16.2" thickBot="1">
      <c r="A18" s="14" t="s">
        <v>51</v>
      </c>
      <c r="B18" s="15" t="s">
        <v>203</v>
      </c>
      <c r="C18" s="16">
        <f>Pout/Vout</f>
        <v>1.2820512820512822</v>
      </c>
      <c r="D18" s="17" t="s">
        <v>20</v>
      </c>
    </row>
    <row r="19" spans="1:5">
      <c r="A19" s="158"/>
      <c r="B19" s="158"/>
      <c r="C19" s="158"/>
      <c r="D19" s="158"/>
    </row>
    <row r="20" spans="1:5" ht="13.8" thickBot="1">
      <c r="A20" s="159"/>
      <c r="B20" s="159"/>
      <c r="C20" s="159"/>
      <c r="D20" s="159"/>
    </row>
    <row r="21" spans="1:5" ht="15.6">
      <c r="A21" s="155" t="s">
        <v>24</v>
      </c>
      <c r="B21" s="156"/>
      <c r="C21" s="156"/>
      <c r="D21" s="157"/>
    </row>
    <row r="22" spans="1:5" ht="15.6">
      <c r="A22" s="7" t="s">
        <v>0</v>
      </c>
      <c r="B22" s="8" t="s">
        <v>204</v>
      </c>
      <c r="C22" s="1">
        <v>200</v>
      </c>
      <c r="D22" s="9" t="s">
        <v>154</v>
      </c>
    </row>
    <row r="23" spans="1:5" ht="15.6">
      <c r="A23" s="7" t="s">
        <v>1</v>
      </c>
      <c r="B23" s="8" t="s">
        <v>205</v>
      </c>
      <c r="C23" s="1">
        <v>250</v>
      </c>
      <c r="D23" s="9" t="s">
        <v>154</v>
      </c>
    </row>
    <row r="24" spans="1:5" ht="15.6">
      <c r="A24" s="7" t="s">
        <v>25</v>
      </c>
      <c r="B24" s="8" t="s">
        <v>206</v>
      </c>
      <c r="C24" s="1">
        <v>235</v>
      </c>
      <c r="D24" s="9" t="s">
        <v>154</v>
      </c>
      <c r="E24" s="100" t="s">
        <v>374</v>
      </c>
    </row>
    <row r="25" spans="1:5" ht="15.6">
      <c r="A25" s="7" t="s">
        <v>4</v>
      </c>
      <c r="B25" s="8" t="s">
        <v>8</v>
      </c>
      <c r="C25" s="1">
        <v>47</v>
      </c>
      <c r="D25" s="9" t="s">
        <v>5</v>
      </c>
    </row>
    <row r="26" spans="1:5" ht="15.6">
      <c r="A26" s="7" t="s">
        <v>6</v>
      </c>
      <c r="B26" s="8" t="s">
        <v>9</v>
      </c>
      <c r="C26" s="1">
        <v>53</v>
      </c>
      <c r="D26" s="9" t="s">
        <v>5</v>
      </c>
    </row>
    <row r="27" spans="1:5" ht="15.6">
      <c r="A27" s="7" t="s">
        <v>26</v>
      </c>
      <c r="B27" s="8" t="s">
        <v>10</v>
      </c>
      <c r="C27" s="1">
        <v>50</v>
      </c>
      <c r="D27" s="9" t="s">
        <v>7</v>
      </c>
    </row>
    <row r="28" spans="1:5" ht="15.6">
      <c r="A28" s="7" t="s">
        <v>3</v>
      </c>
      <c r="B28" s="8" t="s">
        <v>53</v>
      </c>
      <c r="C28" s="18">
        <f>SQRT(2)*Vin_min</f>
        <v>282.84271247461902</v>
      </c>
      <c r="D28" s="9" t="s">
        <v>13</v>
      </c>
    </row>
    <row r="29" spans="1:5" ht="15.6">
      <c r="A29" s="7" t="s">
        <v>2</v>
      </c>
      <c r="B29" s="8" t="s">
        <v>54</v>
      </c>
      <c r="C29" s="18">
        <f>SQRT(2)*Vin_max</f>
        <v>353.55339059327378</v>
      </c>
      <c r="D29" s="9" t="s">
        <v>13</v>
      </c>
    </row>
    <row r="30" spans="1:5" ht="15.6">
      <c r="A30" s="7" t="s">
        <v>17</v>
      </c>
      <c r="B30" s="8" t="s">
        <v>18</v>
      </c>
      <c r="C30" s="18">
        <f>Pout/eff</f>
        <v>531.91489361702133</v>
      </c>
      <c r="D30" s="9" t="s">
        <v>14</v>
      </c>
    </row>
    <row r="31" spans="1:5" ht="15.6">
      <c r="A31" s="7" t="s">
        <v>19</v>
      </c>
      <c r="B31" s="8" t="s">
        <v>55</v>
      </c>
      <c r="C31" s="18">
        <f>Pout/(eff*Vin_min*PF)</f>
        <v>2.6864388566516224</v>
      </c>
      <c r="D31" s="9" t="s">
        <v>20</v>
      </c>
    </row>
    <row r="32" spans="1:5" ht="15.6">
      <c r="A32" s="7" t="s">
        <v>21</v>
      </c>
      <c r="B32" s="8" t="s">
        <v>56</v>
      </c>
      <c r="C32" s="18">
        <f>SQRT(2)*Iin_rms_max</f>
        <v>3.7991982655627958</v>
      </c>
      <c r="D32" s="9" t="s">
        <v>20</v>
      </c>
    </row>
    <row r="33" spans="1:5" ht="15.6">
      <c r="A33" s="7" t="s">
        <v>22</v>
      </c>
      <c r="B33" s="8" t="s">
        <v>57</v>
      </c>
      <c r="C33" s="18">
        <f>(2*Iin_peak_max)/PI()</f>
        <v>2.4186447350018971</v>
      </c>
      <c r="D33" s="9" t="s">
        <v>20</v>
      </c>
    </row>
    <row r="34" spans="1:5" ht="16.2" thickBot="1">
      <c r="A34" s="19" t="s">
        <v>224</v>
      </c>
      <c r="B34" s="20" t="s">
        <v>58</v>
      </c>
      <c r="C34" s="16">
        <f>1.5*Iin_rms_max</f>
        <v>4.0296582849774332</v>
      </c>
      <c r="D34" s="21" t="s">
        <v>20</v>
      </c>
    </row>
    <row r="35" spans="1:5">
      <c r="A35" s="158"/>
      <c r="B35" s="158"/>
      <c r="C35" s="158"/>
      <c r="D35" s="158"/>
    </row>
    <row r="36" spans="1:5" ht="13.8" thickBot="1">
      <c r="A36" s="159"/>
      <c r="B36" s="159"/>
      <c r="C36" s="159"/>
      <c r="D36" s="159"/>
    </row>
    <row r="37" spans="1:5" ht="15.6">
      <c r="A37" s="155" t="s">
        <v>102</v>
      </c>
      <c r="B37" s="156"/>
      <c r="C37" s="156"/>
      <c r="D37" s="157"/>
    </row>
    <row r="38" spans="1:5" ht="15.6">
      <c r="A38" s="11" t="s">
        <v>117</v>
      </c>
      <c r="B38" s="12" t="s">
        <v>59</v>
      </c>
      <c r="C38" s="1">
        <v>0.95</v>
      </c>
      <c r="D38" s="23" t="s">
        <v>13</v>
      </c>
    </row>
    <row r="39" spans="1:5" ht="15.6">
      <c r="A39" s="11" t="s">
        <v>48</v>
      </c>
      <c r="B39" s="12" t="s">
        <v>60</v>
      </c>
      <c r="C39" s="1">
        <v>2.2000000000000002</v>
      </c>
      <c r="D39" s="13" t="s">
        <v>44</v>
      </c>
    </row>
    <row r="40" spans="1:5" ht="15.6">
      <c r="A40" s="11" t="s">
        <v>49</v>
      </c>
      <c r="B40" s="12" t="s">
        <v>45</v>
      </c>
      <c r="C40" s="1">
        <v>125</v>
      </c>
      <c r="D40" s="13" t="s">
        <v>46</v>
      </c>
    </row>
    <row r="41" spans="1:5" ht="15.6">
      <c r="A41" s="11" t="s">
        <v>109</v>
      </c>
      <c r="B41" s="12" t="s">
        <v>36</v>
      </c>
      <c r="C41" s="18">
        <f>1.5*Iin_avg_max</f>
        <v>3.6279671025028457</v>
      </c>
      <c r="D41" s="23" t="s">
        <v>20</v>
      </c>
    </row>
    <row r="42" spans="1:5" ht="15.6">
      <c r="A42" s="11" t="s">
        <v>108</v>
      </c>
      <c r="B42" s="12" t="s">
        <v>110</v>
      </c>
      <c r="C42" s="18">
        <f>Vin_rect_max*1.1</f>
        <v>388.90872965260121</v>
      </c>
      <c r="D42" s="23" t="s">
        <v>13</v>
      </c>
    </row>
    <row r="43" spans="1:5" ht="15.6">
      <c r="A43" s="11" t="s">
        <v>37</v>
      </c>
      <c r="B43" s="12" t="s">
        <v>38</v>
      </c>
      <c r="C43" s="18">
        <f>2*Vf_bridge*Iin_avg_max</f>
        <v>4.5954249965036045</v>
      </c>
      <c r="D43" s="23" t="s">
        <v>14</v>
      </c>
    </row>
    <row r="44" spans="1:5" ht="16.2" thickBot="1">
      <c r="A44" s="19" t="s">
        <v>61</v>
      </c>
      <c r="B44" s="20" t="s">
        <v>62</v>
      </c>
      <c r="C44" s="24">
        <f>((Tj_bridge-Tamb)/Pbridge)-Rjc_bridge-1</f>
        <v>13.120579719408585</v>
      </c>
      <c r="D44" s="25" t="s">
        <v>44</v>
      </c>
    </row>
    <row r="45" spans="1:5">
      <c r="A45" s="158"/>
      <c r="B45" s="158"/>
      <c r="C45" s="158"/>
      <c r="D45" s="158"/>
    </row>
    <row r="46" spans="1:5" ht="13.8" thickBot="1">
      <c r="A46" s="159"/>
      <c r="B46" s="159"/>
      <c r="C46" s="159"/>
      <c r="D46" s="159"/>
    </row>
    <row r="47" spans="1:5" ht="15.6">
      <c r="A47" s="168" t="s">
        <v>29</v>
      </c>
      <c r="B47" s="169"/>
      <c r="C47" s="169"/>
      <c r="D47" s="170"/>
    </row>
    <row r="48" spans="1:5" ht="15.6">
      <c r="A48" s="7" t="s">
        <v>201</v>
      </c>
      <c r="B48" s="8" t="s">
        <v>299</v>
      </c>
      <c r="C48" s="1">
        <v>0.4</v>
      </c>
      <c r="D48" s="9"/>
      <c r="E48" s="6" t="str">
        <f>IF(L_I_ripple_factor&gt;=1,"INDUCTOR CURRENT MUST REMAIN CONTINUOUS, ENTER A SMALLER RIPPLE FACTOR"," ")</f>
        <v xml:space="preserve"> </v>
      </c>
    </row>
    <row r="49" spans="1:4" ht="15.6">
      <c r="A49" s="7" t="s">
        <v>202</v>
      </c>
      <c r="B49" s="8" t="s">
        <v>300</v>
      </c>
      <c r="C49" s="1">
        <v>0.06</v>
      </c>
      <c r="D49" s="9"/>
    </row>
    <row r="50" spans="1:4" ht="15.6">
      <c r="A50" s="7" t="s">
        <v>283</v>
      </c>
      <c r="B50" s="26" t="s">
        <v>52</v>
      </c>
      <c r="C50" s="18">
        <f>L_I_ripple_factor*Iin_peak_max</f>
        <v>1.5196793062251184</v>
      </c>
      <c r="D50" s="9" t="s">
        <v>20</v>
      </c>
    </row>
    <row r="51" spans="1:4" ht="15.6">
      <c r="A51" s="7" t="s">
        <v>30</v>
      </c>
      <c r="B51" s="8" t="s">
        <v>43</v>
      </c>
      <c r="C51" s="18">
        <f>V_ripplefactor*Vin_rect_min</f>
        <v>16.970562748477139</v>
      </c>
      <c r="D51" s="9" t="s">
        <v>13</v>
      </c>
    </row>
    <row r="52" spans="1:4" ht="15.75" customHeight="1" thickBot="1">
      <c r="A52" s="27" t="s">
        <v>31</v>
      </c>
      <c r="B52" s="28" t="s">
        <v>225</v>
      </c>
      <c r="C52" s="29">
        <f>((L_I_ripple_factor*Iin_peak_max)/(8*fsw*Vin_ripple))/uF</f>
        <v>0.17220761901612969</v>
      </c>
      <c r="D52" s="30" t="s">
        <v>244</v>
      </c>
    </row>
    <row r="53" spans="1:4">
      <c r="A53" s="158"/>
      <c r="B53" s="158"/>
      <c r="C53" s="158"/>
      <c r="D53" s="158"/>
    </row>
    <row r="54" spans="1:4" ht="13.8" thickBot="1">
      <c r="A54" s="159"/>
      <c r="B54" s="159"/>
      <c r="C54" s="159"/>
      <c r="D54" s="159"/>
    </row>
    <row r="55" spans="1:4" ht="15.6">
      <c r="A55" s="168" t="s">
        <v>33</v>
      </c>
      <c r="B55" s="169"/>
      <c r="C55" s="169"/>
      <c r="D55" s="170"/>
    </row>
    <row r="56" spans="1:4" ht="15.6">
      <c r="A56" s="7" t="s">
        <v>34</v>
      </c>
      <c r="B56" s="8" t="s">
        <v>64</v>
      </c>
      <c r="C56" s="18">
        <f>(Vout-Vin_rect_min)/Vout</f>
        <v>0.27476227570610506</v>
      </c>
      <c r="D56" s="9"/>
    </row>
    <row r="57" spans="1:4" ht="15.6">
      <c r="A57" s="7" t="s">
        <v>35</v>
      </c>
      <c r="B57" s="8" t="s">
        <v>63</v>
      </c>
      <c r="C57" s="18">
        <f>Iin_peak_max+(Iripple/2)</f>
        <v>4.5590379186753553</v>
      </c>
      <c r="D57" s="9" t="s">
        <v>20</v>
      </c>
    </row>
    <row r="58" spans="1:4" ht="15.6">
      <c r="A58" s="31" t="s">
        <v>231</v>
      </c>
      <c r="B58" s="32" t="s">
        <v>226</v>
      </c>
      <c r="C58" s="33">
        <f>((Vout*0.5*(1-0.5))/(fsw*Iripple))/mH</f>
        <v>0.98705035585830148</v>
      </c>
      <c r="D58" s="34" t="s">
        <v>40</v>
      </c>
    </row>
    <row r="59" spans="1:4" ht="15.6">
      <c r="A59" s="7" t="s">
        <v>41</v>
      </c>
      <c r="B59" s="8" t="s">
        <v>42</v>
      </c>
      <c r="C59" s="1">
        <v>1.3</v>
      </c>
      <c r="D59" s="9" t="s">
        <v>40</v>
      </c>
    </row>
    <row r="60" spans="1:4" ht="15.6">
      <c r="A60" s="7" t="s">
        <v>284</v>
      </c>
      <c r="B60" s="26" t="s">
        <v>285</v>
      </c>
      <c r="C60" s="63">
        <f>(Vout*0.5*(1-0.5))/((fsw)*(Lbst*mH))</f>
        <v>1.1538461538461537</v>
      </c>
      <c r="D60" s="9" t="s">
        <v>20</v>
      </c>
    </row>
    <row r="61" spans="1:4" ht="16.2" thickBot="1">
      <c r="A61" s="14" t="s">
        <v>286</v>
      </c>
      <c r="B61" s="15" t="s">
        <v>287</v>
      </c>
      <c r="C61" s="24">
        <f>Iin_peak_max+Iripple_actual/2</f>
        <v>4.3761213424858729</v>
      </c>
      <c r="D61" s="17" t="s">
        <v>20</v>
      </c>
    </row>
    <row r="62" spans="1:4">
      <c r="A62" s="158"/>
      <c r="B62" s="158"/>
      <c r="C62" s="158"/>
      <c r="D62" s="158"/>
    </row>
    <row r="63" spans="1:4" ht="13.8" thickBot="1">
      <c r="A63" s="159"/>
      <c r="B63" s="159"/>
      <c r="C63" s="159"/>
      <c r="D63" s="159"/>
    </row>
    <row r="64" spans="1:4" ht="15.6">
      <c r="A64" s="155" t="s">
        <v>79</v>
      </c>
      <c r="B64" s="156"/>
      <c r="C64" s="156"/>
      <c r="D64" s="157"/>
    </row>
    <row r="65" spans="1:4" ht="15.6">
      <c r="A65" s="7" t="s">
        <v>81</v>
      </c>
      <c r="B65" s="8" t="s">
        <v>82</v>
      </c>
      <c r="C65" s="1">
        <v>1.5</v>
      </c>
      <c r="D65" s="9" t="s">
        <v>13</v>
      </c>
    </row>
    <row r="66" spans="1:4" ht="15.6">
      <c r="A66" s="7" t="s">
        <v>83</v>
      </c>
      <c r="B66" s="8" t="s">
        <v>84</v>
      </c>
      <c r="C66" s="1">
        <v>0</v>
      </c>
      <c r="D66" s="9" t="s">
        <v>68</v>
      </c>
    </row>
    <row r="67" spans="1:4" ht="15.6">
      <c r="A67" s="11" t="s">
        <v>91</v>
      </c>
      <c r="B67" s="12" t="s">
        <v>45</v>
      </c>
      <c r="C67" s="1">
        <v>125</v>
      </c>
      <c r="D67" s="13" t="s">
        <v>46</v>
      </c>
    </row>
    <row r="68" spans="1:4" ht="15.6">
      <c r="A68" s="11" t="s">
        <v>92</v>
      </c>
      <c r="B68" s="12" t="s">
        <v>93</v>
      </c>
      <c r="C68" s="1">
        <v>2.4</v>
      </c>
      <c r="D68" s="13" t="s">
        <v>44</v>
      </c>
    </row>
    <row r="69" spans="1:4" ht="15.6">
      <c r="A69" s="11" t="s">
        <v>95</v>
      </c>
      <c r="B69" s="12" t="s">
        <v>96</v>
      </c>
      <c r="C69" s="1">
        <v>1</v>
      </c>
      <c r="D69" s="13" t="s">
        <v>44</v>
      </c>
    </row>
    <row r="70" spans="1:4" ht="15.6">
      <c r="A70" s="7" t="s">
        <v>88</v>
      </c>
      <c r="B70" s="8" t="s">
        <v>85</v>
      </c>
      <c r="C70" s="18">
        <f>Vf*Iout</f>
        <v>1.9230769230769234</v>
      </c>
      <c r="D70" s="9" t="s">
        <v>14</v>
      </c>
    </row>
    <row r="71" spans="1:4" ht="15.6">
      <c r="A71" s="7" t="s">
        <v>86</v>
      </c>
      <c r="B71" s="8" t="s">
        <v>87</v>
      </c>
      <c r="C71" s="18">
        <f>(fsw)*Vout*(Qrr*nC)</f>
        <v>0</v>
      </c>
      <c r="D71" s="9" t="s">
        <v>14</v>
      </c>
    </row>
    <row r="72" spans="1:4" ht="15.6">
      <c r="A72" s="7" t="s">
        <v>89</v>
      </c>
      <c r="B72" s="8" t="s">
        <v>90</v>
      </c>
      <c r="C72" s="18">
        <f>Pdiode_cond+(Pdiode_reverse/2)</f>
        <v>1.9230769230769234</v>
      </c>
      <c r="D72" s="9" t="s">
        <v>14</v>
      </c>
    </row>
    <row r="73" spans="1:4" ht="16.2" thickBot="1">
      <c r="A73" s="19" t="s">
        <v>61</v>
      </c>
      <c r="B73" s="20" t="s">
        <v>94</v>
      </c>
      <c r="C73" s="24">
        <f>((Tj_diode-Tamb)/Pdiode)-Rth_diode-Rth_case_hs</f>
        <v>35.599999999999994</v>
      </c>
      <c r="D73" s="25" t="s">
        <v>44</v>
      </c>
    </row>
    <row r="74" spans="1:4">
      <c r="A74" s="158"/>
      <c r="B74" s="158"/>
      <c r="C74" s="158"/>
      <c r="D74" s="158"/>
    </row>
    <row r="75" spans="1:4" ht="13.8" thickBot="1">
      <c r="A75" s="159"/>
      <c r="B75" s="159"/>
      <c r="C75" s="159"/>
      <c r="D75" s="159"/>
    </row>
    <row r="76" spans="1:4" ht="15.6">
      <c r="A76" s="155" t="s">
        <v>80</v>
      </c>
      <c r="B76" s="156"/>
      <c r="C76" s="156"/>
      <c r="D76" s="157"/>
    </row>
    <row r="77" spans="1:4">
      <c r="A77" s="7" t="s">
        <v>367</v>
      </c>
      <c r="B77" s="8" t="s">
        <v>65</v>
      </c>
      <c r="C77" s="1">
        <v>12</v>
      </c>
      <c r="D77" s="9" t="s">
        <v>13</v>
      </c>
    </row>
    <row r="78" spans="1:4" ht="15.6">
      <c r="A78" s="7" t="s">
        <v>70</v>
      </c>
      <c r="B78" s="8" t="s">
        <v>66</v>
      </c>
      <c r="C78" s="35">
        <f>IF(VCC&gt;=13.75,12.5,VCC-1.25)</f>
        <v>10.75</v>
      </c>
      <c r="D78" s="9" t="s">
        <v>13</v>
      </c>
    </row>
    <row r="79" spans="1:4" ht="15.6">
      <c r="A79" s="7" t="s">
        <v>73</v>
      </c>
      <c r="B79" s="8" t="s">
        <v>74</v>
      </c>
      <c r="C79" s="18">
        <f>(Pout/Vin_rect_min)*SQRT((2-(16*Vin_rect_min/(3*PI()*Vout))))</f>
        <v>1.5499981856108678</v>
      </c>
      <c r="D79" s="9" t="s">
        <v>20</v>
      </c>
    </row>
    <row r="80" spans="1:4" ht="15.6">
      <c r="A80" s="7" t="s">
        <v>160</v>
      </c>
      <c r="B80" s="8" t="s">
        <v>72</v>
      </c>
      <c r="C80" s="1">
        <v>0.35</v>
      </c>
      <c r="D80" s="13" t="s">
        <v>14</v>
      </c>
    </row>
    <row r="81" spans="1:9" ht="15.6">
      <c r="A81" s="7" t="s">
        <v>71</v>
      </c>
      <c r="B81" s="8" t="s">
        <v>67</v>
      </c>
      <c r="C81" s="1">
        <v>87</v>
      </c>
      <c r="D81" s="9" t="s">
        <v>68</v>
      </c>
    </row>
    <row r="82" spans="1:9" ht="15.6">
      <c r="A82" s="7" t="s">
        <v>161</v>
      </c>
      <c r="B82" s="8" t="s">
        <v>162</v>
      </c>
      <c r="C82" s="1">
        <v>4.5</v>
      </c>
      <c r="D82" s="9" t="s">
        <v>163</v>
      </c>
    </row>
    <row r="83" spans="1:9" ht="15.6">
      <c r="A83" s="7" t="s">
        <v>355</v>
      </c>
      <c r="B83" s="8" t="s">
        <v>356</v>
      </c>
      <c r="C83" s="1">
        <v>5</v>
      </c>
      <c r="D83" s="9" t="s">
        <v>163</v>
      </c>
    </row>
    <row r="84" spans="1:9" ht="15.6">
      <c r="A84" s="7" t="s">
        <v>77</v>
      </c>
      <c r="B84" s="8" t="s">
        <v>78</v>
      </c>
      <c r="C84" s="1">
        <v>780</v>
      </c>
      <c r="D84" s="9" t="s">
        <v>97</v>
      </c>
    </row>
    <row r="85" spans="1:9" ht="15.6">
      <c r="A85" s="11" t="s">
        <v>104</v>
      </c>
      <c r="B85" s="12" t="s">
        <v>45</v>
      </c>
      <c r="C85" s="1">
        <v>125</v>
      </c>
      <c r="D85" s="13" t="s">
        <v>46</v>
      </c>
    </row>
    <row r="86" spans="1:9" ht="15.6">
      <c r="A86" s="11" t="s">
        <v>105</v>
      </c>
      <c r="B86" s="12" t="s">
        <v>106</v>
      </c>
      <c r="C86" s="1">
        <v>0.6</v>
      </c>
      <c r="D86" s="13" t="s">
        <v>44</v>
      </c>
    </row>
    <row r="87" spans="1:9" ht="15.6">
      <c r="A87" s="7" t="s">
        <v>288</v>
      </c>
      <c r="B87" s="8" t="s">
        <v>69</v>
      </c>
      <c r="C87" s="18">
        <f>Vgs*Qg*(nC)*fsw</f>
        <v>6.0791250000000005E-2</v>
      </c>
      <c r="D87" s="9" t="s">
        <v>14</v>
      </c>
    </row>
    <row r="88" spans="1:9" ht="15.6">
      <c r="A88" s="7" t="s">
        <v>75</v>
      </c>
      <c r="B88" s="8" t="s">
        <v>76</v>
      </c>
      <c r="C88" s="18">
        <f>(Ids_rms^2)*(Rds_on)</f>
        <v>0.84087303138894376</v>
      </c>
      <c r="D88" s="9" t="s">
        <v>14</v>
      </c>
    </row>
    <row r="89" spans="1:9" ht="15.6">
      <c r="A89" s="7" t="s">
        <v>98</v>
      </c>
      <c r="B89" s="8" t="s">
        <v>99</v>
      </c>
      <c r="C89" s="18">
        <f>((fsw)/2)*(((tr_FET+tf_FET)*ns*Vout*Iin_peak_max)+(Coss*picoF*Vout^2))+(Pdiode_reverse/2)</f>
        <v>4.3132059611520805</v>
      </c>
      <c r="D89" s="9" t="s">
        <v>14</v>
      </c>
    </row>
    <row r="90" spans="1:9" ht="15.6">
      <c r="A90" s="7" t="s">
        <v>100</v>
      </c>
      <c r="B90" s="8" t="s">
        <v>101</v>
      </c>
      <c r="C90" s="18">
        <f>P_FETcond+P_FETsw</f>
        <v>5.1540789925410246</v>
      </c>
      <c r="D90" s="9" t="s">
        <v>14</v>
      </c>
    </row>
    <row r="91" spans="1:9" ht="16.2" thickBot="1">
      <c r="A91" s="19" t="s">
        <v>61</v>
      </c>
      <c r="B91" s="20" t="s">
        <v>103</v>
      </c>
      <c r="C91" s="24">
        <f>((Tj_FET-Tamb)/P_FET)-Rth_jc_FET-1</f>
        <v>12.95158139961376</v>
      </c>
      <c r="D91" s="25" t="s">
        <v>44</v>
      </c>
    </row>
    <row r="92" spans="1:9">
      <c r="A92" s="158"/>
      <c r="B92" s="158"/>
      <c r="C92" s="158"/>
      <c r="D92" s="158"/>
      <c r="F92" s="62"/>
      <c r="G92" s="62"/>
      <c r="H92" s="62"/>
      <c r="I92" s="62"/>
    </row>
    <row r="93" spans="1:9" ht="13.8" thickBot="1">
      <c r="A93" s="159"/>
      <c r="B93" s="159"/>
      <c r="C93" s="159"/>
      <c r="D93" s="159"/>
      <c r="F93" s="62"/>
      <c r="G93" s="64"/>
      <c r="H93" s="64"/>
      <c r="I93" s="62"/>
    </row>
    <row r="94" spans="1:9" ht="15.6">
      <c r="A94" s="155" t="s">
        <v>107</v>
      </c>
      <c r="B94" s="156"/>
      <c r="C94" s="156"/>
      <c r="D94" s="157"/>
      <c r="F94" s="62"/>
      <c r="G94" s="64"/>
      <c r="H94" s="64"/>
      <c r="I94" s="62"/>
    </row>
    <row r="95" spans="1:9" ht="15.6">
      <c r="A95" s="31" t="s">
        <v>230</v>
      </c>
      <c r="B95" s="32" t="s">
        <v>227</v>
      </c>
      <c r="C95" s="33">
        <f>Visense_soc/(I_Lpeak*1.25)</f>
        <v>0.11581390842070739</v>
      </c>
      <c r="D95" s="36" t="s">
        <v>14</v>
      </c>
      <c r="F95" s="62"/>
      <c r="G95" s="64"/>
      <c r="H95" s="64"/>
      <c r="I95" s="62"/>
    </row>
    <row r="96" spans="1:9" ht="15.6">
      <c r="A96" s="7" t="s">
        <v>159</v>
      </c>
      <c r="B96" s="8" t="s">
        <v>111</v>
      </c>
      <c r="C96" s="2">
        <v>0.1</v>
      </c>
      <c r="D96" s="13" t="s">
        <v>14</v>
      </c>
      <c r="F96" s="62"/>
      <c r="G96" s="64"/>
      <c r="H96" s="64"/>
      <c r="I96" s="62"/>
    </row>
    <row r="97" spans="1:9" ht="15.6">
      <c r="A97" s="7" t="s">
        <v>126</v>
      </c>
      <c r="B97" s="8" t="s">
        <v>112</v>
      </c>
      <c r="C97" s="18">
        <f>Visense_soc/Rsense</f>
        <v>6.6</v>
      </c>
      <c r="D97" s="9" t="s">
        <v>20</v>
      </c>
      <c r="F97" s="62"/>
      <c r="G97" s="64"/>
      <c r="H97" s="64"/>
      <c r="I97" s="62"/>
    </row>
    <row r="98" spans="1:9" ht="15.6">
      <c r="A98" s="7" t="s">
        <v>113</v>
      </c>
      <c r="B98" s="8" t="s">
        <v>114</v>
      </c>
      <c r="C98" s="18">
        <f>(Iin_rms_max^2)*Rsense</f>
        <v>0.72169537305276765</v>
      </c>
      <c r="D98" s="9" t="s">
        <v>14</v>
      </c>
      <c r="F98" s="62"/>
      <c r="G98" s="64"/>
      <c r="H98" s="64"/>
      <c r="I98" s="62"/>
    </row>
    <row r="99" spans="1:9" ht="15.6">
      <c r="A99" s="7" t="s">
        <v>122</v>
      </c>
      <c r="B99" s="8" t="s">
        <v>118</v>
      </c>
      <c r="C99" s="18">
        <f>(((Isoc-(Iripple_actual/2))*Vin_min*PF)/SQRT(2))/(eff*Vout)</f>
        <v>2.300255837728717</v>
      </c>
      <c r="D99" s="9" t="s">
        <v>20</v>
      </c>
      <c r="F99" s="62"/>
      <c r="G99" s="64"/>
      <c r="H99" s="64"/>
      <c r="I99" s="62"/>
    </row>
    <row r="100" spans="1:9" ht="15.6">
      <c r="A100" s="7" t="s">
        <v>115</v>
      </c>
      <c r="B100" s="8" t="s">
        <v>116</v>
      </c>
      <c r="C100" s="18">
        <f>Vpcl_max/Rsense</f>
        <v>11.499999999999998</v>
      </c>
      <c r="D100" s="9" t="s">
        <v>20</v>
      </c>
      <c r="F100" s="62"/>
      <c r="G100" s="64"/>
      <c r="H100" s="64"/>
      <c r="I100" s="62"/>
    </row>
    <row r="101" spans="1:9" ht="15.6">
      <c r="A101" s="7" t="s">
        <v>200</v>
      </c>
      <c r="B101" s="8" t="s">
        <v>121</v>
      </c>
      <c r="C101" s="1">
        <v>5</v>
      </c>
      <c r="D101" s="13" t="s">
        <v>14</v>
      </c>
      <c r="F101" s="62"/>
      <c r="G101" s="64"/>
      <c r="H101" s="64"/>
      <c r="I101" s="62"/>
    </row>
    <row r="102" spans="1:9" ht="15.6">
      <c r="A102" s="7" t="s">
        <v>119</v>
      </c>
      <c r="B102" s="8" t="s">
        <v>120</v>
      </c>
      <c r="C102" s="18">
        <f>Vin_rect_max/Rtherm</f>
        <v>70.710678118654755</v>
      </c>
      <c r="D102" s="9" t="s">
        <v>20</v>
      </c>
      <c r="F102" s="62"/>
      <c r="G102" s="64"/>
      <c r="H102" s="64"/>
      <c r="I102" s="62"/>
    </row>
    <row r="103" spans="1:9" ht="15.6">
      <c r="A103" s="31" t="s">
        <v>164</v>
      </c>
      <c r="B103" s="32" t="s">
        <v>228</v>
      </c>
      <c r="C103" s="33">
        <f>Iinrush*Rsense/IISENSE</f>
        <v>321.41217326661257</v>
      </c>
      <c r="D103" s="36" t="s">
        <v>14</v>
      </c>
      <c r="F103" s="62"/>
      <c r="G103" s="64"/>
      <c r="H103" s="64"/>
      <c r="I103" s="62"/>
    </row>
    <row r="104" spans="1:9" ht="15.6">
      <c r="A104" s="138" t="s">
        <v>491</v>
      </c>
      <c r="B104" s="106" t="s">
        <v>492</v>
      </c>
      <c r="C104" s="139">
        <v>330</v>
      </c>
      <c r="D104" s="13" t="s">
        <v>14</v>
      </c>
      <c r="F104" s="62"/>
      <c r="G104" s="64"/>
      <c r="H104" s="64"/>
      <c r="I104" s="62"/>
    </row>
    <row r="105" spans="1:9" ht="16.2" thickBot="1">
      <c r="A105" s="27" t="s">
        <v>123</v>
      </c>
      <c r="B105" s="37" t="s">
        <v>229</v>
      </c>
      <c r="C105" s="38">
        <f>(1/(20*fsw*PI()*Risense_actual))/picoF</f>
        <v>741.98108667550275</v>
      </c>
      <c r="D105" s="39" t="s">
        <v>97</v>
      </c>
      <c r="F105" s="62"/>
      <c r="G105" s="64"/>
      <c r="H105" s="64"/>
      <c r="I105" s="62"/>
    </row>
    <row r="106" spans="1:9">
      <c r="A106" s="158"/>
      <c r="B106" s="158"/>
      <c r="C106" s="158"/>
      <c r="D106" s="158"/>
      <c r="F106" s="62"/>
      <c r="G106" s="64"/>
      <c r="H106" s="64"/>
      <c r="I106" s="62"/>
    </row>
    <row r="107" spans="1:9" ht="13.8" thickBot="1">
      <c r="A107" s="159"/>
      <c r="B107" s="159"/>
      <c r="C107" s="159"/>
      <c r="D107" s="159"/>
      <c r="F107" s="62"/>
      <c r="G107" s="64"/>
      <c r="H107" s="64"/>
      <c r="I107" s="62"/>
    </row>
    <row r="108" spans="1:9" ht="15.6">
      <c r="A108" s="155" t="s">
        <v>124</v>
      </c>
      <c r="B108" s="156"/>
      <c r="C108" s="156"/>
      <c r="D108" s="157"/>
      <c r="F108" s="62"/>
      <c r="G108" s="64"/>
      <c r="H108" s="64"/>
      <c r="I108" s="62"/>
    </row>
    <row r="109" spans="1:9" ht="15.6">
      <c r="A109" s="7" t="s">
        <v>127</v>
      </c>
      <c r="B109" s="8" t="s">
        <v>128</v>
      </c>
      <c r="C109" s="1">
        <v>300</v>
      </c>
      <c r="D109" s="9" t="s">
        <v>13</v>
      </c>
      <c r="F109" s="62"/>
      <c r="G109" s="64"/>
      <c r="H109" s="64"/>
      <c r="I109" s="62"/>
    </row>
    <row r="110" spans="1:9" ht="15.6">
      <c r="A110" s="7" t="s">
        <v>276</v>
      </c>
      <c r="B110" s="8" t="s">
        <v>278</v>
      </c>
      <c r="C110" s="1">
        <v>2</v>
      </c>
      <c r="D110" s="9"/>
      <c r="F110" s="62"/>
      <c r="G110" s="64"/>
      <c r="H110" s="64"/>
      <c r="I110" s="62"/>
    </row>
    <row r="111" spans="1:9" ht="15.6">
      <c r="A111" s="7" t="s">
        <v>277</v>
      </c>
      <c r="B111" s="8" t="s">
        <v>279</v>
      </c>
      <c r="C111" s="41">
        <f>Ndropout*((1/fline_min)/ms)</f>
        <v>42.553191489361701</v>
      </c>
      <c r="D111" s="9" t="s">
        <v>125</v>
      </c>
      <c r="F111" s="62"/>
      <c r="G111" s="64"/>
      <c r="H111" s="64"/>
      <c r="I111" s="62"/>
    </row>
    <row r="112" spans="1:9" ht="15.6">
      <c r="A112" s="31" t="s">
        <v>357</v>
      </c>
      <c r="B112" s="32" t="s">
        <v>232</v>
      </c>
      <c r="C112" s="33">
        <f>(((2*Pout*t_dropout_hu*ms)/((Vout^2)-(Vout_holdup^2))))/uF</f>
        <v>685.23657792852975</v>
      </c>
      <c r="D112" s="36" t="s">
        <v>244</v>
      </c>
      <c r="F112" s="62"/>
      <c r="G112" s="64"/>
      <c r="H112" s="64"/>
      <c r="I112" s="62"/>
    </row>
    <row r="113" spans="1:9" ht="15.6">
      <c r="A113" s="7" t="s">
        <v>138</v>
      </c>
      <c r="B113" s="8" t="s">
        <v>129</v>
      </c>
      <c r="C113" s="3">
        <v>1000</v>
      </c>
      <c r="D113" s="13" t="s">
        <v>32</v>
      </c>
      <c r="F113" s="62"/>
      <c r="G113" s="64"/>
      <c r="H113" s="64"/>
      <c r="I113" s="62"/>
    </row>
    <row r="114" spans="1:9" ht="15.6">
      <c r="A114" s="7" t="s">
        <v>130</v>
      </c>
      <c r="B114" s="8" t="s">
        <v>131</v>
      </c>
      <c r="C114" s="18">
        <f>Iout/(PI()*2*fline_min*Cout*uF)</f>
        <v>4.3413786986332612</v>
      </c>
      <c r="D114" s="9" t="s">
        <v>13</v>
      </c>
      <c r="F114" s="62"/>
      <c r="G114" s="64"/>
      <c r="H114" s="64"/>
      <c r="I114" s="62"/>
    </row>
    <row r="115" spans="1:9">
      <c r="A115" s="179" t="str">
        <f>IF(Vout_ripplepp&gt;=0.04*Vout,"OUTPUT CAPACITOR must be sized larger so OVP/UVD is not triggered","Good! Output voltage peak-peak ripple is less than 5% VOUT")</f>
        <v>Good! Output voltage peak-peak ripple is less than 5% VOUT</v>
      </c>
      <c r="B115" s="180"/>
      <c r="C115" s="180"/>
      <c r="D115" s="181"/>
      <c r="F115" s="62"/>
      <c r="G115" s="64"/>
      <c r="H115" s="64"/>
      <c r="I115" s="62"/>
    </row>
    <row r="116" spans="1:9" ht="15.6">
      <c r="A116" s="7" t="s">
        <v>136</v>
      </c>
      <c r="B116" s="8" t="s">
        <v>132</v>
      </c>
      <c r="C116" s="18">
        <f>Iout/SQRT(2)</f>
        <v>0.90654715536736863</v>
      </c>
      <c r="D116" s="9" t="s">
        <v>134</v>
      </c>
      <c r="F116" s="62"/>
      <c r="G116" s="64"/>
      <c r="H116" s="64"/>
      <c r="I116" s="62"/>
    </row>
    <row r="117" spans="1:9" ht="15.6">
      <c r="A117" s="7" t="s">
        <v>135</v>
      </c>
      <c r="B117" s="8" t="s">
        <v>133</v>
      </c>
      <c r="C117" s="18">
        <f>Iout*SQRT(((16*Vout)/(3*PI()*Vin_rect_min))-1.5)</f>
        <v>1.1755944836077676</v>
      </c>
      <c r="D117" s="9" t="s">
        <v>134</v>
      </c>
      <c r="F117" s="62"/>
      <c r="G117" s="64"/>
      <c r="H117" s="64"/>
      <c r="I117" s="62"/>
    </row>
    <row r="118" spans="1:9" ht="16.2" thickBot="1">
      <c r="A118" s="14" t="s">
        <v>193</v>
      </c>
      <c r="B118" s="15" t="s">
        <v>137</v>
      </c>
      <c r="C118" s="24">
        <f>SQRT((Icout_2fline^2)+(Icout_HF^2))</f>
        <v>1.4845370102471955</v>
      </c>
      <c r="D118" s="17" t="s">
        <v>134</v>
      </c>
      <c r="F118" s="62"/>
      <c r="G118" s="64"/>
      <c r="H118" s="64"/>
      <c r="I118" s="62"/>
    </row>
    <row r="119" spans="1:9">
      <c r="A119" s="158"/>
      <c r="B119" s="158"/>
      <c r="C119" s="158"/>
      <c r="D119" s="158"/>
      <c r="F119" s="62"/>
      <c r="G119" s="64"/>
      <c r="H119" s="64"/>
      <c r="I119" s="62"/>
    </row>
    <row r="120" spans="1:9" ht="13.8" thickBot="1">
      <c r="A120" s="159"/>
      <c r="B120" s="159"/>
      <c r="C120" s="159"/>
      <c r="D120" s="159"/>
      <c r="F120" s="62"/>
      <c r="G120" s="64"/>
      <c r="H120" s="64"/>
      <c r="I120" s="62"/>
    </row>
    <row r="121" spans="1:9" ht="15.6">
      <c r="A121" s="155" t="s">
        <v>148</v>
      </c>
      <c r="B121" s="156"/>
      <c r="C121" s="156"/>
      <c r="D121" s="157"/>
      <c r="F121" s="62"/>
      <c r="G121" s="64"/>
      <c r="H121" s="64"/>
      <c r="I121" s="62"/>
    </row>
    <row r="122" spans="1:9" ht="15.6">
      <c r="A122" s="31" t="s">
        <v>139</v>
      </c>
      <c r="B122" s="32" t="s">
        <v>233</v>
      </c>
      <c r="C122" s="42">
        <v>1</v>
      </c>
      <c r="D122" s="43" t="s">
        <v>246</v>
      </c>
      <c r="F122" s="62"/>
      <c r="G122" s="64"/>
      <c r="H122" s="64"/>
      <c r="I122" s="62"/>
    </row>
    <row r="123" spans="1:9" ht="15.6">
      <c r="A123" s="7" t="s">
        <v>141</v>
      </c>
      <c r="B123" s="8" t="s">
        <v>142</v>
      </c>
      <c r="C123" s="1">
        <v>1.004</v>
      </c>
      <c r="D123" s="9" t="s">
        <v>140</v>
      </c>
    </row>
    <row r="124" spans="1:9" ht="15.6">
      <c r="A124" s="44" t="s">
        <v>194</v>
      </c>
      <c r="B124" s="10" t="s">
        <v>197</v>
      </c>
      <c r="C124" s="1">
        <v>1</v>
      </c>
      <c r="D124" s="9" t="s">
        <v>195</v>
      </c>
    </row>
    <row r="125" spans="1:9" ht="15.6">
      <c r="A125" s="44" t="s">
        <v>216</v>
      </c>
      <c r="B125" s="26" t="s">
        <v>219</v>
      </c>
      <c r="C125" s="1">
        <v>100</v>
      </c>
      <c r="D125" s="9" t="s">
        <v>217</v>
      </c>
    </row>
    <row r="126" spans="1:9" ht="15.6">
      <c r="A126" s="119" t="s">
        <v>143</v>
      </c>
      <c r="B126" s="32" t="s">
        <v>234</v>
      </c>
      <c r="C126" s="33">
        <f>(Vref*_Rfb1*kOhm)/(Vout-Vref)</f>
        <v>13.038961038961039</v>
      </c>
      <c r="D126" s="43" t="s">
        <v>245</v>
      </c>
      <c r="F126" s="62"/>
      <c r="G126" s="64"/>
      <c r="H126" s="64"/>
      <c r="I126" s="62"/>
    </row>
    <row r="127" spans="1:9" ht="15.6">
      <c r="A127" s="120" t="s">
        <v>141</v>
      </c>
      <c r="B127" s="8" t="s">
        <v>144</v>
      </c>
      <c r="C127" s="4">
        <v>13</v>
      </c>
      <c r="D127" s="9" t="s">
        <v>145</v>
      </c>
      <c r="F127" s="62"/>
      <c r="G127" s="64"/>
      <c r="H127" s="64"/>
      <c r="I127" s="62"/>
    </row>
    <row r="128" spans="1:9" ht="15.6">
      <c r="A128" s="44" t="s">
        <v>196</v>
      </c>
      <c r="B128" s="10" t="s">
        <v>198</v>
      </c>
      <c r="C128" s="1">
        <v>1</v>
      </c>
      <c r="D128" s="9" t="s">
        <v>195</v>
      </c>
      <c r="F128" s="62"/>
      <c r="G128" s="64"/>
      <c r="H128" s="64"/>
      <c r="I128" s="62"/>
    </row>
    <row r="129" spans="1:9" ht="15.6">
      <c r="A129" s="44" t="s">
        <v>218</v>
      </c>
      <c r="B129" s="26" t="s">
        <v>220</v>
      </c>
      <c r="C129" s="1">
        <v>100</v>
      </c>
      <c r="D129" s="9" t="s">
        <v>217</v>
      </c>
      <c r="F129" s="62"/>
      <c r="G129" s="64"/>
      <c r="H129" s="64"/>
      <c r="I129" s="62"/>
    </row>
    <row r="130" spans="1:9" ht="15.6">
      <c r="A130" s="7" t="s">
        <v>146</v>
      </c>
      <c r="B130" s="8" t="s">
        <v>147</v>
      </c>
      <c r="C130" s="18">
        <f>Vref*((_Rfb1*MegOhm)+(_Rfb2*kOhm))/(_Rfb2*kOhm)</f>
        <v>391.15384615384613</v>
      </c>
      <c r="D130" s="9" t="s">
        <v>13</v>
      </c>
      <c r="F130" s="62"/>
      <c r="G130" s="64"/>
      <c r="H130" s="64"/>
      <c r="I130" s="62"/>
    </row>
    <row r="131" spans="1:9" ht="15.6">
      <c r="A131" s="46" t="s">
        <v>353</v>
      </c>
      <c r="B131" s="106" t="s">
        <v>439</v>
      </c>
      <c r="C131" s="18">
        <f>Vout_nom-SQRT((((((_Rfb1*MegOhm)+(_Rfb2*kOhm))/(_Rfb2*kOhm))*0.1)^2)+(((Vref/(_Rfb2*kOhm))*(((Rfb1_tempco*10^-6)*(Tamb-25))+(delta_Rfb1/100))*(_Rfb1*MegOhm))^2)+(((5*(_Rfb1*MegOhm))*((-1)*((_Rfb2*kOhm)^-2))*(((Rfb2_tempco*10^-6)*(Tamb-25))+(delta_Rfb2/100))*(_Rfb2*kOhm)))^2)</f>
        <v>380.77122098843427</v>
      </c>
      <c r="D131" s="9" t="s">
        <v>13</v>
      </c>
      <c r="F131" s="62"/>
      <c r="G131" s="64"/>
      <c r="H131" s="64"/>
      <c r="I131" s="62"/>
    </row>
    <row r="132" spans="1:9" ht="15.6">
      <c r="A132" s="46" t="s">
        <v>354</v>
      </c>
      <c r="B132" s="106" t="s">
        <v>440</v>
      </c>
      <c r="C132" s="18">
        <f>Vout_nom+SQRT((((((_Rfb1*MegOhm)+(_Rfb2*kOhm))/(_Rfb2*kOhm))*0.1)^2)+(((5/(_Rfb2*kOhm))*(((Rfb1_tempco*10^-6)*(Tamb-25))+(delta_Rfb1/100))*(_Rfb1*MegOhm))^2)+(((5*(_Rfb1*MegOhm))*((-1)*((_Rfb2*kOhm)^-2))*(((Rfb2_tempco*10^-6)*(Tamb-25))+(delta_Rfb2/100))*(_Rfb2*kOhm)))^2)</f>
        <v>401.536471319258</v>
      </c>
      <c r="D132" s="9" t="s">
        <v>13</v>
      </c>
      <c r="F132" s="62"/>
      <c r="G132" s="64"/>
      <c r="H132" s="64"/>
      <c r="I132" s="62"/>
    </row>
    <row r="133" spans="1:9" ht="15.6">
      <c r="A133" s="7" t="s">
        <v>150</v>
      </c>
      <c r="B133" s="8" t="s">
        <v>149</v>
      </c>
      <c r="C133" s="18">
        <f>(Vref_ovp)*((_Rfb1*MegOhm)+(_Rfb2*kOhm))/(_Rfb2*kOhm)</f>
        <v>410.71153846153845</v>
      </c>
      <c r="D133" s="9" t="s">
        <v>13</v>
      </c>
      <c r="F133" s="62"/>
      <c r="G133" s="64"/>
      <c r="H133" s="64"/>
      <c r="I133" s="62"/>
    </row>
    <row r="134" spans="1:9" ht="15.6">
      <c r="A134" s="7" t="s">
        <v>430</v>
      </c>
      <c r="B134" s="8" t="s">
        <v>431</v>
      </c>
      <c r="C134" s="18">
        <f>(Vref_ovpmax)*((_Rfb1*MegOhm)+(_Rfb2*kOhm))/(_Rfb2*kOhm)</f>
        <v>420.88153846153847</v>
      </c>
      <c r="D134" s="59" t="s">
        <v>13</v>
      </c>
      <c r="F134" s="62"/>
      <c r="G134" s="64"/>
      <c r="H134" s="64"/>
      <c r="I134" s="62"/>
    </row>
    <row r="135" spans="1:9" ht="15.6">
      <c r="A135" s="105" t="s">
        <v>434</v>
      </c>
      <c r="B135" s="106" t="s">
        <v>435</v>
      </c>
      <c r="C135" s="18">
        <f>(Vref_ovpmin)*((_Rfb1*MegOhm)+(_Rfb2*kOhm))/(_Rfb2*kOhm)</f>
        <v>400.54153846153844</v>
      </c>
      <c r="D135" s="59" t="s">
        <v>13</v>
      </c>
      <c r="F135" s="62"/>
      <c r="G135" s="64"/>
      <c r="H135" s="64"/>
      <c r="I135" s="62"/>
    </row>
    <row r="136" spans="1:9" ht="15.6">
      <c r="A136" s="7" t="s">
        <v>289</v>
      </c>
      <c r="B136" s="8" t="s">
        <v>290</v>
      </c>
      <c r="C136" s="18">
        <f>(Vref_uvd)*((_Rfb1*MegOhm)+(_Rfb2*kOhm))/(_Rfb2*kOhm)</f>
        <v>371.59615384615387</v>
      </c>
      <c r="D136" s="9" t="s">
        <v>13</v>
      </c>
      <c r="F136" s="62"/>
      <c r="G136" s="64"/>
      <c r="H136" s="64"/>
      <c r="I136" s="62"/>
    </row>
    <row r="137" spans="1:9" ht="15.6">
      <c r="A137" s="105" t="s">
        <v>438</v>
      </c>
      <c r="B137" s="106" t="s">
        <v>441</v>
      </c>
      <c r="C137" s="18">
        <f>(Vref_uvdmax)*((_Rfb1*MegOhm)+(_Rfb2*kOhm))/(_Rfb2*kOhm)</f>
        <v>380.98384615384617</v>
      </c>
      <c r="D137" s="9" t="s">
        <v>13</v>
      </c>
      <c r="F137" s="62"/>
      <c r="G137" s="64"/>
      <c r="H137" s="64"/>
      <c r="I137" s="62"/>
    </row>
    <row r="138" spans="1:9" ht="15.6">
      <c r="A138" s="105" t="s">
        <v>443</v>
      </c>
      <c r="B138" s="106" t="s">
        <v>442</v>
      </c>
      <c r="C138" s="18">
        <f>(Vref_uvdmin)*((_Rfb1*MegOhm)+(_Rfb2*kOhm))/(_Rfb2*kOhm)</f>
        <v>362.20846153846156</v>
      </c>
      <c r="D138" s="9" t="s">
        <v>13</v>
      </c>
      <c r="F138" s="62"/>
      <c r="G138" s="64"/>
      <c r="H138" s="64"/>
      <c r="I138" s="62"/>
    </row>
    <row r="139" spans="1:9" ht="15.6">
      <c r="A139" s="31" t="s">
        <v>236</v>
      </c>
      <c r="B139" s="32" t="s">
        <v>237</v>
      </c>
      <c r="C139" s="33">
        <f>((t_RFB2Cvsense*ms)/(_Rfb2*kOhm))/picoF</f>
        <v>769.2307692307694</v>
      </c>
      <c r="D139" s="34" t="s">
        <v>97</v>
      </c>
      <c r="F139" s="62"/>
      <c r="G139" s="64"/>
      <c r="H139" s="64"/>
      <c r="I139" s="62"/>
    </row>
    <row r="140" spans="1:9" ht="16.2" thickBot="1">
      <c r="A140" s="47" t="s">
        <v>268</v>
      </c>
      <c r="B140" s="48" t="s">
        <v>269</v>
      </c>
      <c r="C140" s="49">
        <f>(Vout_nom^2)/((_Rfb1*MegOhm)+(_Rfb2*kOhm))</f>
        <v>0.1504437869822485</v>
      </c>
      <c r="D140" s="50" t="s">
        <v>14</v>
      </c>
      <c r="F140" s="62"/>
      <c r="G140" s="64"/>
      <c r="H140" s="64"/>
      <c r="I140" s="62"/>
    </row>
    <row r="141" spans="1:9">
      <c r="A141" s="163"/>
      <c r="B141" s="163"/>
      <c r="C141" s="163"/>
      <c r="D141" s="163"/>
      <c r="F141" s="62"/>
      <c r="G141" s="64"/>
      <c r="H141" s="64"/>
      <c r="I141" s="62"/>
    </row>
    <row r="142" spans="1:9" ht="13.8" thickBot="1">
      <c r="A142" s="164"/>
      <c r="B142" s="164"/>
      <c r="C142" s="164"/>
      <c r="D142" s="164"/>
      <c r="F142" s="62"/>
      <c r="G142" s="64"/>
      <c r="H142" s="64"/>
      <c r="I142" s="62"/>
    </row>
    <row r="143" spans="1:9" ht="15.75" customHeight="1">
      <c r="A143" s="155" t="s">
        <v>165</v>
      </c>
      <c r="B143" s="156"/>
      <c r="C143" s="156"/>
      <c r="D143" s="157"/>
      <c r="F143" s="62"/>
      <c r="G143" s="64"/>
      <c r="H143" s="64"/>
      <c r="I143" s="62"/>
    </row>
    <row r="144" spans="1:9" ht="15.15" customHeight="1">
      <c r="A144" s="165" t="s">
        <v>185</v>
      </c>
      <c r="B144" s="166"/>
      <c r="C144" s="166"/>
      <c r="D144" s="167"/>
      <c r="F144" s="62"/>
      <c r="G144" s="64"/>
      <c r="H144" s="64"/>
      <c r="I144" s="62"/>
    </row>
    <row r="145" spans="1:9" ht="15.15" customHeight="1">
      <c r="A145" s="44"/>
      <c r="B145" s="22"/>
      <c r="C145" s="22"/>
      <c r="D145" s="52"/>
      <c r="F145" s="62"/>
      <c r="G145" s="64"/>
      <c r="H145" s="64"/>
      <c r="I145" s="62"/>
    </row>
    <row r="146" spans="1:9" ht="15.15" customHeight="1">
      <c r="A146" s="44"/>
      <c r="B146" s="22"/>
      <c r="C146" s="22"/>
      <c r="D146" s="52"/>
      <c r="F146" s="62"/>
      <c r="G146" s="64"/>
      <c r="H146" s="64"/>
      <c r="I146" s="62"/>
    </row>
    <row r="147" spans="1:9" ht="15.15" customHeight="1">
      <c r="A147" s="44"/>
      <c r="B147" s="22"/>
      <c r="C147" s="22"/>
      <c r="D147" s="52"/>
      <c r="F147" s="62"/>
      <c r="G147" s="64"/>
      <c r="H147" s="64"/>
      <c r="I147" s="62"/>
    </row>
    <row r="148" spans="1:9" ht="15.15" customHeight="1">
      <c r="A148" s="44"/>
      <c r="B148" s="22"/>
      <c r="C148" s="22"/>
      <c r="D148" s="52"/>
      <c r="F148" s="62"/>
      <c r="G148" s="64"/>
      <c r="H148" s="64"/>
      <c r="I148" s="62"/>
    </row>
    <row r="149" spans="1:9" ht="15.15" customHeight="1">
      <c r="A149" s="65"/>
      <c r="B149" s="66"/>
      <c r="C149" s="66"/>
      <c r="D149" s="67"/>
      <c r="F149" s="62"/>
      <c r="G149" s="64"/>
      <c r="H149" s="64"/>
      <c r="I149" s="62"/>
    </row>
    <row r="150" spans="1:9" ht="15.15" customHeight="1">
      <c r="A150" s="65"/>
      <c r="B150" s="66"/>
      <c r="C150" s="66"/>
      <c r="D150" s="67"/>
      <c r="F150" s="62"/>
      <c r="G150" s="64"/>
      <c r="H150" s="64"/>
      <c r="I150" s="62"/>
    </row>
    <row r="151" spans="1:9" ht="15.15" customHeight="1">
      <c r="A151" s="65"/>
      <c r="B151" s="66"/>
      <c r="C151" s="66"/>
      <c r="D151" s="67"/>
      <c r="F151" s="62"/>
      <c r="G151" s="64"/>
      <c r="H151" s="64"/>
      <c r="I151" s="62"/>
    </row>
    <row r="152" spans="1:9" ht="15.15" customHeight="1">
      <c r="A152" s="65"/>
      <c r="B152" s="66"/>
      <c r="C152" s="66"/>
      <c r="D152" s="67"/>
      <c r="F152" s="62"/>
      <c r="G152" s="64"/>
      <c r="H152" s="64"/>
      <c r="I152" s="62"/>
    </row>
    <row r="153" spans="1:9" ht="15.15" customHeight="1">
      <c r="A153" s="44"/>
      <c r="B153" s="22"/>
      <c r="C153" s="22"/>
      <c r="D153" s="52"/>
      <c r="F153" s="62"/>
      <c r="G153" s="64"/>
      <c r="H153" s="64"/>
      <c r="I153" s="62"/>
    </row>
    <row r="154" spans="1:9" ht="15.15" customHeight="1">
      <c r="A154" s="44"/>
      <c r="B154" s="22"/>
      <c r="C154" s="22"/>
      <c r="D154" s="52"/>
      <c r="F154" s="62"/>
      <c r="G154" s="64"/>
      <c r="H154" s="64"/>
      <c r="I154" s="62"/>
    </row>
    <row r="155" spans="1:9" ht="15.15" customHeight="1">
      <c r="A155" s="44"/>
      <c r="B155" s="22"/>
      <c r="C155" s="22"/>
      <c r="D155" s="52"/>
      <c r="F155" s="62"/>
      <c r="G155" s="64"/>
      <c r="H155" s="64"/>
      <c r="I155" s="62"/>
    </row>
    <row r="156" spans="1:9" ht="15.15" customHeight="1">
      <c r="A156" s="44"/>
      <c r="B156" s="22"/>
      <c r="C156" s="22"/>
      <c r="D156" s="52"/>
      <c r="F156" s="62"/>
      <c r="G156" s="64"/>
      <c r="H156" s="64"/>
      <c r="I156" s="62"/>
    </row>
    <row r="157" spans="1:9" ht="15.15" customHeight="1">
      <c r="A157" s="65"/>
      <c r="B157" s="66"/>
      <c r="C157" s="66"/>
      <c r="D157" s="68"/>
      <c r="F157" s="62"/>
      <c r="G157" s="64"/>
      <c r="H157" s="64"/>
      <c r="I157" s="62"/>
    </row>
    <row r="158" spans="1:9" ht="15.15" customHeight="1">
      <c r="A158" s="65"/>
      <c r="B158" s="66"/>
      <c r="C158" s="66"/>
      <c r="D158" s="68"/>
      <c r="F158" s="62"/>
      <c r="G158" s="64"/>
      <c r="H158" s="64"/>
      <c r="I158" s="62"/>
    </row>
    <row r="159" spans="1:9" ht="15.15" customHeight="1">
      <c r="A159" s="65"/>
      <c r="B159" s="66"/>
      <c r="C159" s="66"/>
      <c r="D159" s="68"/>
      <c r="F159" s="62"/>
      <c r="G159" s="64"/>
      <c r="H159" s="64"/>
      <c r="I159" s="62"/>
    </row>
    <row r="160" spans="1:9" ht="15.15" customHeight="1">
      <c r="A160" s="65"/>
      <c r="B160" s="66"/>
      <c r="C160" s="66"/>
      <c r="D160" s="68"/>
      <c r="F160" s="62"/>
      <c r="G160" s="64"/>
      <c r="H160" s="64"/>
      <c r="I160" s="62"/>
    </row>
    <row r="161" spans="1:9" ht="15.15" customHeight="1">
      <c r="A161" s="65"/>
      <c r="B161" s="66"/>
      <c r="C161" s="66"/>
      <c r="D161" s="68"/>
      <c r="F161" s="62"/>
    </row>
    <row r="162" spans="1:9" ht="15.15" customHeight="1">
      <c r="A162" s="65"/>
      <c r="B162" s="66"/>
      <c r="C162" s="66"/>
      <c r="D162" s="68"/>
      <c r="F162" s="62"/>
      <c r="G162" s="64"/>
      <c r="H162" s="64"/>
      <c r="I162" s="62"/>
    </row>
    <row r="163" spans="1:9" ht="15.15" customHeight="1">
      <c r="A163" s="65"/>
      <c r="B163" s="66"/>
      <c r="C163" s="66"/>
      <c r="D163" s="68"/>
      <c r="F163" s="62"/>
      <c r="G163" s="64"/>
      <c r="H163" s="64"/>
      <c r="I163" s="62"/>
    </row>
    <row r="164" spans="1:9" ht="15.15" customHeight="1">
      <c r="A164" s="65"/>
      <c r="B164" s="66"/>
      <c r="C164" s="66"/>
      <c r="D164" s="68"/>
      <c r="F164" s="62"/>
      <c r="G164" s="64"/>
      <c r="H164" s="64"/>
      <c r="I164" s="62"/>
    </row>
    <row r="165" spans="1:9" ht="15.15" customHeight="1">
      <c r="A165" s="65"/>
      <c r="B165" s="66"/>
      <c r="C165" s="66"/>
      <c r="D165" s="68"/>
      <c r="F165" s="62"/>
      <c r="G165" s="64"/>
      <c r="H165" s="64"/>
      <c r="I165" s="62"/>
    </row>
    <row r="166" spans="1:9" ht="15.15" customHeight="1">
      <c r="A166" s="65"/>
      <c r="B166" s="66"/>
      <c r="C166" s="66"/>
      <c r="D166" s="68"/>
      <c r="F166" s="62"/>
      <c r="G166" s="64"/>
      <c r="H166" s="64"/>
      <c r="I166" s="62"/>
    </row>
    <row r="167" spans="1:9" ht="15.75" customHeight="1">
      <c r="A167" s="65"/>
      <c r="B167" s="66"/>
      <c r="C167" s="66"/>
      <c r="D167" s="68"/>
      <c r="F167" s="62"/>
      <c r="G167" s="64"/>
      <c r="H167" s="64"/>
      <c r="I167" s="62"/>
    </row>
    <row r="168" spans="1:9" ht="15.75" customHeight="1">
      <c r="A168" s="7" t="s">
        <v>450</v>
      </c>
      <c r="B168" s="8" t="s">
        <v>166</v>
      </c>
      <c r="C168" s="33">
        <f>(Iout*(Vout_nom^2)*Rsense*K_1)/(eff^2*(VINnom^2)*K_fq)*us</f>
        <v>0.18290289186366679</v>
      </c>
      <c r="D168" s="51" t="s">
        <v>170</v>
      </c>
      <c r="F168" s="62"/>
      <c r="G168" s="64"/>
      <c r="H168" s="64"/>
      <c r="I168" s="62"/>
    </row>
    <row r="169" spans="1:9">
      <c r="A169" s="121" t="s">
        <v>451</v>
      </c>
      <c r="B169" s="8" t="s">
        <v>167</v>
      </c>
      <c r="C169" s="33">
        <f>Vcomp</f>
        <v>3.5458802006225056</v>
      </c>
      <c r="D169" s="128" t="s">
        <v>13</v>
      </c>
      <c r="F169" s="62"/>
      <c r="G169" s="64"/>
      <c r="H169" s="64"/>
      <c r="I169" s="62"/>
    </row>
    <row r="170" spans="1:9" ht="15.6">
      <c r="A170" s="53" t="s">
        <v>186</v>
      </c>
      <c r="B170" s="26" t="s">
        <v>168</v>
      </c>
      <c r="C170" s="54">
        <f>IF(Vcomp&lt;2,(0.064),IF(Vcomp&lt;3,(0.139*Vcomp-0.214),IF(Vcomp&lt;5.5,(0.279*Vcomp-0.632),IF(Vcomp&lt;7,0.903,"VCOMP MUST BE &lt; 7"))))</f>
        <v>0.35730057597367915</v>
      </c>
      <c r="D170" s="55"/>
      <c r="F170" s="62"/>
      <c r="G170" s="64"/>
      <c r="H170" s="64"/>
      <c r="I170" s="62"/>
    </row>
    <row r="171" spans="1:9" ht="15.6">
      <c r="A171" s="53" t="s">
        <v>187</v>
      </c>
      <c r="B171" s="26" t="s">
        <v>169</v>
      </c>
      <c r="C171" s="54">
        <f>IF(Vcomp&lt;=1.5,0,IF(Vcomp&lt;5.6,(0.1223*(Vcomp-1.5)^2),IF(Vcomp&lt;7,2.056,"VCOMP MUST BE &lt; 7")))</f>
        <v>0.51190203476509022</v>
      </c>
      <c r="D171" s="51" t="s">
        <v>170</v>
      </c>
    </row>
    <row r="172" spans="1:9" ht="15.6">
      <c r="A172" s="105" t="s">
        <v>453</v>
      </c>
      <c r="B172" s="8" t="s">
        <v>454</v>
      </c>
      <c r="C172" s="129">
        <f>IF(Vcomp&gt;=3,((0.1026*(Vcomp^2))-(0.3596*Vcomp)+0.3085),(0.051*(Vcomp^2)-(0.1543*Vcomp)+0.1167))</f>
        <v>0.32341861220545054</v>
      </c>
      <c r="D172" s="9"/>
      <c r="E172" s="69"/>
    </row>
    <row r="173" spans="1:9" ht="15.6">
      <c r="A173" s="53" t="s">
        <v>281</v>
      </c>
      <c r="B173" s="26" t="s">
        <v>221</v>
      </c>
      <c r="C173" s="61">
        <v>9.5</v>
      </c>
      <c r="D173" s="57" t="s">
        <v>173</v>
      </c>
      <c r="E173" s="40"/>
      <c r="F173" s="40"/>
      <c r="G173" s="40"/>
      <c r="H173" s="40"/>
    </row>
    <row r="174" spans="1:9" ht="15.6">
      <c r="A174" s="31" t="s">
        <v>174</v>
      </c>
      <c r="B174" s="32" t="s">
        <v>235</v>
      </c>
      <c r="C174" s="60">
        <f>(((0.95*10^-3)*M_1)/(7*2*PI()*(f_Iavg*10^3)))*10^12</f>
        <v>812.37361193989045</v>
      </c>
      <c r="D174" s="34" t="s">
        <v>97</v>
      </c>
    </row>
    <row r="175" spans="1:9" ht="15.6">
      <c r="A175" s="7" t="s">
        <v>175</v>
      </c>
      <c r="B175" s="26" t="s">
        <v>176</v>
      </c>
      <c r="C175" s="1">
        <v>800</v>
      </c>
      <c r="D175" s="57" t="s">
        <v>97</v>
      </c>
    </row>
    <row r="176" spans="1:9" ht="15.6">
      <c r="A176" s="7" t="s">
        <v>222</v>
      </c>
      <c r="B176" s="26" t="s">
        <v>223</v>
      </c>
      <c r="C176" s="56">
        <f>((0.95*10^-3*M_1)/(7*2*PI()*Cicomp*10^-12))*10^-3</f>
        <v>9.6469366417862012</v>
      </c>
      <c r="D176" s="9" t="s">
        <v>173</v>
      </c>
    </row>
    <row r="177" spans="1:4">
      <c r="A177" s="44"/>
      <c r="B177" s="45"/>
      <c r="C177" s="77"/>
      <c r="D177" s="52"/>
    </row>
    <row r="178" spans="1:4">
      <c r="A178" s="44"/>
      <c r="B178" s="22"/>
      <c r="C178" s="22"/>
      <c r="D178" s="52"/>
    </row>
    <row r="179" spans="1:4">
      <c r="A179" s="44"/>
      <c r="B179" s="22"/>
      <c r="C179" s="22"/>
      <c r="D179" s="52"/>
    </row>
    <row r="180" spans="1:4">
      <c r="A180" s="70"/>
      <c r="B180" s="45"/>
      <c r="C180" s="45"/>
      <c r="D180" s="71"/>
    </row>
    <row r="181" spans="1:4">
      <c r="A181" s="44"/>
      <c r="B181" s="22"/>
      <c r="C181" s="22"/>
      <c r="D181" s="52"/>
    </row>
    <row r="182" spans="1:4">
      <c r="A182" s="44"/>
      <c r="B182" s="22"/>
      <c r="C182" s="22"/>
      <c r="D182" s="52"/>
    </row>
    <row r="183" spans="1:4">
      <c r="A183" s="44"/>
      <c r="B183" s="22"/>
      <c r="C183" s="22"/>
      <c r="D183" s="52"/>
    </row>
    <row r="184" spans="1:4">
      <c r="A184" s="44"/>
      <c r="B184" s="22"/>
      <c r="C184" s="22"/>
      <c r="D184" s="52"/>
    </row>
    <row r="185" spans="1:4">
      <c r="A185" s="44"/>
      <c r="B185" s="22"/>
      <c r="C185" s="22"/>
      <c r="D185" s="52"/>
    </row>
    <row r="186" spans="1:4">
      <c r="A186" s="44"/>
      <c r="B186" s="22"/>
      <c r="C186" s="22"/>
      <c r="D186" s="52"/>
    </row>
    <row r="187" spans="1:4">
      <c r="A187" s="44"/>
      <c r="B187" s="22"/>
      <c r="C187" s="22"/>
      <c r="D187" s="52"/>
    </row>
    <row r="188" spans="1:4">
      <c r="A188" s="44"/>
      <c r="B188" s="22"/>
      <c r="C188" s="22"/>
      <c r="D188" s="52"/>
    </row>
    <row r="189" spans="1:4">
      <c r="A189" s="44"/>
      <c r="B189" s="22"/>
      <c r="C189" s="22"/>
      <c r="D189" s="52"/>
    </row>
    <row r="190" spans="1:4">
      <c r="A190" s="44"/>
      <c r="B190" s="22"/>
      <c r="C190" s="22"/>
      <c r="D190" s="52"/>
    </row>
    <row r="191" spans="1:4">
      <c r="A191" s="44"/>
      <c r="B191" s="22"/>
      <c r="C191" s="22"/>
      <c r="D191" s="52"/>
    </row>
    <row r="192" spans="1:4">
      <c r="A192" s="44"/>
      <c r="B192" s="22"/>
      <c r="C192" s="22"/>
      <c r="D192" s="52"/>
    </row>
    <row r="193" spans="1:4">
      <c r="A193" s="44"/>
      <c r="B193" s="22"/>
      <c r="C193" s="22"/>
      <c r="D193" s="52"/>
    </row>
    <row r="194" spans="1:4">
      <c r="A194" s="44"/>
      <c r="B194" s="22"/>
      <c r="C194" s="22"/>
      <c r="D194" s="52"/>
    </row>
    <row r="195" spans="1:4">
      <c r="A195" s="44"/>
      <c r="B195" s="22"/>
      <c r="C195" s="22"/>
      <c r="D195" s="52"/>
    </row>
    <row r="196" spans="1:4">
      <c r="A196" s="44"/>
      <c r="B196" s="22"/>
      <c r="C196" s="22"/>
      <c r="D196" s="52"/>
    </row>
    <row r="197" spans="1:4">
      <c r="A197" s="44"/>
      <c r="B197" s="22"/>
      <c r="C197" s="22"/>
      <c r="D197" s="52"/>
    </row>
    <row r="198" spans="1:4">
      <c r="A198" s="44"/>
      <c r="B198" s="22"/>
      <c r="C198" s="22"/>
      <c r="D198" s="52"/>
    </row>
    <row r="199" spans="1:4">
      <c r="A199" s="44"/>
      <c r="B199" s="22"/>
      <c r="C199" s="22"/>
      <c r="D199" s="52"/>
    </row>
    <row r="200" spans="1:4">
      <c r="A200" s="44"/>
      <c r="B200" s="22"/>
      <c r="C200" s="22"/>
      <c r="D200" s="52"/>
    </row>
    <row r="201" spans="1:4">
      <c r="A201" s="44"/>
      <c r="B201" s="22"/>
      <c r="C201" s="22"/>
      <c r="D201" s="52"/>
    </row>
    <row r="202" spans="1:4">
      <c r="A202" s="44"/>
      <c r="B202" s="22"/>
      <c r="C202" s="22"/>
      <c r="D202" s="52"/>
    </row>
    <row r="203" spans="1:4">
      <c r="A203" s="44"/>
      <c r="B203" s="22"/>
      <c r="C203" s="22"/>
      <c r="D203" s="52"/>
    </row>
    <row r="204" spans="1:4">
      <c r="A204" s="44"/>
      <c r="B204" s="22"/>
      <c r="C204" s="22"/>
      <c r="D204" s="52"/>
    </row>
    <row r="205" spans="1:4">
      <c r="A205" s="44"/>
      <c r="B205" s="22"/>
      <c r="C205" s="22"/>
      <c r="D205" s="52"/>
    </row>
    <row r="206" spans="1:4">
      <c r="A206" s="44"/>
      <c r="B206" s="22"/>
      <c r="C206" s="22"/>
      <c r="D206" s="52"/>
    </row>
    <row r="207" spans="1:4">
      <c r="A207" s="44"/>
      <c r="B207" s="22"/>
      <c r="C207" s="22"/>
      <c r="D207" s="52"/>
    </row>
    <row r="208" spans="1:4">
      <c r="A208" s="44"/>
      <c r="B208" s="22"/>
      <c r="C208" s="22"/>
      <c r="D208" s="52"/>
    </row>
    <row r="209" spans="1:4">
      <c r="A209" s="44"/>
      <c r="B209" s="22"/>
      <c r="C209" s="22"/>
      <c r="D209" s="52"/>
    </row>
    <row r="210" spans="1:4">
      <c r="A210" s="44"/>
      <c r="B210" s="22"/>
      <c r="C210" s="22"/>
      <c r="D210" s="52"/>
    </row>
    <row r="211" spans="1:4">
      <c r="A211" s="44"/>
      <c r="B211" s="22"/>
      <c r="C211" s="22"/>
      <c r="D211" s="52"/>
    </row>
    <row r="212" spans="1:4">
      <c r="A212" s="44"/>
      <c r="B212" s="22"/>
      <c r="C212" s="22"/>
      <c r="D212" s="52"/>
    </row>
    <row r="213" spans="1:4">
      <c r="A213" s="44"/>
      <c r="B213" s="22"/>
      <c r="C213" s="22"/>
      <c r="D213" s="52"/>
    </row>
    <row r="214" spans="1:4">
      <c r="A214" s="44"/>
      <c r="B214" s="22"/>
      <c r="C214" s="22"/>
      <c r="D214" s="52"/>
    </row>
    <row r="215" spans="1:4">
      <c r="A215" s="44"/>
      <c r="B215" s="22"/>
      <c r="C215" s="22"/>
      <c r="D215" s="52"/>
    </row>
    <row r="216" spans="1:4">
      <c r="A216" s="44"/>
      <c r="B216" s="22"/>
      <c r="C216" s="22"/>
      <c r="D216" s="52"/>
    </row>
    <row r="217" spans="1:4">
      <c r="A217" s="44"/>
      <c r="B217" s="22"/>
      <c r="C217" s="22"/>
      <c r="D217" s="52"/>
    </row>
    <row r="218" spans="1:4">
      <c r="A218" s="44"/>
      <c r="B218" s="22"/>
      <c r="C218" s="22"/>
      <c r="D218" s="52"/>
    </row>
    <row r="219" spans="1:4">
      <c r="A219" s="44"/>
      <c r="B219" s="22"/>
      <c r="C219" s="22"/>
      <c r="D219" s="52"/>
    </row>
    <row r="220" spans="1:4">
      <c r="A220" s="44"/>
      <c r="B220" s="22"/>
      <c r="C220" s="22"/>
      <c r="D220" s="52"/>
    </row>
    <row r="221" spans="1:4">
      <c r="A221" s="44"/>
      <c r="B221" s="22"/>
      <c r="C221" s="22"/>
      <c r="D221" s="52"/>
    </row>
    <row r="222" spans="1:4">
      <c r="A222" s="44"/>
      <c r="B222" s="22"/>
      <c r="C222" s="22"/>
      <c r="D222" s="52"/>
    </row>
    <row r="223" spans="1:4">
      <c r="A223" s="44"/>
      <c r="B223" s="22"/>
      <c r="C223" s="22"/>
      <c r="D223" s="52"/>
    </row>
    <row r="224" spans="1:4">
      <c r="A224" s="44"/>
      <c r="B224" s="22"/>
      <c r="C224" s="22"/>
      <c r="D224" s="52"/>
    </row>
    <row r="225" spans="1:4">
      <c r="A225" s="44"/>
      <c r="B225" s="22"/>
      <c r="C225" s="22"/>
      <c r="D225" s="52"/>
    </row>
    <row r="226" spans="1:4">
      <c r="A226" s="44"/>
      <c r="B226" s="22"/>
      <c r="C226" s="22"/>
      <c r="D226" s="52"/>
    </row>
    <row r="227" spans="1:4">
      <c r="A227" s="44"/>
      <c r="B227" s="22"/>
      <c r="C227" s="22"/>
      <c r="D227" s="52"/>
    </row>
    <row r="228" spans="1:4">
      <c r="A228" s="44"/>
      <c r="B228" s="22"/>
      <c r="C228" s="22"/>
      <c r="D228" s="52"/>
    </row>
    <row r="229" spans="1:4">
      <c r="A229" s="44"/>
      <c r="B229" s="22"/>
      <c r="C229" s="22"/>
      <c r="D229" s="52"/>
    </row>
    <row r="230" spans="1:4">
      <c r="A230" s="44"/>
      <c r="B230" s="22"/>
      <c r="C230" s="22"/>
      <c r="D230" s="52"/>
    </row>
    <row r="231" spans="1:4">
      <c r="A231" s="44"/>
      <c r="B231" s="22"/>
      <c r="C231" s="22"/>
      <c r="D231" s="52"/>
    </row>
    <row r="232" spans="1:4">
      <c r="A232" s="44"/>
      <c r="B232" s="22"/>
      <c r="C232" s="22"/>
      <c r="D232" s="52"/>
    </row>
    <row r="233" spans="1:4">
      <c r="A233" s="44"/>
      <c r="B233" s="22"/>
      <c r="C233" s="22"/>
      <c r="D233" s="52"/>
    </row>
    <row r="234" spans="1:4">
      <c r="A234" s="44"/>
      <c r="B234" s="22"/>
      <c r="C234" s="22"/>
      <c r="D234" s="52"/>
    </row>
    <row r="235" spans="1:4">
      <c r="A235" s="44"/>
      <c r="B235" s="22"/>
      <c r="C235" s="22"/>
      <c r="D235" s="52"/>
    </row>
    <row r="236" spans="1:4">
      <c r="A236" s="44"/>
      <c r="B236" s="22"/>
      <c r="C236" s="22"/>
      <c r="D236" s="52"/>
    </row>
    <row r="237" spans="1:4">
      <c r="A237" s="44"/>
      <c r="B237" s="22"/>
      <c r="C237" s="22"/>
      <c r="D237" s="52"/>
    </row>
    <row r="238" spans="1:4">
      <c r="A238" s="44"/>
      <c r="B238" s="22"/>
      <c r="C238" s="22"/>
      <c r="D238" s="52"/>
    </row>
    <row r="239" spans="1:4">
      <c r="A239" s="44"/>
      <c r="B239" s="22"/>
      <c r="C239" s="22"/>
      <c r="D239" s="52"/>
    </row>
    <row r="240" spans="1:4">
      <c r="A240" s="44"/>
      <c r="B240" s="22"/>
      <c r="C240" s="22"/>
      <c r="D240" s="52"/>
    </row>
    <row r="241" spans="1:4">
      <c r="A241" s="44"/>
      <c r="B241" s="22"/>
      <c r="C241" s="22"/>
      <c r="D241" s="52"/>
    </row>
    <row r="242" spans="1:4">
      <c r="A242" s="44"/>
      <c r="B242" s="22"/>
      <c r="C242" s="22"/>
      <c r="D242" s="52"/>
    </row>
    <row r="243" spans="1:4">
      <c r="A243" s="44"/>
      <c r="B243" s="22"/>
      <c r="C243" s="22"/>
      <c r="D243" s="52"/>
    </row>
    <row r="244" spans="1:4">
      <c r="A244" s="44"/>
      <c r="B244" s="22"/>
      <c r="C244" s="22"/>
      <c r="D244" s="52"/>
    </row>
    <row r="245" spans="1:4">
      <c r="A245" s="44"/>
      <c r="B245" s="22"/>
      <c r="C245" s="22"/>
      <c r="D245" s="52"/>
    </row>
    <row r="246" spans="1:4">
      <c r="A246" s="44"/>
      <c r="B246" s="22"/>
      <c r="C246" s="22"/>
      <c r="D246" s="52"/>
    </row>
    <row r="247" spans="1:4">
      <c r="A247" s="44"/>
      <c r="B247" s="22"/>
      <c r="C247" s="22"/>
      <c r="D247" s="52"/>
    </row>
    <row r="248" spans="1:4">
      <c r="A248" s="44"/>
      <c r="B248" s="22"/>
      <c r="C248" s="22"/>
      <c r="D248" s="52"/>
    </row>
    <row r="249" spans="1:4">
      <c r="A249" s="44"/>
      <c r="B249" s="22"/>
      <c r="C249" s="22"/>
      <c r="D249" s="52"/>
    </row>
    <row r="250" spans="1:4">
      <c r="A250" s="44"/>
      <c r="B250" s="22"/>
      <c r="C250" s="22"/>
      <c r="D250" s="52"/>
    </row>
    <row r="251" spans="1:4">
      <c r="A251" s="44"/>
      <c r="B251" s="22"/>
      <c r="C251" s="22"/>
      <c r="D251" s="52"/>
    </row>
    <row r="252" spans="1:4">
      <c r="A252" s="44"/>
      <c r="B252" s="22"/>
      <c r="C252" s="22"/>
      <c r="D252" s="52"/>
    </row>
    <row r="253" spans="1:4">
      <c r="A253" s="44"/>
      <c r="B253" s="22"/>
      <c r="C253" s="22"/>
      <c r="D253" s="52"/>
    </row>
    <row r="254" spans="1:4">
      <c r="A254" s="44"/>
      <c r="B254" s="22"/>
      <c r="C254" s="22"/>
      <c r="D254" s="52"/>
    </row>
    <row r="255" spans="1:4">
      <c r="A255" s="44"/>
      <c r="B255" s="22"/>
      <c r="C255" s="22"/>
      <c r="D255" s="52"/>
    </row>
    <row r="256" spans="1:4">
      <c r="A256" s="44"/>
      <c r="B256" s="22"/>
      <c r="C256" s="22"/>
      <c r="D256" s="52"/>
    </row>
    <row r="257" spans="1:4">
      <c r="A257" s="44"/>
      <c r="B257" s="22"/>
      <c r="C257" s="22"/>
      <c r="D257" s="52"/>
    </row>
    <row r="258" spans="1:4" ht="13.5" customHeight="1">
      <c r="A258" s="44"/>
      <c r="B258" s="22"/>
      <c r="C258" s="22"/>
      <c r="D258" s="52"/>
    </row>
    <row r="259" spans="1:4">
      <c r="A259" s="44"/>
      <c r="B259" s="22"/>
      <c r="C259" s="22"/>
      <c r="D259" s="52"/>
    </row>
    <row r="260" spans="1:4" ht="13.8">
      <c r="A260" s="160" t="s">
        <v>184</v>
      </c>
      <c r="B260" s="161"/>
      <c r="C260" s="161"/>
      <c r="D260" s="162"/>
    </row>
    <row r="261" spans="1:4" ht="15.6">
      <c r="A261" s="7" t="s">
        <v>191</v>
      </c>
      <c r="B261" s="8" t="s">
        <v>192</v>
      </c>
      <c r="C261" s="18">
        <f>1/((2*PI()*7*Rsense*(Vout_nom^3)*(Cout*10^-6))/((1/(fsw))*(M1M2_calc/us)*(Vin_nom^2)))</f>
        <v>0.59036719473453836</v>
      </c>
      <c r="D261" s="9" t="s">
        <v>5</v>
      </c>
    </row>
    <row r="262" spans="1:4" ht="15.6">
      <c r="A262" s="53" t="s">
        <v>213</v>
      </c>
      <c r="B262" s="26" t="s">
        <v>212</v>
      </c>
      <c r="C262" s="5">
        <v>10</v>
      </c>
      <c r="D262" s="57" t="s">
        <v>5</v>
      </c>
    </row>
    <row r="263" spans="1:4" ht="15.6">
      <c r="A263" s="7" t="s">
        <v>214</v>
      </c>
      <c r="B263" s="8" t="s">
        <v>215</v>
      </c>
      <c r="C263" s="54">
        <f>20*LOG(IMABS(IMPRODUCT((_Rfb2*kOhm)/((_Rfb1*MegOhm)+(_Rfb2*kOhm)),IMDIV((M_3*Vout_nom)/(M1M2_calc),COMPLEX(1,(2*PI()*fv)/(2*PI()*fPWM_PSpole))))))</f>
        <v>-5.6623771328351493</v>
      </c>
      <c r="D263" s="9" t="s">
        <v>209</v>
      </c>
    </row>
    <row r="264" spans="1:4" ht="15.6">
      <c r="A264" s="31" t="s">
        <v>238</v>
      </c>
      <c r="B264" s="32" t="s">
        <v>243</v>
      </c>
      <c r="C264" s="58">
        <f>((((g_mv)*fv)/fPWM_PSpole)/((10^(GVL_dB/20))*2*PI()*fv))/uF</f>
        <v>21.730317003206597</v>
      </c>
      <c r="D264" s="36" t="s">
        <v>244</v>
      </c>
    </row>
    <row r="265" spans="1:4" ht="15.6">
      <c r="A265" s="7" t="s">
        <v>242</v>
      </c>
      <c r="B265" s="8" t="s">
        <v>247</v>
      </c>
      <c r="C265" s="1">
        <v>16</v>
      </c>
      <c r="D265" s="13" t="s">
        <v>32</v>
      </c>
    </row>
    <row r="266" spans="1:4" ht="15.6">
      <c r="A266" s="31" t="s">
        <v>248</v>
      </c>
      <c r="B266" s="32" t="s">
        <v>249</v>
      </c>
      <c r="C266" s="58">
        <f>(1/(2*PI()*fPWM_PSpole*Cvcomp*uF))/(kOhm)</f>
        <v>16.849147500000001</v>
      </c>
      <c r="D266" s="43" t="s">
        <v>245</v>
      </c>
    </row>
    <row r="267" spans="1:4" ht="15.6">
      <c r="A267" s="7" t="s">
        <v>250</v>
      </c>
      <c r="B267" s="8" t="s">
        <v>251</v>
      </c>
      <c r="C267" s="1">
        <v>15</v>
      </c>
      <c r="D267" s="59" t="s">
        <v>145</v>
      </c>
    </row>
    <row r="268" spans="1:4" ht="15.6">
      <c r="A268" s="7" t="s">
        <v>252</v>
      </c>
      <c r="B268" s="8" t="s">
        <v>253</v>
      </c>
      <c r="C268" s="54">
        <f>1/(2*PI()*(Rvcomp*kOhm)*(Cvcomp*uF))</f>
        <v>0.66314559621623059</v>
      </c>
      <c r="D268" s="9" t="s">
        <v>5</v>
      </c>
    </row>
    <row r="269" spans="1:4" ht="15.6">
      <c r="A269" s="7" t="s">
        <v>255</v>
      </c>
      <c r="B269" s="8" t="s">
        <v>256</v>
      </c>
      <c r="C269" s="1">
        <v>20</v>
      </c>
      <c r="D269" s="9" t="s">
        <v>5</v>
      </c>
    </row>
    <row r="270" spans="1:4" ht="15.6">
      <c r="A270" s="31" t="s">
        <v>254</v>
      </c>
      <c r="B270" s="32" t="s">
        <v>257</v>
      </c>
      <c r="C270" s="58">
        <f>((Cvcomp*uF)/((2*PI()*fpole*(Rvcomp*kOhm)*(Cvcomp*uF))-1))/uF</f>
        <v>0.54871021511045226</v>
      </c>
      <c r="D270" s="36" t="s">
        <v>244</v>
      </c>
    </row>
    <row r="271" spans="1:4" ht="15.6">
      <c r="A271" s="53" t="s">
        <v>260</v>
      </c>
      <c r="B271" s="26" t="s">
        <v>261</v>
      </c>
      <c r="C271" s="1">
        <v>0.66</v>
      </c>
      <c r="D271" s="13" t="s">
        <v>32</v>
      </c>
    </row>
    <row r="272" spans="1:4">
      <c r="A272" s="44"/>
      <c r="B272" s="22"/>
      <c r="C272" s="22"/>
      <c r="D272" s="52"/>
    </row>
    <row r="273" spans="1:4">
      <c r="A273" s="44"/>
      <c r="B273" s="22"/>
      <c r="C273" s="22"/>
      <c r="D273" s="52"/>
    </row>
    <row r="274" spans="1:4">
      <c r="A274" s="44"/>
      <c r="B274" s="22"/>
      <c r="C274" s="22"/>
      <c r="D274" s="52"/>
    </row>
    <row r="275" spans="1:4">
      <c r="A275" s="44"/>
      <c r="B275" s="22"/>
      <c r="C275" s="22"/>
      <c r="D275" s="52"/>
    </row>
    <row r="276" spans="1:4">
      <c r="A276" s="44"/>
      <c r="B276" s="22"/>
      <c r="C276" s="22"/>
      <c r="D276" s="52"/>
    </row>
    <row r="277" spans="1:4">
      <c r="A277" s="44"/>
      <c r="B277" s="22"/>
      <c r="C277" s="22"/>
      <c r="D277" s="52"/>
    </row>
    <row r="278" spans="1:4">
      <c r="A278" s="44"/>
      <c r="B278" s="22"/>
      <c r="C278" s="22"/>
      <c r="D278" s="52"/>
    </row>
    <row r="279" spans="1:4">
      <c r="A279" s="44"/>
      <c r="B279" s="22"/>
      <c r="C279" s="22"/>
      <c r="D279" s="52"/>
    </row>
    <row r="280" spans="1:4">
      <c r="A280" s="44"/>
      <c r="B280" s="22"/>
      <c r="C280" s="22"/>
      <c r="D280" s="52"/>
    </row>
    <row r="281" spans="1:4">
      <c r="A281" s="44"/>
      <c r="B281" s="22"/>
      <c r="C281" s="22"/>
      <c r="D281" s="52"/>
    </row>
    <row r="282" spans="1:4">
      <c r="A282" s="44"/>
      <c r="B282" s="22"/>
      <c r="C282" s="22"/>
      <c r="D282" s="52"/>
    </row>
    <row r="283" spans="1:4">
      <c r="A283" s="44"/>
      <c r="B283" s="22"/>
      <c r="C283" s="22"/>
      <c r="D283" s="52"/>
    </row>
    <row r="284" spans="1:4">
      <c r="A284" s="44"/>
      <c r="B284" s="22"/>
      <c r="C284" s="22"/>
      <c r="D284" s="52"/>
    </row>
    <row r="285" spans="1:4">
      <c r="A285" s="44"/>
      <c r="B285" s="22"/>
      <c r="C285" s="22"/>
      <c r="D285" s="52"/>
    </row>
    <row r="286" spans="1:4">
      <c r="A286" s="44"/>
      <c r="B286" s="22"/>
      <c r="C286" s="22"/>
      <c r="D286" s="52"/>
    </row>
    <row r="287" spans="1:4">
      <c r="A287" s="44"/>
      <c r="B287" s="22"/>
      <c r="C287" s="22"/>
      <c r="D287" s="52"/>
    </row>
    <row r="288" spans="1:4">
      <c r="A288" s="44"/>
      <c r="B288" s="22"/>
      <c r="C288" s="22"/>
      <c r="D288" s="52"/>
    </row>
    <row r="289" spans="1:4">
      <c r="A289" s="44"/>
      <c r="B289" s="22"/>
      <c r="C289" s="72"/>
      <c r="D289" s="52"/>
    </row>
    <row r="290" spans="1:4">
      <c r="A290" s="44"/>
      <c r="B290" s="22"/>
      <c r="C290" s="22"/>
      <c r="D290" s="52"/>
    </row>
    <row r="291" spans="1:4">
      <c r="A291" s="44"/>
      <c r="B291" s="22"/>
      <c r="C291" s="22"/>
      <c r="D291" s="52"/>
    </row>
    <row r="292" spans="1:4">
      <c r="A292" s="44"/>
      <c r="B292" s="22"/>
      <c r="C292" s="22"/>
      <c r="D292" s="52"/>
    </row>
    <row r="293" spans="1:4">
      <c r="A293" s="44"/>
      <c r="B293" s="22"/>
      <c r="C293" s="22"/>
      <c r="D293" s="52"/>
    </row>
    <row r="294" spans="1:4">
      <c r="A294" s="44"/>
      <c r="B294" s="22"/>
      <c r="C294" s="22"/>
      <c r="D294" s="52"/>
    </row>
    <row r="295" spans="1:4">
      <c r="A295" s="44"/>
      <c r="B295" s="22"/>
      <c r="C295" s="22"/>
      <c r="D295" s="52"/>
    </row>
    <row r="296" spans="1:4">
      <c r="A296" s="44"/>
      <c r="B296" s="22"/>
      <c r="C296" s="22"/>
      <c r="D296" s="52"/>
    </row>
    <row r="297" spans="1:4">
      <c r="A297" s="44"/>
      <c r="B297" s="22"/>
      <c r="C297" s="22"/>
      <c r="D297" s="52"/>
    </row>
    <row r="298" spans="1:4">
      <c r="A298" s="44"/>
      <c r="B298" s="22"/>
      <c r="C298" s="22"/>
      <c r="D298" s="52"/>
    </row>
    <row r="299" spans="1:4">
      <c r="A299" s="44"/>
      <c r="B299" s="22"/>
      <c r="C299" s="22"/>
      <c r="D299" s="52"/>
    </row>
    <row r="300" spans="1:4">
      <c r="A300" s="44"/>
      <c r="B300" s="22"/>
      <c r="C300" s="22"/>
      <c r="D300" s="52"/>
    </row>
    <row r="301" spans="1:4">
      <c r="A301" s="44"/>
      <c r="B301" s="22"/>
      <c r="C301" s="22"/>
      <c r="D301" s="52"/>
    </row>
    <row r="302" spans="1:4" ht="13.8" thickBot="1">
      <c r="A302" s="73"/>
      <c r="B302" s="74"/>
      <c r="C302" s="74"/>
      <c r="D302" s="75"/>
    </row>
    <row r="303" spans="1:4" ht="13.8" thickBot="1">
      <c r="A303" s="73"/>
      <c r="B303" s="74"/>
      <c r="C303" s="74"/>
      <c r="D303" s="75"/>
    </row>
    <row r="305" spans="1:4" ht="13.8" thickBot="1"/>
    <row r="306" spans="1:4" ht="15.6">
      <c r="A306" s="155" t="s">
        <v>466</v>
      </c>
      <c r="B306" s="156"/>
      <c r="C306" s="156"/>
      <c r="D306" s="157"/>
    </row>
    <row r="307" spans="1:4" ht="15.6">
      <c r="A307" s="105" t="s">
        <v>152</v>
      </c>
      <c r="B307" s="8" t="s">
        <v>153</v>
      </c>
      <c r="C307" s="1">
        <v>185</v>
      </c>
      <c r="D307" s="9" t="s">
        <v>154</v>
      </c>
    </row>
    <row r="308" spans="1:4" ht="15.6">
      <c r="A308" s="31" t="s">
        <v>158</v>
      </c>
      <c r="B308" s="32" t="s">
        <v>267</v>
      </c>
      <c r="C308" s="33">
        <f>((SQRT(2)*Vac_on)-Vins_ennom)/(Ivins*uA)/MegOhm</f>
        <v>17.341967269268174</v>
      </c>
      <c r="D308" s="34" t="s">
        <v>246</v>
      </c>
    </row>
    <row r="309" spans="1:4" ht="15.6">
      <c r="A309" s="7" t="s">
        <v>270</v>
      </c>
      <c r="B309" s="8" t="s">
        <v>271</v>
      </c>
      <c r="C309" s="2">
        <v>7.5</v>
      </c>
      <c r="D309" s="57" t="s">
        <v>140</v>
      </c>
    </row>
    <row r="310" spans="1:4" ht="15.6">
      <c r="A310" s="31" t="s">
        <v>273</v>
      </c>
      <c r="B310" s="32" t="s">
        <v>272</v>
      </c>
      <c r="C310" s="33">
        <f>((Vins_ennom*(Rvins1*MegOhm))/((SQRT(2)*(Vac_on))-Vins_ennom-Vf_bridge))/kOhm</f>
        <v>43.406209239736526</v>
      </c>
      <c r="D310" s="34" t="s">
        <v>245</v>
      </c>
    </row>
    <row r="311" spans="1:4" ht="15.6">
      <c r="A311" s="7" t="s">
        <v>274</v>
      </c>
      <c r="B311" s="8" t="s">
        <v>275</v>
      </c>
      <c r="C311" s="2">
        <v>47</v>
      </c>
      <c r="D311" s="57" t="s">
        <v>145</v>
      </c>
    </row>
    <row r="312" spans="1:4" ht="15.6">
      <c r="A312" s="105" t="s">
        <v>461</v>
      </c>
      <c r="B312" s="106" t="s">
        <v>463</v>
      </c>
      <c r="C312" s="107">
        <f>(SQRT(2)*(Vins_ennom+(Rvins1*MegOhm*Vins_ennom/(Rvins2*kOhm))))/2</f>
        <v>170.31494290260238</v>
      </c>
      <c r="D312" s="9" t="s">
        <v>154</v>
      </c>
    </row>
    <row r="313" spans="1:4" ht="15.6">
      <c r="A313" s="105" t="s">
        <v>460</v>
      </c>
      <c r="B313" s="106" t="s">
        <v>464</v>
      </c>
      <c r="C313" s="107">
        <f>(SQRT(2)*(Vins_enmax+(Rvins1*MegOhm*Vins_enmax/(Rvins2*kOhm))))/2</f>
        <v>181.66927242944257</v>
      </c>
      <c r="D313" s="9" t="s">
        <v>154</v>
      </c>
    </row>
    <row r="314" spans="1:4" ht="15.6">
      <c r="A314" s="105" t="s">
        <v>462</v>
      </c>
      <c r="B314" s="106" t="s">
        <v>465</v>
      </c>
      <c r="C314" s="107">
        <f>(SQRT(2)*(Vins_enmin+(Rvins1*MegOhm*Vins_enmin/(Rvins2*kOhm))))/2</f>
        <v>158.96061337576222</v>
      </c>
      <c r="D314" s="9" t="s">
        <v>154</v>
      </c>
    </row>
    <row r="315" spans="1:4" ht="15.6">
      <c r="A315" s="7" t="s">
        <v>155</v>
      </c>
      <c r="B315" s="8" t="s">
        <v>156</v>
      </c>
      <c r="C315" s="41">
        <f>((Vin_rect_max^2)/((Rvins1*MegOhm)+(Rvins2*kOhm)))/mW</f>
        <v>16.562872664634956</v>
      </c>
      <c r="D315" s="9" t="s">
        <v>157</v>
      </c>
    </row>
    <row r="316" spans="1:4" ht="13.8" thickBot="1"/>
    <row r="317" spans="1:4" ht="15.6">
      <c r="A317" s="155" t="s">
        <v>151</v>
      </c>
      <c r="B317" s="156"/>
      <c r="C317" s="156"/>
      <c r="D317" s="157"/>
    </row>
    <row r="318" spans="1:4" ht="15.6">
      <c r="A318" s="105" t="s">
        <v>471</v>
      </c>
      <c r="B318" s="106" t="s">
        <v>472</v>
      </c>
      <c r="C318" s="1">
        <v>170</v>
      </c>
      <c r="D318" s="9" t="s">
        <v>154</v>
      </c>
    </row>
    <row r="319" spans="1:4">
      <c r="A319" s="44"/>
      <c r="B319" s="22"/>
      <c r="C319" s="22"/>
      <c r="D319" s="52"/>
    </row>
    <row r="320" spans="1:4" ht="15.6">
      <c r="A320" s="132" t="s">
        <v>469</v>
      </c>
      <c r="B320" s="130" t="s">
        <v>467</v>
      </c>
      <c r="C320" s="142" t="s">
        <v>468</v>
      </c>
      <c r="D320" s="133"/>
    </row>
    <row r="321" spans="1:4" ht="15.6">
      <c r="A321" s="152"/>
      <c r="B321" s="153"/>
      <c r="C321" s="153"/>
      <c r="D321" s="154"/>
    </row>
    <row r="322" spans="1:4" ht="15.6">
      <c r="A322" s="149" t="str">
        <f>IF(C320="YES","ENTER NUMBER OF HALF-LINE CYCLES REQUIRED FOR INPUT LINE HOLD-UP","CVINS CALCULATED BASED UPON NO HOLD-UP REQUIREMENTS")</f>
        <v>CVINS CALCULATED BASED UPON NO HOLD-UP REQUIREMENTS</v>
      </c>
      <c r="B322" s="150"/>
      <c r="C322" s="150"/>
      <c r="D322" s="151"/>
    </row>
    <row r="323" spans="1:4" ht="15.6">
      <c r="A323" s="105" t="s">
        <v>474</v>
      </c>
      <c r="B323" s="106" t="s">
        <v>473</v>
      </c>
      <c r="C323" s="140">
        <v>2</v>
      </c>
      <c r="D323" s="133"/>
    </row>
    <row r="324" spans="1:4" ht="15.6">
      <c r="A324" s="105" t="s">
        <v>484</v>
      </c>
      <c r="B324" s="106" t="s">
        <v>470</v>
      </c>
      <c r="C324" s="131">
        <f>IF(HU_rqment="YES",(Ninput_hup/(2*fline_min))/ms,(1/(2*fline_min))/ms)</f>
        <v>10.638297872340425</v>
      </c>
      <c r="D324" s="59" t="s">
        <v>125</v>
      </c>
    </row>
    <row r="325" spans="1:4" ht="15.6">
      <c r="A325" s="31" t="s">
        <v>485</v>
      </c>
      <c r="B325" s="32" t="s">
        <v>280</v>
      </c>
      <c r="C325" s="33">
        <f>(-(tinput_hu*ms)/(Rvins2*kOhm*LN((SQRT(2)*Vins_brnnom*(Rvins1*MegOhm+Rvins2*kOhm))/(2*Rvins2*kOhm*Vacoff_desired))))/uF</f>
        <v>0.37595061129406582</v>
      </c>
      <c r="D325" s="36" t="s">
        <v>244</v>
      </c>
    </row>
    <row r="326" spans="1:4" ht="15.6">
      <c r="A326" s="134" t="s">
        <v>490</v>
      </c>
      <c r="B326" s="106" t="s">
        <v>489</v>
      </c>
      <c r="C326" s="141">
        <v>0.33</v>
      </c>
      <c r="D326" s="13" t="s">
        <v>32</v>
      </c>
    </row>
    <row r="327" spans="1:4" ht="15.6">
      <c r="A327" s="105" t="s">
        <v>475</v>
      </c>
      <c r="B327" s="106" t="s">
        <v>481</v>
      </c>
      <c r="C327" s="107" t="str">
        <f>IF(HU_rqment="NO","No Dropout Req'd",(SQRT(2)*Vins_brnnom*EXP((tinput_hu*ms)/(Cvins_hu*uF*Rvins2*kOhm))*(Rvins1*MegOhm+Rvins2*kOhm))/(2*Rvins2*kOhm))</f>
        <v>No Dropout Req'd</v>
      </c>
      <c r="D327" s="9" t="s">
        <v>154</v>
      </c>
    </row>
    <row r="328" spans="1:4" ht="15.6">
      <c r="A328" s="105" t="s">
        <v>477</v>
      </c>
      <c r="B328" s="106" t="s">
        <v>482</v>
      </c>
      <c r="C328" s="107" t="str">
        <f>IF(HU_rqment="NO","No Dropout Req'd",(SQRT(2)*Vins_brnmax*EXP((tinput_hu*ms)/(Cvins_hu*uF*Rvins2*kOhm))*(Rvins1*MegOhm+Rvins2*kOhm))/(2*Rvins2*kOhm))</f>
        <v>No Dropout Req'd</v>
      </c>
      <c r="D328" s="9" t="s">
        <v>154</v>
      </c>
    </row>
    <row r="329" spans="1:4" ht="15.6">
      <c r="A329" s="105" t="s">
        <v>478</v>
      </c>
      <c r="B329" s="106" t="s">
        <v>483</v>
      </c>
      <c r="C329" s="107" t="str">
        <f>IF(HU_rqment="NO","No Dropout Req'd",(SQRT(2)*Vins_brnmin*EXP((tinput_hu*ms)/(Cvins_hu*uF*Rvins2*kOhm))*(Rvins1*MegOhm+Rvins2*kOhm))/(2*Rvins2*kOhm))</f>
        <v>No Dropout Req'd</v>
      </c>
      <c r="D329" s="9" t="s">
        <v>154</v>
      </c>
    </row>
    <row r="330" spans="1:4" ht="15.6">
      <c r="A330" s="105" t="s">
        <v>486</v>
      </c>
      <c r="B330" s="106" t="s">
        <v>476</v>
      </c>
      <c r="C330" s="107">
        <f>(SQRT(2)*Vins_brnnom*EXP((1/(2*fline_min))/(Cvins_hu*uF*Rvins2*kOhm))*(Rvins1*MegOhm+Rvins2*kOhm))/(2*Rvins2*kOhm)</f>
        <v>184.86624509845433</v>
      </c>
      <c r="D330" s="9" t="s">
        <v>154</v>
      </c>
    </row>
    <row r="331" spans="1:4" ht="15.6">
      <c r="A331" s="105" t="s">
        <v>487</v>
      </c>
      <c r="B331" s="106" t="s">
        <v>479</v>
      </c>
      <c r="C331" s="107">
        <f>(SQRT(2)*Vins_brnmax*EXP((1/(2*fline_min))/(Cvins_hu*uF*Rvins2*kOhm))*(Rvins1*MegOhm+Rvins2*kOhm))/(2*Rvins2*kOhm)</f>
        <v>198.39304352029239</v>
      </c>
      <c r="D331" s="9" t="s">
        <v>154</v>
      </c>
    </row>
    <row r="332" spans="1:4" ht="16.2" thickBot="1">
      <c r="A332" s="135" t="s">
        <v>488</v>
      </c>
      <c r="B332" s="136" t="s">
        <v>480</v>
      </c>
      <c r="C332" s="137">
        <f>(SQRT(2)*Vins_brnmin*EXP((1/(2*fline_min))/(Cvins_hu*uF*Rvins2*kOhm))*(Rvins1*MegOhm+Rvins2*kOhm))/(2*Rvins2*kOhm)</f>
        <v>171.33944667661623</v>
      </c>
      <c r="D332" s="17" t="s">
        <v>154</v>
      </c>
    </row>
    <row r="333" spans="1:4">
      <c r="A333"/>
      <c r="B333"/>
      <c r="C333"/>
      <c r="D333"/>
    </row>
    <row r="334" spans="1:4">
      <c r="A334"/>
      <c r="B334"/>
      <c r="C334"/>
      <c r="D334"/>
    </row>
  </sheetData>
  <sheetProtection password="E59D" sheet="1" objects="1" scenarios="1"/>
  <mergeCells count="37">
    <mergeCell ref="A4:D6"/>
    <mergeCell ref="A1:D1"/>
    <mergeCell ref="A115:D115"/>
    <mergeCell ref="A92:D93"/>
    <mergeCell ref="A53:D54"/>
    <mergeCell ref="A10:D10"/>
    <mergeCell ref="A9:D9"/>
    <mergeCell ref="A11:D11"/>
    <mergeCell ref="A55:D55"/>
    <mergeCell ref="A64:D64"/>
    <mergeCell ref="A2:D2"/>
    <mergeCell ref="C7:D7"/>
    <mergeCell ref="A8:D8"/>
    <mergeCell ref="A106:D107"/>
    <mergeCell ref="A3:D3"/>
    <mergeCell ref="A12:D12"/>
    <mergeCell ref="A21:D21"/>
    <mergeCell ref="A47:D47"/>
    <mergeCell ref="A37:D37"/>
    <mergeCell ref="A19:D20"/>
    <mergeCell ref="A35:D36"/>
    <mergeCell ref="A45:D46"/>
    <mergeCell ref="A322:D322"/>
    <mergeCell ref="A321:D321"/>
    <mergeCell ref="A121:D121"/>
    <mergeCell ref="A62:D63"/>
    <mergeCell ref="A74:D75"/>
    <mergeCell ref="A76:D76"/>
    <mergeCell ref="A306:D306"/>
    <mergeCell ref="A317:D317"/>
    <mergeCell ref="A260:D260"/>
    <mergeCell ref="A119:D120"/>
    <mergeCell ref="A141:D142"/>
    <mergeCell ref="A108:D108"/>
    <mergeCell ref="A143:D143"/>
    <mergeCell ref="A94:D94"/>
    <mergeCell ref="A144:D144"/>
  </mergeCells>
  <phoneticPr fontId="6" type="noConversion"/>
  <dataValidations xWindow="1511" yWindow="643" count="3">
    <dataValidation type="list" allowBlank="1" showInputMessage="1" showErrorMessage="1" sqref="C320">
      <formula1>"YES,NO"</formula1>
    </dataValidation>
    <dataValidation type="decimal" operator="greaterThanOrEqual" allowBlank="1" showInputMessage="1" showErrorMessage="1" errorTitle="Half-line Dropout" error="Number of half-line cycles for input line hold-up must be greater than 2 x Nholdup used for output capacitor calculation." promptTitle="Half-Line Dropout Cycles" prompt="Enter number of half-line dropout cycles required for inut hold-up.  If no hold-up required, leave blank." sqref="C323">
      <formula1>2*C110</formula1>
    </dataValidation>
    <dataValidation type="decimal" operator="greaterThanOrEqual" allowBlank="1" showInputMessage="1" showErrorMessage="1" errorTitle="Minimum turnoff voltage" error="Must be greater than or equal to 60% of Vac(on)" promptTitle="Minimum Turn-Off Voltage" prompt="Turn-Off Voltage Must Be Greater Than or Equal to 60% of the Turn-On Voltage (Vac(on))" sqref="C318">
      <formula1>0.6*C307</formula1>
    </dataValidation>
  </dataValidations>
  <pageMargins left="0.75" right="0.75" top="1" bottom="1" header="0.5" footer="0.5"/>
  <pageSetup orientation="portrait" r:id="rId1"/>
  <headerFooter alignWithMargins="0">
    <oddHeader>&amp;L&amp;F&amp;D</oddHeader>
  </headerFooter>
  <drawing r:id="rId2"/>
</worksheet>
</file>

<file path=xl/worksheets/sheet3.xml><?xml version="1.0" encoding="utf-8"?>
<worksheet xmlns="http://schemas.openxmlformats.org/spreadsheetml/2006/main" xmlns:r="http://schemas.openxmlformats.org/officeDocument/2006/relationships">
  <dimension ref="A1:P97"/>
  <sheetViews>
    <sheetView topLeftCell="A4" zoomScale="65" zoomScaleNormal="65" workbookViewId="0">
      <selection sqref="A1:F2"/>
    </sheetView>
  </sheetViews>
  <sheetFormatPr defaultColWidth="9.109375" defaultRowHeight="13.2"/>
  <cols>
    <col min="1" max="1" width="9.109375" style="78"/>
    <col min="2" max="2" width="39" style="78" customWidth="1"/>
    <col min="3" max="3" width="44.6640625" style="78" customWidth="1"/>
    <col min="4" max="4" width="17.5546875" style="78" customWidth="1"/>
    <col min="5" max="5" width="66.6640625" style="78" customWidth="1"/>
    <col min="6" max="16384" width="9.109375" style="78"/>
  </cols>
  <sheetData>
    <row r="1" spans="1:16" ht="21">
      <c r="A1" s="195" t="s">
        <v>368</v>
      </c>
      <c r="B1" s="195"/>
      <c r="C1" s="195"/>
      <c r="D1" s="195"/>
      <c r="E1" s="195"/>
      <c r="F1" s="195"/>
      <c r="G1" s="80"/>
      <c r="H1" s="80"/>
      <c r="I1" s="80"/>
      <c r="J1" s="80"/>
      <c r="K1" s="80"/>
      <c r="L1" s="80"/>
      <c r="M1" s="80"/>
      <c r="N1" s="80"/>
      <c r="O1" s="80"/>
      <c r="P1" s="80"/>
    </row>
    <row r="2" spans="1:16" ht="12.75" customHeight="1">
      <c r="A2" s="195"/>
      <c r="B2" s="195"/>
      <c r="C2" s="195"/>
      <c r="D2" s="195"/>
      <c r="E2" s="195"/>
      <c r="F2" s="195"/>
      <c r="G2" s="80"/>
    </row>
    <row r="35" spans="2:5" ht="13.8" thickBot="1"/>
    <row r="36" spans="2:5" ht="17.399999999999999">
      <c r="B36" s="203" t="s">
        <v>301</v>
      </c>
      <c r="C36" s="204"/>
      <c r="D36" s="204"/>
      <c r="E36" s="205"/>
    </row>
    <row r="37" spans="2:5" ht="21.6" thickBot="1">
      <c r="B37" s="81" t="s">
        <v>302</v>
      </c>
      <c r="C37" s="201" t="s">
        <v>303</v>
      </c>
      <c r="D37" s="201"/>
      <c r="E37" s="202"/>
    </row>
    <row r="38" spans="2:5" ht="20.399999999999999">
      <c r="B38" s="196" t="s">
        <v>304</v>
      </c>
      <c r="C38" s="82" t="s">
        <v>330</v>
      </c>
      <c r="D38" s="193" t="s">
        <v>331</v>
      </c>
      <c r="E38" s="194"/>
    </row>
    <row r="39" spans="2:5" ht="20.399999999999999">
      <c r="B39" s="198"/>
      <c r="C39" s="83" t="s">
        <v>314</v>
      </c>
      <c r="D39" s="83">
        <f>IF(Vin_max&lt;270,250,350)</f>
        <v>250</v>
      </c>
      <c r="E39" s="84" t="str">
        <f>CALCULATIONS!D23</f>
        <v>VRMS</v>
      </c>
    </row>
    <row r="40" spans="2:5" ht="21" thickBot="1">
      <c r="B40" s="197"/>
      <c r="C40" s="85" t="s">
        <v>347</v>
      </c>
      <c r="D40" s="86">
        <f>Ifuse</f>
        <v>4.0296582849774332</v>
      </c>
      <c r="E40" s="87" t="str">
        <f>CALCULATIONS!D34</f>
        <v>A</v>
      </c>
    </row>
    <row r="41" spans="2:5" ht="20.399999999999999">
      <c r="B41" s="196" t="s">
        <v>305</v>
      </c>
      <c r="C41" s="82" t="s">
        <v>309</v>
      </c>
      <c r="D41" s="88">
        <f>CALCULATIONS!C42</f>
        <v>388.90872965260121</v>
      </c>
      <c r="E41" s="89" t="str">
        <f>CALCULATIONS!D42</f>
        <v>V</v>
      </c>
    </row>
    <row r="42" spans="2:5" ht="20.399999999999999">
      <c r="B42" s="198"/>
      <c r="C42" s="83" t="s">
        <v>347</v>
      </c>
      <c r="D42" s="90">
        <f>Ibridge</f>
        <v>3.6279671025028457</v>
      </c>
      <c r="E42" s="84" t="str">
        <f>CALCULATIONS!D41</f>
        <v>A</v>
      </c>
    </row>
    <row r="43" spans="2:5" ht="21" thickBot="1">
      <c r="B43" s="197"/>
      <c r="C43" s="85" t="s">
        <v>313</v>
      </c>
      <c r="D43" s="86">
        <f>Pbridge</f>
        <v>4.5954249965036045</v>
      </c>
      <c r="E43" s="87" t="str">
        <f>CALCULATIONS!D43</f>
        <v>W</v>
      </c>
    </row>
    <row r="44" spans="2:5" ht="20.399999999999999">
      <c r="B44" s="196" t="s">
        <v>306</v>
      </c>
      <c r="C44" s="82" t="s">
        <v>330</v>
      </c>
      <c r="D44" s="193" t="s">
        <v>321</v>
      </c>
      <c r="E44" s="194"/>
    </row>
    <row r="45" spans="2:5" ht="21">
      <c r="B45" s="198"/>
      <c r="C45" s="83" t="s">
        <v>307</v>
      </c>
      <c r="D45" s="90">
        <f>Cin</f>
        <v>0.17220761901612969</v>
      </c>
      <c r="E45" s="91" t="s">
        <v>358</v>
      </c>
    </row>
    <row r="46" spans="2:5" ht="24.6" thickBot="1">
      <c r="B46" s="198"/>
      <c r="C46" s="83" t="s">
        <v>312</v>
      </c>
      <c r="D46" s="92">
        <f>Vin_max</f>
        <v>250</v>
      </c>
      <c r="E46" s="93" t="s">
        <v>359</v>
      </c>
    </row>
    <row r="47" spans="2:5" ht="20.399999999999999">
      <c r="B47" s="196" t="s">
        <v>308</v>
      </c>
      <c r="C47" s="82" t="s">
        <v>310</v>
      </c>
      <c r="D47" s="94">
        <f>IF(Lbst="",CALCULATIONS!C58,Lbst)</f>
        <v>1.3</v>
      </c>
      <c r="E47" s="89" t="str">
        <f>CALCULATIONS!D59</f>
        <v>mH</v>
      </c>
    </row>
    <row r="48" spans="2:5" ht="20.399999999999999">
      <c r="B48" s="198"/>
      <c r="C48" s="83" t="s">
        <v>317</v>
      </c>
      <c r="D48" s="90">
        <f>IF(Il_peak_actual="",I_Lpeak,Il_peak_actual)</f>
        <v>4.3761213424858729</v>
      </c>
      <c r="E48" s="84" t="str">
        <f>CALCULATIONS!D61</f>
        <v>A</v>
      </c>
    </row>
    <row r="49" spans="2:5" ht="20.399999999999999">
      <c r="B49" s="198"/>
      <c r="C49" s="83" t="s">
        <v>318</v>
      </c>
      <c r="D49" s="90">
        <f>Iripple_actual</f>
        <v>1.1538461538461537</v>
      </c>
      <c r="E49" s="84" t="str">
        <f>CALCULATIONS!D60</f>
        <v>A</v>
      </c>
    </row>
    <row r="50" spans="2:5" ht="21" thickBot="1">
      <c r="B50" s="197"/>
      <c r="C50" s="85" t="s">
        <v>34</v>
      </c>
      <c r="D50" s="95">
        <f>Dmax</f>
        <v>0.27476227570610506</v>
      </c>
      <c r="E50" s="87"/>
    </row>
    <row r="51" spans="2:5" ht="20.399999999999999">
      <c r="B51" s="196" t="s">
        <v>311</v>
      </c>
      <c r="C51" s="82" t="s">
        <v>330</v>
      </c>
      <c r="D51" s="193" t="s">
        <v>352</v>
      </c>
      <c r="E51" s="194"/>
    </row>
    <row r="52" spans="2:5" ht="20.399999999999999">
      <c r="B52" s="198"/>
      <c r="C52" s="83" t="s">
        <v>348</v>
      </c>
      <c r="D52" s="90">
        <f>Iin_avg_max</f>
        <v>2.4186447350018971</v>
      </c>
      <c r="E52" s="84" t="str">
        <f>CALCULATIONS!D33</f>
        <v>A</v>
      </c>
    </row>
    <row r="53" spans="2:5" ht="20.399999999999999">
      <c r="B53" s="198"/>
      <c r="C53" s="83" t="s">
        <v>312</v>
      </c>
      <c r="D53" s="83">
        <f>Vout</f>
        <v>390</v>
      </c>
      <c r="E53" s="84" t="str">
        <f>CALCULATIONS!D14</f>
        <v>V</v>
      </c>
    </row>
    <row r="54" spans="2:5" ht="21" thickBot="1">
      <c r="B54" s="197"/>
      <c r="C54" s="85" t="s">
        <v>313</v>
      </c>
      <c r="D54" s="86">
        <f>Pdiode</f>
        <v>1.9230769230769234</v>
      </c>
      <c r="E54" s="87" t="str">
        <f>CALCULATIONS!D72</f>
        <v>W</v>
      </c>
    </row>
    <row r="55" spans="2:5" ht="20.399999999999999">
      <c r="B55" s="196" t="s">
        <v>315</v>
      </c>
      <c r="C55" s="82" t="s">
        <v>330</v>
      </c>
      <c r="D55" s="193" t="s">
        <v>351</v>
      </c>
      <c r="E55" s="194"/>
    </row>
    <row r="56" spans="2:5" ht="20.399999999999999">
      <c r="B56" s="198"/>
      <c r="C56" s="83" t="s">
        <v>322</v>
      </c>
      <c r="D56" s="90">
        <f>Ids_rms</f>
        <v>1.5499981856108678</v>
      </c>
      <c r="E56" s="84" t="str">
        <f>CALCULATIONS!D79</f>
        <v>A</v>
      </c>
    </row>
    <row r="57" spans="2:5" ht="20.399999999999999">
      <c r="B57" s="198"/>
      <c r="C57" s="83" t="s">
        <v>317</v>
      </c>
      <c r="D57" s="90">
        <f>Il_peak_actual</f>
        <v>4.3761213424858729</v>
      </c>
      <c r="E57" s="84" t="str">
        <f>CALCULATIONS!D61</f>
        <v>A</v>
      </c>
    </row>
    <row r="58" spans="2:5" ht="20.399999999999999">
      <c r="B58" s="198"/>
      <c r="C58" s="83" t="s">
        <v>314</v>
      </c>
      <c r="D58" s="92">
        <f>Vin_rect_max</f>
        <v>353.55339059327378</v>
      </c>
      <c r="E58" s="84" t="str">
        <f>CALCULATIONS!D29</f>
        <v>V</v>
      </c>
    </row>
    <row r="59" spans="2:5" ht="21" thickBot="1">
      <c r="B59" s="197"/>
      <c r="C59" s="85" t="s">
        <v>313</v>
      </c>
      <c r="D59" s="86">
        <f>P_FET</f>
        <v>5.1540789925410246</v>
      </c>
      <c r="E59" s="87" t="str">
        <f>CALCULATIONS!D90</f>
        <v>W</v>
      </c>
    </row>
    <row r="60" spans="2:5" ht="20.399999999999999">
      <c r="B60" s="196" t="s">
        <v>316</v>
      </c>
      <c r="C60" s="82" t="s">
        <v>330</v>
      </c>
      <c r="D60" s="193" t="s">
        <v>350</v>
      </c>
      <c r="E60" s="194"/>
    </row>
    <row r="61" spans="2:5" ht="21">
      <c r="B61" s="198"/>
      <c r="C61" s="83" t="s">
        <v>307</v>
      </c>
      <c r="D61" s="83">
        <f>IF(Rsense="",CALCULATIONS!C95,Rsense)</f>
        <v>0.1</v>
      </c>
      <c r="E61" s="91" t="s">
        <v>14</v>
      </c>
    </row>
    <row r="62" spans="2:5" ht="21" thickBot="1">
      <c r="B62" s="197"/>
      <c r="C62" s="85" t="s">
        <v>313</v>
      </c>
      <c r="D62" s="96">
        <f>P_Rsense</f>
        <v>0.72169537305276765</v>
      </c>
      <c r="E62" s="87" t="str">
        <f>CALCULATIONS!D98</f>
        <v>W</v>
      </c>
    </row>
    <row r="63" spans="2:5" ht="20.399999999999999">
      <c r="B63" s="196" t="s">
        <v>319</v>
      </c>
      <c r="C63" s="82" t="s">
        <v>330</v>
      </c>
      <c r="D63" s="199" t="s">
        <v>323</v>
      </c>
      <c r="E63" s="200"/>
    </row>
    <row r="64" spans="2:5" ht="21.6" thickBot="1">
      <c r="B64" s="197"/>
      <c r="C64" s="85" t="s">
        <v>307</v>
      </c>
      <c r="D64" s="85">
        <f>Risense_actual</f>
        <v>330</v>
      </c>
      <c r="E64" s="97" t="s">
        <v>14</v>
      </c>
    </row>
    <row r="65" spans="2:5" ht="20.399999999999999">
      <c r="B65" s="196" t="s">
        <v>320</v>
      </c>
      <c r="C65" s="82" t="s">
        <v>330</v>
      </c>
      <c r="D65" s="193" t="s">
        <v>324</v>
      </c>
      <c r="E65" s="194"/>
    </row>
    <row r="66" spans="2:5" ht="21" thickBot="1">
      <c r="B66" s="197"/>
      <c r="C66" s="85" t="s">
        <v>307</v>
      </c>
      <c r="D66" s="98">
        <f>Cisense</f>
        <v>741.98108667550275</v>
      </c>
      <c r="E66" s="87" t="str">
        <f>CALCULATIONS!D105</f>
        <v>pF</v>
      </c>
    </row>
    <row r="67" spans="2:5" ht="20.399999999999999">
      <c r="B67" s="196" t="s">
        <v>325</v>
      </c>
      <c r="C67" s="82" t="s">
        <v>330</v>
      </c>
      <c r="D67" s="193" t="s">
        <v>326</v>
      </c>
      <c r="E67" s="194"/>
    </row>
    <row r="68" spans="2:5" ht="21">
      <c r="B68" s="198"/>
      <c r="C68" s="83" t="s">
        <v>307</v>
      </c>
      <c r="D68" s="83">
        <f>IF(Cout="",CALCULATIONS!C112,Cout)</f>
        <v>1000</v>
      </c>
      <c r="E68" s="91" t="s">
        <v>358</v>
      </c>
    </row>
    <row r="69" spans="2:5" ht="20.399999999999999">
      <c r="B69" s="198"/>
      <c r="C69" s="83" t="s">
        <v>314</v>
      </c>
      <c r="D69" s="92">
        <f>CALCULATIONS!C134*1.05</f>
        <v>441.92561538461541</v>
      </c>
      <c r="E69" s="84" t="s">
        <v>13</v>
      </c>
    </row>
    <row r="70" spans="2:5" ht="24">
      <c r="B70" s="198"/>
      <c r="C70" s="83" t="s">
        <v>369</v>
      </c>
      <c r="D70" s="99">
        <f>Icout_2fline</f>
        <v>0.90654715536736863</v>
      </c>
      <c r="E70" s="84" t="s">
        <v>360</v>
      </c>
    </row>
    <row r="71" spans="2:5" ht="24.6" thickBot="1">
      <c r="B71" s="197"/>
      <c r="C71" s="85" t="s">
        <v>349</v>
      </c>
      <c r="D71" s="95">
        <f>Icout_HF</f>
        <v>1.1755944836077676</v>
      </c>
      <c r="E71" s="87" t="s">
        <v>360</v>
      </c>
    </row>
    <row r="72" spans="2:5" ht="20.399999999999999">
      <c r="B72" s="196" t="s">
        <v>327</v>
      </c>
      <c r="C72" s="82" t="s">
        <v>330</v>
      </c>
      <c r="D72" s="193" t="s">
        <v>340</v>
      </c>
      <c r="E72" s="194"/>
    </row>
    <row r="73" spans="2:5" ht="21.6" thickBot="1">
      <c r="B73" s="197"/>
      <c r="C73" s="85" t="s">
        <v>307</v>
      </c>
      <c r="D73" s="85">
        <f>IF(_Rfb1="",CALCULATIONS!C122,_Rfb1)</f>
        <v>1.004</v>
      </c>
      <c r="E73" s="87" t="s">
        <v>361</v>
      </c>
    </row>
    <row r="74" spans="2:5" ht="20.399999999999999">
      <c r="B74" s="196" t="s">
        <v>328</v>
      </c>
      <c r="C74" s="82" t="s">
        <v>330</v>
      </c>
      <c r="D74" s="193" t="s">
        <v>329</v>
      </c>
      <c r="E74" s="194"/>
    </row>
    <row r="75" spans="2:5" ht="21.6" thickBot="1">
      <c r="B75" s="197"/>
      <c r="C75" s="85" t="s">
        <v>307</v>
      </c>
      <c r="D75" s="85">
        <f>IF(_Rfb2="",CALCULATIONS!C126,_Rfb2)</f>
        <v>13</v>
      </c>
      <c r="E75" s="87" t="s">
        <v>362</v>
      </c>
    </row>
    <row r="76" spans="2:5" ht="20.399999999999999">
      <c r="B76" s="196" t="s">
        <v>332</v>
      </c>
      <c r="C76" s="82" t="s">
        <v>330</v>
      </c>
      <c r="D76" s="193" t="s">
        <v>333</v>
      </c>
      <c r="E76" s="194"/>
    </row>
    <row r="77" spans="2:5" ht="21" thickBot="1">
      <c r="B77" s="197"/>
      <c r="C77" s="85" t="s">
        <v>307</v>
      </c>
      <c r="D77" s="98">
        <f>Cvsense</f>
        <v>769.2307692307694</v>
      </c>
      <c r="E77" s="87" t="s">
        <v>97</v>
      </c>
    </row>
    <row r="78" spans="2:5" ht="20.25" customHeight="1">
      <c r="B78" s="196" t="s">
        <v>334</v>
      </c>
      <c r="C78" s="82" t="s">
        <v>330</v>
      </c>
      <c r="D78" s="193" t="s">
        <v>333</v>
      </c>
      <c r="E78" s="194"/>
    </row>
    <row r="79" spans="2:5" ht="21" thickBot="1">
      <c r="B79" s="197"/>
      <c r="C79" s="85" t="s">
        <v>307</v>
      </c>
      <c r="D79" s="85">
        <f>IF(CALCULATIONS!C175="",CALCULATIONS!C174,CALCULATIONS!C175)</f>
        <v>800</v>
      </c>
      <c r="E79" s="87" t="s">
        <v>97</v>
      </c>
    </row>
    <row r="80" spans="2:5" ht="20.25" customHeight="1">
      <c r="B80" s="196" t="s">
        <v>335</v>
      </c>
      <c r="C80" s="82" t="s">
        <v>330</v>
      </c>
      <c r="D80" s="193" t="s">
        <v>336</v>
      </c>
      <c r="E80" s="194"/>
    </row>
    <row r="81" spans="2:5" ht="21.6" thickBot="1">
      <c r="B81" s="197"/>
      <c r="C81" s="85" t="s">
        <v>307</v>
      </c>
      <c r="D81" s="85">
        <f>IF(CALCULATIONS!C265="",CALCULATIONS!C264,CALCULATIONS!C265)</f>
        <v>16</v>
      </c>
      <c r="E81" s="97" t="s">
        <v>358</v>
      </c>
    </row>
    <row r="82" spans="2:5" ht="20.399999999999999">
      <c r="B82" s="198" t="s">
        <v>337</v>
      </c>
      <c r="C82" s="83" t="s">
        <v>330</v>
      </c>
      <c r="D82" s="191" t="s">
        <v>329</v>
      </c>
      <c r="E82" s="192"/>
    </row>
    <row r="83" spans="2:5" ht="21.6" thickBot="1">
      <c r="B83" s="197"/>
      <c r="C83" s="85" t="s">
        <v>307</v>
      </c>
      <c r="D83" s="85">
        <f>IF(CALCULATIONS!C267="",CALCULATIONS!C266,CALCULATIONS!C267)</f>
        <v>15</v>
      </c>
      <c r="E83" s="87" t="s">
        <v>362</v>
      </c>
    </row>
    <row r="84" spans="2:5" ht="20.399999999999999">
      <c r="B84" s="196" t="s">
        <v>338</v>
      </c>
      <c r="C84" s="82" t="s">
        <v>330</v>
      </c>
      <c r="D84" s="193" t="s">
        <v>336</v>
      </c>
      <c r="E84" s="194"/>
    </row>
    <row r="85" spans="2:5" ht="21.6" thickBot="1">
      <c r="B85" s="197"/>
      <c r="C85" s="85" t="s">
        <v>307</v>
      </c>
      <c r="D85" s="85">
        <f>IF(CALCULATIONS!C271="",CALCULATIONS!C270,CALCULATIONS!C271)</f>
        <v>0.66</v>
      </c>
      <c r="E85" s="97" t="s">
        <v>363</v>
      </c>
    </row>
    <row r="86" spans="2:5" ht="20.399999999999999">
      <c r="B86" s="198" t="s">
        <v>339</v>
      </c>
      <c r="C86" s="83" t="s">
        <v>330</v>
      </c>
      <c r="D86" s="191" t="s">
        <v>340</v>
      </c>
      <c r="E86" s="192"/>
    </row>
    <row r="87" spans="2:5" ht="21.6" thickBot="1">
      <c r="B87" s="197"/>
      <c r="C87" s="85" t="s">
        <v>307</v>
      </c>
      <c r="D87" s="85">
        <f>IF(CALCULATIONS!C309="",CALCULATIONS!C308,CALCULATIONS!C309)</f>
        <v>7.5</v>
      </c>
      <c r="E87" s="87" t="s">
        <v>361</v>
      </c>
    </row>
    <row r="88" spans="2:5" ht="20.399999999999999">
      <c r="B88" s="196" t="s">
        <v>341</v>
      </c>
      <c r="C88" s="82" t="s">
        <v>330</v>
      </c>
      <c r="D88" s="193" t="s">
        <v>329</v>
      </c>
      <c r="E88" s="194"/>
    </row>
    <row r="89" spans="2:5" ht="21.6" thickBot="1">
      <c r="B89" s="197"/>
      <c r="C89" s="85" t="s">
        <v>307</v>
      </c>
      <c r="D89" s="85">
        <f>IF(CALCULATIONS!C311="",CALCULATIONS!C310,CALCULATIONS!C311)</f>
        <v>47</v>
      </c>
      <c r="E89" s="87" t="s">
        <v>362</v>
      </c>
    </row>
    <row r="90" spans="2:5" ht="20.399999999999999">
      <c r="B90" s="196" t="s">
        <v>342</v>
      </c>
      <c r="C90" s="82" t="s">
        <v>330</v>
      </c>
      <c r="D90" s="193" t="s">
        <v>343</v>
      </c>
      <c r="E90" s="194"/>
    </row>
    <row r="91" spans="2:5" ht="21.6" thickBot="1">
      <c r="B91" s="197"/>
      <c r="C91" s="85" t="s">
        <v>307</v>
      </c>
      <c r="D91" s="95">
        <f>Cvins_hu</f>
        <v>0.33</v>
      </c>
      <c r="E91" s="97" t="s">
        <v>358</v>
      </c>
    </row>
    <row r="92" spans="2:5" ht="20.399999999999999">
      <c r="B92" s="198" t="s">
        <v>344</v>
      </c>
      <c r="C92" s="83" t="s">
        <v>330</v>
      </c>
      <c r="D92" s="191" t="s">
        <v>345</v>
      </c>
      <c r="E92" s="192"/>
    </row>
    <row r="93" spans="2:5" ht="21">
      <c r="B93" s="198"/>
      <c r="C93" s="206" t="s">
        <v>346</v>
      </c>
      <c r="D93" s="83">
        <v>0.1</v>
      </c>
      <c r="E93" s="91" t="s">
        <v>358</v>
      </c>
    </row>
    <row r="94" spans="2:5" ht="21.6" thickBot="1">
      <c r="B94" s="197"/>
      <c r="C94" s="207"/>
      <c r="D94" s="85">
        <v>1</v>
      </c>
      <c r="E94" s="97" t="s">
        <v>358</v>
      </c>
    </row>
    <row r="95" spans="2:5">
      <c r="D95" s="79"/>
    </row>
    <row r="96" spans="2:5">
      <c r="E96"/>
    </row>
    <row r="97" spans="4:4">
      <c r="D97" s="79"/>
    </row>
  </sheetData>
  <sheetProtection password="E59D" sheet="1" objects="1" scenarios="1"/>
  <mergeCells count="44">
    <mergeCell ref="B44:B46"/>
    <mergeCell ref="B47:B50"/>
    <mergeCell ref="B92:B94"/>
    <mergeCell ref="C93:C94"/>
    <mergeCell ref="B84:B85"/>
    <mergeCell ref="B86:B87"/>
    <mergeCell ref="B88:B89"/>
    <mergeCell ref="B90:B91"/>
    <mergeCell ref="B78:B79"/>
    <mergeCell ref="B80:B81"/>
    <mergeCell ref="B82:B83"/>
    <mergeCell ref="B72:B73"/>
    <mergeCell ref="B74:B75"/>
    <mergeCell ref="B76:B77"/>
    <mergeCell ref="B67:B71"/>
    <mergeCell ref="A1:F2"/>
    <mergeCell ref="B65:B66"/>
    <mergeCell ref="B55:B59"/>
    <mergeCell ref="B63:B64"/>
    <mergeCell ref="B38:B40"/>
    <mergeCell ref="B41:B43"/>
    <mergeCell ref="D55:E55"/>
    <mergeCell ref="D60:E60"/>
    <mergeCell ref="D63:E63"/>
    <mergeCell ref="C37:E37"/>
    <mergeCell ref="B36:E36"/>
    <mergeCell ref="D38:E38"/>
    <mergeCell ref="D44:E44"/>
    <mergeCell ref="B51:B54"/>
    <mergeCell ref="B60:B62"/>
    <mergeCell ref="D51:E51"/>
    <mergeCell ref="D92:E92"/>
    <mergeCell ref="D65:E65"/>
    <mergeCell ref="D67:E67"/>
    <mergeCell ref="D72:E72"/>
    <mergeCell ref="D74:E74"/>
    <mergeCell ref="D76:E76"/>
    <mergeCell ref="D78:E78"/>
    <mergeCell ref="D90:E90"/>
    <mergeCell ref="D84:E84"/>
    <mergeCell ref="D86:E86"/>
    <mergeCell ref="D88:E88"/>
    <mergeCell ref="D82:E82"/>
    <mergeCell ref="D80:E80"/>
  </mergeCells>
  <phoneticPr fontId="6" type="noConversion"/>
  <pageMargins left="0.75" right="0.75" top="1" bottom="1" header="0.5" footer="0.5"/>
  <pageSetup orientation="portrait" r:id="rId1"/>
  <headerFooter alignWithMargins="0"/>
  <legacyDrawing r:id="rId2"/>
  <oleObjects>
    <oleObject progId="Visio.Drawing.6" shapeId="8194" r:id="rId3"/>
  </oleObjects>
</worksheet>
</file>

<file path=xl/worksheets/sheet4.xml><?xml version="1.0" encoding="utf-8"?>
<worksheet xmlns="http://schemas.openxmlformats.org/spreadsheetml/2006/main" xmlns:r="http://schemas.openxmlformats.org/officeDocument/2006/relationships">
  <sheetPr codeName="Sheet2"/>
  <dimension ref="A2:Y382"/>
  <sheetViews>
    <sheetView topLeftCell="A4" workbookViewId="0">
      <selection activeCell="H4" sqref="H4"/>
    </sheetView>
  </sheetViews>
  <sheetFormatPr defaultColWidth="9.109375" defaultRowHeight="13.2"/>
  <cols>
    <col min="1" max="3" width="9.109375" style="108"/>
    <col min="4" max="4" width="29.44140625" style="108" customWidth="1"/>
    <col min="5" max="6" width="9.109375" style="108"/>
    <col min="7" max="7" width="12.44140625" style="108" bestFit="1" customWidth="1"/>
    <col min="8" max="8" width="12.6640625" style="108" customWidth="1"/>
    <col min="9" max="9" width="13.44140625" style="108" customWidth="1"/>
    <col min="10" max="10" width="20.44140625" style="108" customWidth="1"/>
    <col min="11" max="11" width="43.109375" style="108" customWidth="1"/>
    <col min="12" max="12" width="14.44140625" style="108" customWidth="1"/>
    <col min="13" max="13" width="24.88671875" style="108" customWidth="1"/>
    <col min="14" max="14" width="9.109375" style="108"/>
    <col min="15" max="15" width="16" style="108" customWidth="1"/>
    <col min="16" max="16" width="33.6640625" style="108" customWidth="1"/>
    <col min="17" max="17" width="9.109375" style="108"/>
    <col min="18" max="18" width="23.109375" style="108" customWidth="1"/>
    <col min="19" max="19" width="20.6640625" style="108" customWidth="1"/>
    <col min="20" max="20" width="19.88671875" style="108" customWidth="1"/>
    <col min="21" max="16384" width="9.109375" style="108"/>
  </cols>
  <sheetData>
    <row r="2" spans="2:9" ht="15.6">
      <c r="B2" s="115" t="s">
        <v>416</v>
      </c>
      <c r="C2" s="115">
        <f>65*kHz</f>
        <v>65000</v>
      </c>
      <c r="G2" s="118" t="s">
        <v>417</v>
      </c>
      <c r="H2" s="118">
        <v>0.66</v>
      </c>
      <c r="I2" s="118" t="s">
        <v>13</v>
      </c>
    </row>
    <row r="3" spans="2:9" ht="15.6">
      <c r="B3" s="116" t="s">
        <v>380</v>
      </c>
      <c r="C3" s="117">
        <f>10^-3</f>
        <v>1E-3</v>
      </c>
      <c r="G3" s="118" t="s">
        <v>418</v>
      </c>
      <c r="H3" s="118">
        <v>1.1499999999999999</v>
      </c>
      <c r="I3" s="118" t="s">
        <v>13</v>
      </c>
    </row>
    <row r="4" spans="2:9" ht="13.8">
      <c r="B4" s="116" t="s">
        <v>381</v>
      </c>
      <c r="C4" s="117">
        <f>(10^-6)</f>
        <v>9.9999999999999995E-7</v>
      </c>
      <c r="G4" s="118" t="s">
        <v>419</v>
      </c>
      <c r="H4" s="118">
        <v>5</v>
      </c>
      <c r="I4" s="118" t="s">
        <v>13</v>
      </c>
    </row>
    <row r="5" spans="2:9" ht="13.8">
      <c r="B5" s="116" t="s">
        <v>382</v>
      </c>
      <c r="C5" s="117">
        <f>10^3</f>
        <v>1000</v>
      </c>
      <c r="G5" s="118" t="s">
        <v>420</v>
      </c>
      <c r="H5" s="118">
        <v>5.25</v>
      </c>
      <c r="I5" s="118" t="s">
        <v>13</v>
      </c>
    </row>
    <row r="6" spans="2:9" ht="13.8">
      <c r="B6" s="116" t="s">
        <v>383</v>
      </c>
      <c r="C6" s="117">
        <f>10^-3</f>
        <v>1E-3</v>
      </c>
      <c r="G6" s="118" t="s">
        <v>432</v>
      </c>
      <c r="H6" s="118">
        <v>5.38</v>
      </c>
      <c r="I6" s="118" t="s">
        <v>13</v>
      </c>
    </row>
    <row r="7" spans="2:9" ht="13.8">
      <c r="B7" s="116" t="s">
        <v>384</v>
      </c>
      <c r="C7" s="117">
        <f>10^-3</f>
        <v>1E-3</v>
      </c>
      <c r="G7" s="118" t="s">
        <v>433</v>
      </c>
      <c r="H7" s="118">
        <v>5.12</v>
      </c>
      <c r="I7" s="118" t="s">
        <v>13</v>
      </c>
    </row>
    <row r="8" spans="2:9" ht="13.8">
      <c r="B8" s="116" t="s">
        <v>385</v>
      </c>
      <c r="C8" s="117">
        <f>10^-3</f>
        <v>1E-3</v>
      </c>
      <c r="G8" s="118" t="s">
        <v>421</v>
      </c>
      <c r="H8" s="118">
        <v>4.75</v>
      </c>
      <c r="I8" s="118" t="s">
        <v>13</v>
      </c>
    </row>
    <row r="9" spans="2:9" ht="13.8">
      <c r="B9" s="116" t="s">
        <v>386</v>
      </c>
      <c r="C9" s="117">
        <f>10^-6</f>
        <v>9.9999999999999995E-7</v>
      </c>
      <c r="G9" s="118" t="s">
        <v>436</v>
      </c>
      <c r="H9" s="118">
        <v>4.87</v>
      </c>
      <c r="I9" s="118" t="s">
        <v>13</v>
      </c>
    </row>
    <row r="10" spans="2:9" ht="13.8">
      <c r="B10" s="116" t="s">
        <v>387</v>
      </c>
      <c r="C10" s="117">
        <f>10^-6</f>
        <v>9.9999999999999995E-7</v>
      </c>
      <c r="G10" s="118" t="s">
        <v>437</v>
      </c>
      <c r="H10" s="118">
        <v>4.63</v>
      </c>
      <c r="I10" s="118" t="s">
        <v>13</v>
      </c>
    </row>
    <row r="11" spans="2:9" ht="15.6">
      <c r="B11" s="116" t="s">
        <v>388</v>
      </c>
      <c r="C11" s="117">
        <f>10^-9</f>
        <v>1.0000000000000001E-9</v>
      </c>
      <c r="G11" s="118" t="s">
        <v>422</v>
      </c>
      <c r="H11" s="118">
        <v>0.01</v>
      </c>
      <c r="I11" s="118" t="s">
        <v>125</v>
      </c>
    </row>
    <row r="12" spans="2:9" ht="15.6">
      <c r="B12" s="116" t="s">
        <v>389</v>
      </c>
      <c r="C12" s="117">
        <f>10^-3</f>
        <v>1E-3</v>
      </c>
      <c r="G12" s="118" t="s">
        <v>427</v>
      </c>
      <c r="H12" s="118">
        <v>1.6</v>
      </c>
      <c r="I12" s="118" t="s">
        <v>13</v>
      </c>
    </row>
    <row r="13" spans="2:9" ht="15.6">
      <c r="B13" s="116" t="s">
        <v>390</v>
      </c>
      <c r="C13" s="117">
        <f>10^-12</f>
        <v>9.9999999999999998E-13</v>
      </c>
      <c r="G13" s="118" t="s">
        <v>456</v>
      </c>
      <c r="H13" s="118">
        <v>1.4</v>
      </c>
      <c r="I13" s="118" t="s">
        <v>13</v>
      </c>
    </row>
    <row r="14" spans="2:9" ht="15.6">
      <c r="B14" s="116" t="s">
        <v>391</v>
      </c>
      <c r="C14" s="117">
        <f>10^6</f>
        <v>1000000</v>
      </c>
      <c r="G14" s="118" t="s">
        <v>455</v>
      </c>
      <c r="H14" s="118">
        <v>1.5</v>
      </c>
      <c r="I14" s="118" t="s">
        <v>13</v>
      </c>
    </row>
    <row r="15" spans="2:9" ht="15.6">
      <c r="B15" s="116" t="s">
        <v>392</v>
      </c>
      <c r="C15" s="117">
        <f>10^-6</f>
        <v>9.9999999999999995E-7</v>
      </c>
      <c r="G15" s="118" t="s">
        <v>457</v>
      </c>
      <c r="H15" s="118">
        <v>0.76</v>
      </c>
      <c r="I15" s="118" t="s">
        <v>13</v>
      </c>
    </row>
    <row r="16" spans="2:9" ht="15.6">
      <c r="B16" s="116" t="s">
        <v>393</v>
      </c>
      <c r="C16" s="117">
        <f>10^3</f>
        <v>1000</v>
      </c>
      <c r="G16" s="118" t="s">
        <v>458</v>
      </c>
      <c r="H16" s="118">
        <v>0.88</v>
      </c>
      <c r="I16" s="118" t="s">
        <v>13</v>
      </c>
    </row>
    <row r="17" spans="1:12" ht="15.6">
      <c r="B17" s="116" t="s">
        <v>394</v>
      </c>
      <c r="C17" s="117">
        <f>10^-9</f>
        <v>1.0000000000000001E-9</v>
      </c>
      <c r="G17" s="118" t="s">
        <v>459</v>
      </c>
      <c r="H17" s="118">
        <v>0.82</v>
      </c>
      <c r="I17" s="118" t="s">
        <v>13</v>
      </c>
    </row>
    <row r="18" spans="1:12" ht="15.6">
      <c r="B18" s="116" t="s">
        <v>395</v>
      </c>
      <c r="C18" s="117">
        <f>10^-9</f>
        <v>1.0000000000000001E-9</v>
      </c>
      <c r="G18" s="118" t="s">
        <v>452</v>
      </c>
      <c r="H18" s="118">
        <v>2.1999999999999999E-2</v>
      </c>
      <c r="I18" s="118" t="s">
        <v>20</v>
      </c>
    </row>
    <row r="19" spans="1:12" ht="15.6">
      <c r="B19" s="116" t="s">
        <v>396</v>
      </c>
      <c r="C19" s="117">
        <f>10^-6</f>
        <v>9.9999999999999995E-7</v>
      </c>
      <c r="G19" s="118" t="s">
        <v>429</v>
      </c>
      <c r="H19" s="118">
        <v>15</v>
      </c>
      <c r="I19" s="118" t="s">
        <v>428</v>
      </c>
    </row>
    <row r="20" spans="1:12" ht="13.8">
      <c r="B20" s="115" t="s">
        <v>397</v>
      </c>
      <c r="C20" s="117">
        <f>10^6</f>
        <v>1000000</v>
      </c>
    </row>
    <row r="21" spans="1:12" ht="13.8">
      <c r="B21" s="115" t="s">
        <v>398</v>
      </c>
      <c r="C21" s="117">
        <f>10^-3</f>
        <v>1E-3</v>
      </c>
    </row>
    <row r="22" spans="1:12" ht="13.8">
      <c r="B22" s="115" t="s">
        <v>423</v>
      </c>
      <c r="C22" s="117">
        <f>(10^-6)</f>
        <v>9.9999999999999995E-7</v>
      </c>
    </row>
    <row r="23" spans="1:12" ht="13.8">
      <c r="A23" s="114"/>
      <c r="B23" s="115" t="s">
        <v>424</v>
      </c>
      <c r="C23" s="117">
        <f>10^-3</f>
        <v>1E-3</v>
      </c>
      <c r="D23" s="114"/>
      <c r="E23" s="114"/>
    </row>
    <row r="24" spans="1:12" ht="13.8">
      <c r="B24" s="114"/>
      <c r="C24" s="114"/>
      <c r="D24" s="114"/>
      <c r="E24" s="114"/>
    </row>
    <row r="25" spans="1:12" ht="13.8">
      <c r="B25" s="114"/>
      <c r="E25" s="114"/>
    </row>
    <row r="26" spans="1:12" ht="13.8">
      <c r="B26" s="114"/>
      <c r="E26" s="114"/>
    </row>
    <row r="27" spans="1:12" ht="13.8">
      <c r="B27" s="114"/>
      <c r="E27" s="114"/>
    </row>
    <row r="28" spans="1:12" ht="13.8">
      <c r="B28" s="114"/>
      <c r="E28" s="114"/>
    </row>
    <row r="29" spans="1:12" ht="13.8">
      <c r="B29" s="114"/>
      <c r="E29" s="114"/>
    </row>
    <row r="30" spans="1:12" ht="13.8">
      <c r="A30" s="208" t="s">
        <v>177</v>
      </c>
      <c r="B30" s="208"/>
      <c r="C30" s="208"/>
      <c r="D30" s="208"/>
      <c r="E30" s="114"/>
    </row>
    <row r="31" spans="1:12" ht="13.8">
      <c r="E31" s="114"/>
    </row>
    <row r="32" spans="1:12" ht="13.8">
      <c r="A32" s="125" t="s">
        <v>167</v>
      </c>
      <c r="B32" s="125" t="s">
        <v>171</v>
      </c>
      <c r="C32" s="125" t="s">
        <v>172</v>
      </c>
      <c r="D32" s="125" t="s">
        <v>166</v>
      </c>
      <c r="F32" s="114"/>
      <c r="I32" s="114"/>
      <c r="L32" s="114"/>
    </row>
    <row r="33" spans="1:12" ht="13.8">
      <c r="A33" s="125">
        <v>0</v>
      </c>
      <c r="B33" s="109">
        <f>IF(A33&lt;2,(0.064),IF(A33&lt;3,(0.139*A33-0.214),IF(A33&lt;5.5,(0.279*A33-0.632),IF(A33&lt;7,0.903,"VCOMP MUST BE &lt; 7"))))</f>
        <v>6.4000000000000001E-2</v>
      </c>
      <c r="C33" s="109">
        <f>IF(A33&lt;=1.5,0,IF(A33&lt;5.6,(0.1223*(A33-1.5)^2),IF(A33&lt;7,2.056,"VCOMP MUST BE &lt; 7")))</f>
        <v>0</v>
      </c>
      <c r="D33" s="122">
        <f>B33*C33</f>
        <v>0</v>
      </c>
      <c r="F33" s="114"/>
      <c r="I33" s="114"/>
      <c r="L33" s="114"/>
    </row>
    <row r="34" spans="1:12" ht="13.8">
      <c r="A34" s="125">
        <f>A33+0.05</f>
        <v>0.05</v>
      </c>
      <c r="B34" s="109">
        <f t="shared" ref="B34:B97" si="0">IF(A34&lt;2,(0.064),IF(A34&lt;3,(0.139*A34-0.214),IF(A34&lt;5.5,(0.279*A34-0.632),IF(A34&lt;7,0.903,"VCOMP MUST BE &lt; 7"))))</f>
        <v>6.4000000000000001E-2</v>
      </c>
      <c r="C34" s="109">
        <f t="shared" ref="C34:C39" si="1">IF(A34&lt;=1.5,0,IF(A34&lt;5.6,(0.1223*(A34-1.5)^2),IF(A34&lt;7,2.056,"VCOMP MUST BE &lt; 7")))</f>
        <v>0</v>
      </c>
      <c r="D34" s="122">
        <f t="shared" ref="D34:D97" si="2">B34*C34</f>
        <v>0</v>
      </c>
      <c r="F34" s="114"/>
      <c r="I34" s="114"/>
      <c r="L34" s="114"/>
    </row>
    <row r="35" spans="1:12" ht="13.8">
      <c r="A35" s="125">
        <f>A34+0.05</f>
        <v>0.1</v>
      </c>
      <c r="B35" s="109">
        <f t="shared" si="0"/>
        <v>6.4000000000000001E-2</v>
      </c>
      <c r="C35" s="109">
        <f t="shared" si="1"/>
        <v>0</v>
      </c>
      <c r="D35" s="122">
        <f t="shared" si="2"/>
        <v>0</v>
      </c>
      <c r="F35" s="114"/>
      <c r="I35" s="114"/>
      <c r="L35" s="114"/>
    </row>
    <row r="36" spans="1:12" ht="13.8">
      <c r="A36" s="125">
        <f>A35+0.05</f>
        <v>0.15000000000000002</v>
      </c>
      <c r="B36" s="109">
        <f t="shared" si="0"/>
        <v>6.4000000000000001E-2</v>
      </c>
      <c r="C36" s="109">
        <f t="shared" si="1"/>
        <v>0</v>
      </c>
      <c r="D36" s="122">
        <f t="shared" si="2"/>
        <v>0</v>
      </c>
      <c r="F36" s="114"/>
      <c r="I36" s="114"/>
      <c r="L36" s="114"/>
    </row>
    <row r="37" spans="1:12" ht="13.8">
      <c r="A37" s="125">
        <f t="shared" ref="A37:A68" si="3">A36+0.05</f>
        <v>0.2</v>
      </c>
      <c r="B37" s="109">
        <f t="shared" si="0"/>
        <v>6.4000000000000001E-2</v>
      </c>
      <c r="C37" s="109">
        <f t="shared" si="1"/>
        <v>0</v>
      </c>
      <c r="D37" s="122">
        <f t="shared" si="2"/>
        <v>0</v>
      </c>
      <c r="F37" s="114"/>
      <c r="I37" s="114"/>
      <c r="L37" s="114"/>
    </row>
    <row r="38" spans="1:12" ht="13.8">
      <c r="A38" s="125">
        <f t="shared" si="3"/>
        <v>0.25</v>
      </c>
      <c r="B38" s="109">
        <f t="shared" si="0"/>
        <v>6.4000000000000001E-2</v>
      </c>
      <c r="C38" s="109">
        <f t="shared" si="1"/>
        <v>0</v>
      </c>
      <c r="D38" s="122">
        <f t="shared" si="2"/>
        <v>0</v>
      </c>
      <c r="F38" s="114"/>
      <c r="I38" s="114"/>
      <c r="L38" s="114"/>
    </row>
    <row r="39" spans="1:12" ht="13.8">
      <c r="A39" s="125">
        <f t="shared" si="3"/>
        <v>0.3</v>
      </c>
      <c r="B39" s="109">
        <f t="shared" si="0"/>
        <v>6.4000000000000001E-2</v>
      </c>
      <c r="C39" s="109">
        <f t="shared" si="1"/>
        <v>0</v>
      </c>
      <c r="D39" s="122">
        <f t="shared" si="2"/>
        <v>0</v>
      </c>
      <c r="F39" s="114"/>
      <c r="I39" s="114"/>
      <c r="L39" s="114"/>
    </row>
    <row r="40" spans="1:12" ht="13.8">
      <c r="A40" s="125">
        <f t="shared" si="3"/>
        <v>0.35</v>
      </c>
      <c r="B40" s="109">
        <f t="shared" si="0"/>
        <v>6.4000000000000001E-2</v>
      </c>
      <c r="C40" s="109">
        <f t="shared" ref="C40:C55" si="4">IF(A40&lt;=1.5,0,IF(A40&lt;5.6,(0.1223*(A40-1.5)^2),IF(A40&lt;7,2.056,"VCOMP MUST BE &lt; 7")))</f>
        <v>0</v>
      </c>
      <c r="D40" s="122">
        <f t="shared" si="2"/>
        <v>0</v>
      </c>
      <c r="F40" s="114"/>
      <c r="I40" s="114"/>
      <c r="L40" s="114"/>
    </row>
    <row r="41" spans="1:12" ht="13.8">
      <c r="A41" s="125">
        <f>A40+0.05</f>
        <v>0.39999999999999997</v>
      </c>
      <c r="B41" s="109">
        <f t="shared" si="0"/>
        <v>6.4000000000000001E-2</v>
      </c>
      <c r="C41" s="109">
        <f t="shared" si="4"/>
        <v>0</v>
      </c>
      <c r="D41" s="122">
        <f t="shared" si="2"/>
        <v>0</v>
      </c>
      <c r="F41" s="114"/>
      <c r="I41" s="114"/>
      <c r="L41" s="114"/>
    </row>
    <row r="42" spans="1:12" ht="13.8">
      <c r="A42" s="125">
        <f t="shared" si="3"/>
        <v>0.44999999999999996</v>
      </c>
      <c r="B42" s="109">
        <f t="shared" si="0"/>
        <v>6.4000000000000001E-2</v>
      </c>
      <c r="C42" s="109">
        <f t="shared" si="4"/>
        <v>0</v>
      </c>
      <c r="D42" s="122">
        <f t="shared" si="2"/>
        <v>0</v>
      </c>
      <c r="F42" s="114"/>
      <c r="I42" s="114"/>
      <c r="L42" s="114"/>
    </row>
    <row r="43" spans="1:12" ht="13.8">
      <c r="A43" s="125">
        <f t="shared" si="3"/>
        <v>0.49999999999999994</v>
      </c>
      <c r="B43" s="109">
        <f t="shared" si="0"/>
        <v>6.4000000000000001E-2</v>
      </c>
      <c r="C43" s="109">
        <f t="shared" si="4"/>
        <v>0</v>
      </c>
      <c r="D43" s="122">
        <f t="shared" si="2"/>
        <v>0</v>
      </c>
      <c r="F43" s="114"/>
      <c r="I43" s="114"/>
      <c r="L43" s="114"/>
    </row>
    <row r="44" spans="1:12" ht="13.8">
      <c r="A44" s="125">
        <f t="shared" si="3"/>
        <v>0.54999999999999993</v>
      </c>
      <c r="B44" s="109">
        <f t="shared" si="0"/>
        <v>6.4000000000000001E-2</v>
      </c>
      <c r="C44" s="109">
        <f t="shared" si="4"/>
        <v>0</v>
      </c>
      <c r="D44" s="122">
        <f t="shared" si="2"/>
        <v>0</v>
      </c>
      <c r="F44" s="114"/>
      <c r="I44" s="114"/>
      <c r="L44" s="114"/>
    </row>
    <row r="45" spans="1:12" ht="13.8">
      <c r="A45" s="125">
        <f t="shared" si="3"/>
        <v>0.6</v>
      </c>
      <c r="B45" s="109">
        <f t="shared" si="0"/>
        <v>6.4000000000000001E-2</v>
      </c>
      <c r="C45" s="109">
        <f t="shared" si="4"/>
        <v>0</v>
      </c>
      <c r="D45" s="122">
        <f t="shared" si="2"/>
        <v>0</v>
      </c>
      <c r="F45" s="114"/>
      <c r="I45" s="114"/>
      <c r="L45" s="114"/>
    </row>
    <row r="46" spans="1:12" ht="13.8">
      <c r="A46" s="125">
        <f t="shared" si="3"/>
        <v>0.65</v>
      </c>
      <c r="B46" s="109">
        <f t="shared" si="0"/>
        <v>6.4000000000000001E-2</v>
      </c>
      <c r="C46" s="109">
        <f t="shared" si="4"/>
        <v>0</v>
      </c>
      <c r="D46" s="122">
        <f t="shared" si="2"/>
        <v>0</v>
      </c>
      <c r="F46" s="114"/>
      <c r="I46" s="114"/>
      <c r="L46" s="114"/>
    </row>
    <row r="47" spans="1:12" ht="13.8">
      <c r="A47" s="125">
        <f t="shared" si="3"/>
        <v>0.70000000000000007</v>
      </c>
      <c r="B47" s="109">
        <f t="shared" si="0"/>
        <v>6.4000000000000001E-2</v>
      </c>
      <c r="C47" s="109">
        <f t="shared" si="4"/>
        <v>0</v>
      </c>
      <c r="D47" s="122">
        <f t="shared" si="2"/>
        <v>0</v>
      </c>
      <c r="F47" s="114"/>
      <c r="I47" s="114"/>
      <c r="L47" s="114"/>
    </row>
    <row r="48" spans="1:12" ht="13.8">
      <c r="A48" s="125">
        <f t="shared" si="3"/>
        <v>0.75000000000000011</v>
      </c>
      <c r="B48" s="109">
        <f t="shared" si="0"/>
        <v>6.4000000000000001E-2</v>
      </c>
      <c r="C48" s="109">
        <f t="shared" si="4"/>
        <v>0</v>
      </c>
      <c r="D48" s="122">
        <f t="shared" si="2"/>
        <v>0</v>
      </c>
      <c r="F48" s="114"/>
      <c r="I48" s="114"/>
      <c r="L48" s="114"/>
    </row>
    <row r="49" spans="1:12" ht="13.8">
      <c r="A49" s="125">
        <f t="shared" si="3"/>
        <v>0.80000000000000016</v>
      </c>
      <c r="B49" s="109">
        <f t="shared" si="0"/>
        <v>6.4000000000000001E-2</v>
      </c>
      <c r="C49" s="109">
        <f t="shared" si="4"/>
        <v>0</v>
      </c>
      <c r="D49" s="122">
        <f t="shared" si="2"/>
        <v>0</v>
      </c>
      <c r="F49" s="114"/>
      <c r="I49" s="114"/>
      <c r="L49" s="114"/>
    </row>
    <row r="50" spans="1:12" ht="13.8">
      <c r="A50" s="125">
        <f t="shared" si="3"/>
        <v>0.8500000000000002</v>
      </c>
      <c r="B50" s="109">
        <f t="shared" si="0"/>
        <v>6.4000000000000001E-2</v>
      </c>
      <c r="C50" s="109">
        <f t="shared" si="4"/>
        <v>0</v>
      </c>
      <c r="D50" s="122">
        <f t="shared" si="2"/>
        <v>0</v>
      </c>
      <c r="F50" s="114"/>
      <c r="I50" s="114"/>
      <c r="L50" s="114"/>
    </row>
    <row r="51" spans="1:12" ht="13.8">
      <c r="A51" s="125">
        <f t="shared" si="3"/>
        <v>0.90000000000000024</v>
      </c>
      <c r="B51" s="109">
        <f t="shared" si="0"/>
        <v>6.4000000000000001E-2</v>
      </c>
      <c r="C51" s="109">
        <f t="shared" si="4"/>
        <v>0</v>
      </c>
      <c r="D51" s="122">
        <f t="shared" si="2"/>
        <v>0</v>
      </c>
      <c r="F51" s="114"/>
      <c r="I51" s="114"/>
      <c r="L51" s="114"/>
    </row>
    <row r="52" spans="1:12" ht="13.8">
      <c r="A52" s="125">
        <f t="shared" si="3"/>
        <v>0.95000000000000029</v>
      </c>
      <c r="B52" s="109">
        <f t="shared" si="0"/>
        <v>6.4000000000000001E-2</v>
      </c>
      <c r="C52" s="109">
        <f t="shared" si="4"/>
        <v>0</v>
      </c>
      <c r="D52" s="122">
        <f t="shared" si="2"/>
        <v>0</v>
      </c>
      <c r="F52" s="114"/>
      <c r="I52" s="114"/>
      <c r="L52" s="114"/>
    </row>
    <row r="53" spans="1:12" ht="13.8">
      <c r="A53" s="125">
        <f t="shared" si="3"/>
        <v>1.0000000000000002</v>
      </c>
      <c r="B53" s="109">
        <f t="shared" si="0"/>
        <v>6.4000000000000001E-2</v>
      </c>
      <c r="C53" s="109">
        <f t="shared" si="4"/>
        <v>0</v>
      </c>
      <c r="D53" s="122">
        <f t="shared" si="2"/>
        <v>0</v>
      </c>
      <c r="F53" s="114"/>
      <c r="I53" s="114"/>
      <c r="L53" s="114"/>
    </row>
    <row r="54" spans="1:12" ht="13.8">
      <c r="A54" s="125">
        <f t="shared" si="3"/>
        <v>1.0500000000000003</v>
      </c>
      <c r="B54" s="109">
        <f t="shared" si="0"/>
        <v>6.4000000000000001E-2</v>
      </c>
      <c r="C54" s="109">
        <f t="shared" si="4"/>
        <v>0</v>
      </c>
      <c r="D54" s="122">
        <f t="shared" si="2"/>
        <v>0</v>
      </c>
      <c r="F54" s="114"/>
      <c r="I54" s="114"/>
      <c r="L54" s="114"/>
    </row>
    <row r="55" spans="1:12" ht="13.8">
      <c r="A55" s="125">
        <f t="shared" si="3"/>
        <v>1.1000000000000003</v>
      </c>
      <c r="B55" s="109">
        <f t="shared" si="0"/>
        <v>6.4000000000000001E-2</v>
      </c>
      <c r="C55" s="109">
        <f t="shared" si="4"/>
        <v>0</v>
      </c>
      <c r="D55" s="122">
        <f t="shared" si="2"/>
        <v>0</v>
      </c>
      <c r="F55" s="114"/>
      <c r="I55" s="114"/>
      <c r="L55" s="114"/>
    </row>
    <row r="56" spans="1:12" ht="13.8">
      <c r="A56" s="125">
        <f t="shared" si="3"/>
        <v>1.1500000000000004</v>
      </c>
      <c r="B56" s="109">
        <f t="shared" si="0"/>
        <v>6.4000000000000001E-2</v>
      </c>
      <c r="C56" s="109">
        <f t="shared" ref="C56:C68" si="5">IF(A56&lt;=1.5,0,IF(A56&lt;5.6,(0.1223*(A56-1.5)^2),IF(A56&lt;7,2.056,"VCOMP MUST BE &lt; 7")))</f>
        <v>0</v>
      </c>
      <c r="D56" s="122">
        <f t="shared" si="2"/>
        <v>0</v>
      </c>
      <c r="F56" s="114"/>
      <c r="I56" s="114"/>
      <c r="L56" s="114"/>
    </row>
    <row r="57" spans="1:12" ht="13.8">
      <c r="A57" s="125">
        <f t="shared" si="3"/>
        <v>1.2000000000000004</v>
      </c>
      <c r="B57" s="109">
        <f t="shared" si="0"/>
        <v>6.4000000000000001E-2</v>
      </c>
      <c r="C57" s="109">
        <f t="shared" si="5"/>
        <v>0</v>
      </c>
      <c r="D57" s="122">
        <f t="shared" si="2"/>
        <v>0</v>
      </c>
      <c r="F57" s="114"/>
      <c r="I57" s="114"/>
      <c r="L57" s="114"/>
    </row>
    <row r="58" spans="1:12" ht="13.8">
      <c r="A58" s="125">
        <f t="shared" si="3"/>
        <v>1.2500000000000004</v>
      </c>
      <c r="B58" s="109">
        <f t="shared" si="0"/>
        <v>6.4000000000000001E-2</v>
      </c>
      <c r="C58" s="109">
        <f t="shared" si="5"/>
        <v>0</v>
      </c>
      <c r="D58" s="122">
        <f t="shared" si="2"/>
        <v>0</v>
      </c>
      <c r="F58" s="114"/>
      <c r="I58" s="114"/>
      <c r="L58" s="114"/>
    </row>
    <row r="59" spans="1:12" ht="13.8">
      <c r="A59" s="125">
        <f t="shared" si="3"/>
        <v>1.3000000000000005</v>
      </c>
      <c r="B59" s="109">
        <f t="shared" si="0"/>
        <v>6.4000000000000001E-2</v>
      </c>
      <c r="C59" s="109">
        <f t="shared" si="5"/>
        <v>0</v>
      </c>
      <c r="D59" s="122">
        <f t="shared" si="2"/>
        <v>0</v>
      </c>
      <c r="F59" s="114"/>
      <c r="I59" s="114"/>
      <c r="L59" s="114"/>
    </row>
    <row r="60" spans="1:12" ht="13.8">
      <c r="A60" s="125">
        <f t="shared" si="3"/>
        <v>1.3500000000000005</v>
      </c>
      <c r="B60" s="109">
        <f t="shared" si="0"/>
        <v>6.4000000000000001E-2</v>
      </c>
      <c r="C60" s="109">
        <f t="shared" si="5"/>
        <v>0</v>
      </c>
      <c r="D60" s="122">
        <f t="shared" si="2"/>
        <v>0</v>
      </c>
      <c r="F60" s="114"/>
      <c r="I60" s="114"/>
      <c r="L60" s="114"/>
    </row>
    <row r="61" spans="1:12" ht="13.8">
      <c r="A61" s="125">
        <f>A60+0.05</f>
        <v>1.4000000000000006</v>
      </c>
      <c r="B61" s="109">
        <f t="shared" si="0"/>
        <v>6.4000000000000001E-2</v>
      </c>
      <c r="C61" s="109">
        <f t="shared" si="5"/>
        <v>0</v>
      </c>
      <c r="D61" s="122">
        <f t="shared" si="2"/>
        <v>0</v>
      </c>
      <c r="F61" s="114"/>
      <c r="I61" s="114"/>
      <c r="L61" s="114"/>
    </row>
    <row r="62" spans="1:12" ht="13.8">
      <c r="A62" s="125">
        <f t="shared" si="3"/>
        <v>1.4500000000000006</v>
      </c>
      <c r="B62" s="109">
        <f t="shared" si="0"/>
        <v>6.4000000000000001E-2</v>
      </c>
      <c r="C62" s="109">
        <f t="shared" si="5"/>
        <v>0</v>
      </c>
      <c r="D62" s="122">
        <f t="shared" si="2"/>
        <v>0</v>
      </c>
      <c r="F62" s="114"/>
      <c r="I62" s="114"/>
      <c r="L62" s="114"/>
    </row>
    <row r="63" spans="1:12" ht="13.8">
      <c r="A63" s="125">
        <f t="shared" si="3"/>
        <v>1.5000000000000007</v>
      </c>
      <c r="B63" s="109">
        <f t="shared" si="0"/>
        <v>6.4000000000000001E-2</v>
      </c>
      <c r="C63" s="109">
        <f t="shared" si="5"/>
        <v>0</v>
      </c>
      <c r="D63" s="122">
        <f t="shared" si="2"/>
        <v>0</v>
      </c>
      <c r="F63" s="114"/>
      <c r="I63" s="114"/>
      <c r="J63" s="114"/>
      <c r="K63" s="114"/>
      <c r="L63" s="114"/>
    </row>
    <row r="64" spans="1:12">
      <c r="A64" s="125">
        <f t="shared" si="3"/>
        <v>1.5500000000000007</v>
      </c>
      <c r="B64" s="109">
        <f t="shared" si="0"/>
        <v>6.4000000000000001E-2</v>
      </c>
      <c r="C64" s="109">
        <f t="shared" si="5"/>
        <v>3.0575000000000871E-4</v>
      </c>
      <c r="D64" s="122">
        <f t="shared" si="2"/>
        <v>1.9568000000000559E-5</v>
      </c>
    </row>
    <row r="65" spans="1:12">
      <c r="A65" s="125">
        <f t="shared" si="3"/>
        <v>1.6000000000000008</v>
      </c>
      <c r="B65" s="109">
        <f t="shared" si="0"/>
        <v>6.4000000000000001E-2</v>
      </c>
      <c r="C65" s="109">
        <f t="shared" si="5"/>
        <v>1.2230000000000186E-3</v>
      </c>
      <c r="D65" s="122">
        <f t="shared" si="2"/>
        <v>7.8272000000001191E-5</v>
      </c>
    </row>
    <row r="66" spans="1:12">
      <c r="A66" s="125">
        <f>A65+0.05</f>
        <v>1.6500000000000008</v>
      </c>
      <c r="B66" s="109">
        <f t="shared" si="0"/>
        <v>6.4000000000000001E-2</v>
      </c>
      <c r="C66" s="109">
        <f t="shared" si="5"/>
        <v>2.7517500000000293E-3</v>
      </c>
      <c r="D66" s="122">
        <f t="shared" si="2"/>
        <v>1.7611200000000189E-4</v>
      </c>
    </row>
    <row r="67" spans="1:12">
      <c r="A67" s="125">
        <f t="shared" si="3"/>
        <v>1.7000000000000008</v>
      </c>
      <c r="B67" s="109">
        <f t="shared" si="0"/>
        <v>6.4000000000000001E-2</v>
      </c>
      <c r="C67" s="109">
        <f t="shared" si="5"/>
        <v>4.8920000000000421E-3</v>
      </c>
      <c r="D67" s="122">
        <f t="shared" si="2"/>
        <v>3.1308800000000271E-4</v>
      </c>
    </row>
    <row r="68" spans="1:12" ht="16.2">
      <c r="A68" s="125">
        <f t="shared" si="3"/>
        <v>1.7500000000000009</v>
      </c>
      <c r="B68" s="109">
        <f t="shared" si="0"/>
        <v>6.4000000000000001E-2</v>
      </c>
      <c r="C68" s="109">
        <f t="shared" si="5"/>
        <v>7.643750000000055E-3</v>
      </c>
      <c r="D68" s="122">
        <f t="shared" si="2"/>
        <v>4.8920000000000354E-4</v>
      </c>
      <c r="G68" s="115" t="s">
        <v>399</v>
      </c>
      <c r="H68" s="115">
        <v>7</v>
      </c>
      <c r="J68"/>
      <c r="K68"/>
      <c r="L68"/>
    </row>
    <row r="69" spans="1:12" ht="16.2">
      <c r="A69" s="125">
        <f t="shared" ref="A69:A85" si="6">A68+0.05</f>
        <v>1.8000000000000009</v>
      </c>
      <c r="B69" s="109">
        <f t="shared" si="0"/>
        <v>6.4000000000000001E-2</v>
      </c>
      <c r="C69" s="109">
        <f t="shared" ref="C69:C85" si="7">IF(A69&lt;=1.5,0,IF(A69&lt;5.6,(0.1223*(A69-1.5)^2),IF(A69&lt;7,2.056,"VCOMP MUST BE &lt; 7")))</f>
        <v>1.1007000000000071E-2</v>
      </c>
      <c r="D69" s="122">
        <f t="shared" si="2"/>
        <v>7.0444800000000454E-4</v>
      </c>
      <c r="G69" s="115" t="s">
        <v>400</v>
      </c>
      <c r="H69" s="115">
        <f>1/(fsw)</f>
        <v>1.5384615384615384E-5</v>
      </c>
      <c r="J69"/>
      <c r="K69"/>
      <c r="L69"/>
    </row>
    <row r="70" spans="1:12" ht="16.2">
      <c r="A70" s="125">
        <f t="shared" si="6"/>
        <v>1.850000000000001</v>
      </c>
      <c r="B70" s="109">
        <f t="shared" si="0"/>
        <v>6.4000000000000001E-2</v>
      </c>
      <c r="C70" s="109">
        <f t="shared" si="7"/>
        <v>1.4981750000000084E-2</v>
      </c>
      <c r="D70" s="122">
        <f t="shared" si="2"/>
        <v>9.5883200000000538E-4</v>
      </c>
      <c r="G70" s="115" t="s">
        <v>401</v>
      </c>
      <c r="H70" s="115">
        <f>fsw</f>
        <v>65000</v>
      </c>
      <c r="J70"/>
      <c r="K70"/>
      <c r="L70"/>
    </row>
    <row r="71" spans="1:12" ht="16.2">
      <c r="A71" s="125">
        <f t="shared" si="6"/>
        <v>1.900000000000001</v>
      </c>
      <c r="B71" s="109">
        <f t="shared" si="0"/>
        <v>6.4000000000000001E-2</v>
      </c>
      <c r="C71" s="109">
        <f t="shared" si="7"/>
        <v>1.9568000000000099E-2</v>
      </c>
      <c r="D71" s="122">
        <f t="shared" si="2"/>
        <v>1.2523520000000063E-3</v>
      </c>
      <c r="G71" s="115" t="s">
        <v>425</v>
      </c>
      <c r="H71" s="115">
        <f>42*uSiemens</f>
        <v>4.1999999999999998E-5</v>
      </c>
      <c r="J71"/>
      <c r="K71"/>
      <c r="L71"/>
    </row>
    <row r="72" spans="1:12" ht="15.6">
      <c r="A72" s="125">
        <f t="shared" si="6"/>
        <v>1.9500000000000011</v>
      </c>
      <c r="B72" s="109">
        <f t="shared" si="0"/>
        <v>6.4000000000000001E-2</v>
      </c>
      <c r="C72" s="109">
        <f t="shared" si="7"/>
        <v>2.4765750000000118E-2</v>
      </c>
      <c r="D72" s="122">
        <f t="shared" si="2"/>
        <v>1.5850080000000075E-3</v>
      </c>
      <c r="G72" s="106" t="s">
        <v>426</v>
      </c>
      <c r="H72" s="115">
        <f>0.95*mSiemens</f>
        <v>9.5E-4</v>
      </c>
      <c r="J72"/>
      <c r="K72"/>
      <c r="L72"/>
    </row>
    <row r="73" spans="1:12">
      <c r="A73" s="125">
        <f t="shared" si="6"/>
        <v>2.0000000000000009</v>
      </c>
      <c r="B73" s="109">
        <f t="shared" si="0"/>
        <v>6.400000000000014E-2</v>
      </c>
      <c r="C73" s="109">
        <f t="shared" si="7"/>
        <v>3.0575000000000109E-2</v>
      </c>
      <c r="D73" s="122">
        <f t="shared" si="2"/>
        <v>1.9568000000000111E-3</v>
      </c>
      <c r="J73"/>
      <c r="K73"/>
      <c r="L73"/>
    </row>
    <row r="74" spans="1:12" ht="13.8">
      <c r="A74" s="125">
        <f t="shared" si="6"/>
        <v>2.0500000000000007</v>
      </c>
      <c r="B74" s="109">
        <f t="shared" si="0"/>
        <v>7.0950000000000152E-2</v>
      </c>
      <c r="C74" s="109">
        <f t="shared" si="7"/>
        <v>3.6995750000000098E-2</v>
      </c>
      <c r="D74" s="122">
        <f t="shared" si="2"/>
        <v>2.6248484625000126E-3</v>
      </c>
      <c r="G74" s="115" t="s">
        <v>166</v>
      </c>
      <c r="H74" s="115">
        <f>M1M2_calc</f>
        <v>0.18290289186366679</v>
      </c>
      <c r="J74"/>
      <c r="K74"/>
      <c r="L74"/>
    </row>
    <row r="75" spans="1:12" ht="13.8">
      <c r="A75" s="125">
        <f t="shared" si="6"/>
        <v>2.1000000000000005</v>
      </c>
      <c r="B75" s="109">
        <f t="shared" si="0"/>
        <v>7.7900000000000108E-2</v>
      </c>
      <c r="C75" s="109">
        <f t="shared" si="7"/>
        <v>4.4028000000000081E-2</v>
      </c>
      <c r="D75" s="122">
        <f t="shared" si="2"/>
        <v>3.4297812000000111E-3</v>
      </c>
      <c r="G75" s="210"/>
      <c r="H75" s="211"/>
      <c r="J75"/>
      <c r="K75"/>
      <c r="L75"/>
    </row>
    <row r="76" spans="1:12" ht="13.8">
      <c r="A76" s="125">
        <f t="shared" si="6"/>
        <v>2.1500000000000004</v>
      </c>
      <c r="B76" s="109">
        <f t="shared" si="0"/>
        <v>8.4850000000000064E-2</v>
      </c>
      <c r="C76" s="109">
        <f t="shared" si="7"/>
        <v>5.1671750000000065E-2</v>
      </c>
      <c r="D76" s="122">
        <f t="shared" si="2"/>
        <v>4.3843479875000091E-3</v>
      </c>
      <c r="G76" s="115" t="s">
        <v>402</v>
      </c>
      <c r="H76" s="115">
        <f>11.3030795592389*SQRT(M1M2_calc)+1.5</f>
        <v>6.3340047247835258</v>
      </c>
      <c r="J76"/>
      <c r="K76"/>
      <c r="L76"/>
    </row>
    <row r="77" spans="1:12">
      <c r="A77" s="125">
        <f t="shared" si="6"/>
        <v>2.2000000000000002</v>
      </c>
      <c r="B77" s="109">
        <f t="shared" si="0"/>
        <v>9.1800000000000076E-2</v>
      </c>
      <c r="C77" s="109">
        <f t="shared" si="7"/>
        <v>5.9927000000000036E-2</v>
      </c>
      <c r="D77" s="122">
        <f t="shared" si="2"/>
        <v>5.501298600000008E-3</v>
      </c>
      <c r="F77"/>
      <c r="G77"/>
      <c r="H77"/>
      <c r="I77"/>
      <c r="J77"/>
      <c r="K77"/>
      <c r="L77"/>
    </row>
    <row r="78" spans="1:12" ht="16.2">
      <c r="A78" s="125">
        <f t="shared" si="6"/>
        <v>2.25</v>
      </c>
      <c r="B78" s="109">
        <f t="shared" si="0"/>
        <v>9.8750000000000032E-2</v>
      </c>
      <c r="C78" s="109">
        <f t="shared" si="7"/>
        <v>6.8793750000000001E-2</v>
      </c>
      <c r="D78" s="122">
        <f t="shared" si="2"/>
        <v>6.7933828125000019E-3</v>
      </c>
      <c r="G78" s="115" t="s">
        <v>403</v>
      </c>
      <c r="H78" s="115">
        <v>1.7396155018431199E-4</v>
      </c>
      <c r="J78" s="124" t="s">
        <v>493</v>
      </c>
      <c r="K78"/>
      <c r="L78"/>
    </row>
    <row r="79" spans="1:12" ht="16.2">
      <c r="A79" s="125">
        <f t="shared" si="6"/>
        <v>2.2999999999999998</v>
      </c>
      <c r="B79" s="109">
        <f t="shared" si="0"/>
        <v>0.10569999999999999</v>
      </c>
      <c r="C79" s="109">
        <f t="shared" si="7"/>
        <v>7.8271999999999967E-2</v>
      </c>
      <c r="D79" s="122">
        <f t="shared" si="2"/>
        <v>8.2733503999999954E-3</v>
      </c>
      <c r="G79" s="115" t="s">
        <v>404</v>
      </c>
      <c r="H79" s="115">
        <v>29.4122837461837</v>
      </c>
      <c r="J79"/>
      <c r="K79"/>
      <c r="L79"/>
    </row>
    <row r="80" spans="1:12" ht="16.2">
      <c r="A80" s="125">
        <f t="shared" si="6"/>
        <v>2.3499999999999996</v>
      </c>
      <c r="B80" s="109">
        <f t="shared" si="0"/>
        <v>0.11265</v>
      </c>
      <c r="C80" s="109">
        <f t="shared" si="7"/>
        <v>8.8361749999999933E-2</v>
      </c>
      <c r="D80" s="122">
        <f t="shared" si="2"/>
        <v>9.9539511374999931E-3</v>
      </c>
      <c r="G80" s="115" t="s">
        <v>405</v>
      </c>
      <c r="H80" s="115">
        <v>865.08243516602499</v>
      </c>
      <c r="J80"/>
      <c r="K80"/>
      <c r="L80"/>
    </row>
    <row r="81" spans="1:12" ht="16.2">
      <c r="A81" s="125">
        <f t="shared" si="6"/>
        <v>2.3999999999999995</v>
      </c>
      <c r="B81" s="109">
        <f t="shared" si="0"/>
        <v>0.11959999999999996</v>
      </c>
      <c r="C81" s="109">
        <f t="shared" si="7"/>
        <v>9.9062999999999887E-2</v>
      </c>
      <c r="D81" s="122">
        <f t="shared" si="2"/>
        <v>1.1847934799999982E-2</v>
      </c>
      <c r="G81" s="115" t="s">
        <v>406</v>
      </c>
      <c r="H81" s="115">
        <v>1.3497043459092801E-4</v>
      </c>
      <c r="J81"/>
      <c r="K81"/>
      <c r="L81"/>
    </row>
    <row r="82" spans="1:12" ht="16.2">
      <c r="A82" s="125">
        <f t="shared" si="6"/>
        <v>2.4499999999999993</v>
      </c>
      <c r="B82" s="109">
        <f t="shared" si="0"/>
        <v>0.12654999999999991</v>
      </c>
      <c r="C82" s="109">
        <f t="shared" si="7"/>
        <v>0.11037574999999984</v>
      </c>
      <c r="D82" s="122">
        <f t="shared" si="2"/>
        <v>1.3968051162499971E-2</v>
      </c>
      <c r="G82" s="115" t="s">
        <v>444</v>
      </c>
      <c r="H82" s="123">
        <v>1.36240383007478E-33</v>
      </c>
      <c r="J82"/>
      <c r="K82"/>
      <c r="L82"/>
    </row>
    <row r="83" spans="1:12" ht="16.2">
      <c r="A83" s="125">
        <f t="shared" si="6"/>
        <v>2.4999999999999991</v>
      </c>
      <c r="B83" s="109">
        <f t="shared" si="0"/>
        <v>0.13349999999999992</v>
      </c>
      <c r="C83" s="109">
        <f t="shared" si="7"/>
        <v>0.12229999999999978</v>
      </c>
      <c r="D83" s="122">
        <f t="shared" si="2"/>
        <v>1.6327049999999961E-2</v>
      </c>
      <c r="G83" s="115" t="s">
        <v>445</v>
      </c>
      <c r="H83" s="115">
        <v>2.2944568969153899E-6</v>
      </c>
      <c r="J83"/>
      <c r="K83"/>
      <c r="L83"/>
    </row>
    <row r="84" spans="1:12" ht="16.2">
      <c r="A84" s="125">
        <f t="shared" si="6"/>
        <v>2.5499999999999989</v>
      </c>
      <c r="B84" s="109">
        <f t="shared" si="0"/>
        <v>0.14044999999999988</v>
      </c>
      <c r="C84" s="109">
        <f t="shared" si="7"/>
        <v>0.13483574999999973</v>
      </c>
      <c r="D84" s="122">
        <f t="shared" si="2"/>
        <v>1.8937681087499946E-2</v>
      </c>
      <c r="G84" s="115" t="s">
        <v>446</v>
      </c>
      <c r="H84" s="115">
        <v>1.51318944844124</v>
      </c>
      <c r="J84"/>
      <c r="K84"/>
      <c r="L84"/>
    </row>
    <row r="85" spans="1:12" ht="13.8">
      <c r="A85" s="125">
        <f t="shared" si="6"/>
        <v>2.5999999999999988</v>
      </c>
      <c r="B85" s="109">
        <f t="shared" si="0"/>
        <v>0.14739999999999984</v>
      </c>
      <c r="C85" s="109">
        <f t="shared" si="7"/>
        <v>0.14798299999999967</v>
      </c>
      <c r="D85" s="122">
        <f t="shared" si="2"/>
        <v>2.1812694199999927E-2</v>
      </c>
      <c r="G85" s="115" t="s">
        <v>407</v>
      </c>
      <c r="H85" s="115">
        <f>(a_1/((b_1*M1M2_calc+SQRT(c_1*M1M2_calc^2+d_1*M1M2_calc-e_1)+f_1)^(1/3)))+((b_1*M1M2_calc+SQRT(c_1*M1M2_calc^2+d_1*M1M2_calc-e_1)+f_1)^(1/3))+g_1</f>
        <v>3.7208993305652749</v>
      </c>
      <c r="J85"/>
      <c r="K85"/>
      <c r="L85"/>
    </row>
    <row r="86" spans="1:12">
      <c r="A86" s="125">
        <f t="shared" ref="A86:A128" si="8">A85+0.05</f>
        <v>2.6499999999999986</v>
      </c>
      <c r="B86" s="109">
        <f t="shared" si="0"/>
        <v>0.15434999999999985</v>
      </c>
      <c r="C86" s="109">
        <f t="shared" ref="C86:C128" si="9">IF(A86&lt;=1.5,0,IF(A86&lt;5.6,(0.1223*(A86-1.5)^2),IF(A86&lt;7,2.056,"VCOMP MUST BE &lt; 7")))</f>
        <v>0.1617417499999996</v>
      </c>
      <c r="D86" s="122">
        <f t="shared" si="2"/>
        <v>2.4964839112499915E-2</v>
      </c>
      <c r="J86"/>
      <c r="K86"/>
      <c r="L86"/>
    </row>
    <row r="87" spans="1:12">
      <c r="A87" s="125">
        <f t="shared" si="8"/>
        <v>2.6999999999999984</v>
      </c>
      <c r="B87" s="109">
        <f t="shared" si="0"/>
        <v>0.1612999999999998</v>
      </c>
      <c r="C87" s="109">
        <f t="shared" si="9"/>
        <v>0.17611199999999955</v>
      </c>
      <c r="D87" s="122">
        <f t="shared" si="2"/>
        <v>2.8406865599999893E-2</v>
      </c>
      <c r="F87"/>
      <c r="G87"/>
      <c r="H87"/>
      <c r="J87"/>
      <c r="K87"/>
      <c r="L87"/>
    </row>
    <row r="88" spans="1:12" ht="16.2">
      <c r="A88" s="125">
        <f t="shared" si="8"/>
        <v>2.7499999999999982</v>
      </c>
      <c r="B88" s="109">
        <f t="shared" si="0"/>
        <v>0.16824999999999982</v>
      </c>
      <c r="C88" s="109">
        <f t="shared" si="9"/>
        <v>0.19109374999999948</v>
      </c>
      <c r="D88" s="122">
        <f t="shared" si="2"/>
        <v>3.2151523437499878E-2</v>
      </c>
      <c r="G88" s="115" t="s">
        <v>408</v>
      </c>
      <c r="H88" s="115">
        <v>6.5064611765579095E-2</v>
      </c>
      <c r="J88"/>
      <c r="K88"/>
      <c r="L88"/>
    </row>
    <row r="89" spans="1:12" ht="16.2">
      <c r="A89" s="125">
        <f t="shared" si="8"/>
        <v>2.799999999999998</v>
      </c>
      <c r="B89" s="109">
        <f t="shared" si="0"/>
        <v>0.17519999999999977</v>
      </c>
      <c r="C89" s="109">
        <f t="shared" si="9"/>
        <v>0.20668699999999937</v>
      </c>
      <c r="D89" s="122">
        <f t="shared" si="2"/>
        <v>3.6211562399999841E-2</v>
      </c>
      <c r="G89" s="115" t="s">
        <v>409</v>
      </c>
      <c r="H89" s="115">
        <v>14.653431687166799</v>
      </c>
      <c r="J89"/>
      <c r="K89"/>
      <c r="L89"/>
    </row>
    <row r="90" spans="1:12" ht="16.2">
      <c r="A90" s="125">
        <f t="shared" si="8"/>
        <v>2.8499999999999979</v>
      </c>
      <c r="B90" s="109">
        <f t="shared" si="0"/>
        <v>0.18214999999999973</v>
      </c>
      <c r="C90" s="109">
        <f t="shared" si="9"/>
        <v>0.22289174999999931</v>
      </c>
      <c r="D90" s="122">
        <f t="shared" si="2"/>
        <v>4.0599732262499813E-2</v>
      </c>
      <c r="G90" s="115" t="s">
        <v>410</v>
      </c>
      <c r="H90" s="115">
        <v>214.72306021046401</v>
      </c>
      <c r="J90"/>
      <c r="K90"/>
      <c r="L90"/>
    </row>
    <row r="91" spans="1:12" ht="16.2">
      <c r="A91" s="125">
        <f t="shared" si="8"/>
        <v>2.8999999999999977</v>
      </c>
      <c r="B91" s="109">
        <f t="shared" si="0"/>
        <v>0.18909999999999974</v>
      </c>
      <c r="C91" s="109">
        <f t="shared" si="9"/>
        <v>0.23970799999999923</v>
      </c>
      <c r="D91" s="122">
        <f t="shared" si="2"/>
        <v>4.5328782799999794E-2</v>
      </c>
      <c r="G91" s="115" t="s">
        <v>411</v>
      </c>
      <c r="H91" s="115">
        <v>0.486392202252173</v>
      </c>
      <c r="J91"/>
      <c r="K91"/>
      <c r="L91"/>
    </row>
    <row r="92" spans="1:12" ht="16.2">
      <c r="A92" s="125">
        <f t="shared" si="8"/>
        <v>2.9499999999999975</v>
      </c>
      <c r="B92" s="109">
        <f t="shared" si="0"/>
        <v>0.1960499999999997</v>
      </c>
      <c r="C92" s="109">
        <f t="shared" si="9"/>
        <v>0.25713574999999916</v>
      </c>
      <c r="D92" s="122">
        <f t="shared" si="2"/>
        <v>5.0411463787499756E-2</v>
      </c>
      <c r="G92" s="115" t="s">
        <v>447</v>
      </c>
      <c r="H92" s="123">
        <v>5.3371370618859003E-30</v>
      </c>
      <c r="J92"/>
      <c r="K92"/>
      <c r="L92"/>
    </row>
    <row r="93" spans="1:12" ht="16.2">
      <c r="A93" s="125">
        <f t="shared" si="8"/>
        <v>2.9999999999999973</v>
      </c>
      <c r="B93" s="109">
        <f t="shared" si="0"/>
        <v>0.20499999999999929</v>
      </c>
      <c r="C93" s="109">
        <f t="shared" si="9"/>
        <v>0.27517499999999906</v>
      </c>
      <c r="D93" s="122">
        <f t="shared" si="2"/>
        <v>5.6410874999999611E-2</v>
      </c>
      <c r="G93" s="115" t="s">
        <v>448</v>
      </c>
      <c r="H93" s="115">
        <v>1.6596528807587899E-2</v>
      </c>
      <c r="J93"/>
      <c r="K93"/>
      <c r="L93"/>
    </row>
    <row r="94" spans="1:12" ht="16.2">
      <c r="A94" s="125">
        <f t="shared" si="8"/>
        <v>3.0499999999999972</v>
      </c>
      <c r="B94" s="109">
        <f t="shared" si="0"/>
        <v>0.21894999999999931</v>
      </c>
      <c r="C94" s="109">
        <f t="shared" si="9"/>
        <v>0.29382574999999889</v>
      </c>
      <c r="D94" s="122">
        <f t="shared" si="2"/>
        <v>6.4333147962499559E-2</v>
      </c>
      <c r="G94" s="115" t="s">
        <v>449</v>
      </c>
      <c r="H94" s="115">
        <v>1.75507765830346</v>
      </c>
      <c r="J94"/>
      <c r="K94"/>
      <c r="L94"/>
    </row>
    <row r="95" spans="1:12" ht="13.8">
      <c r="A95" s="125">
        <f t="shared" si="8"/>
        <v>3.099999999999997</v>
      </c>
      <c r="B95" s="109">
        <f t="shared" si="0"/>
        <v>0.23289999999999922</v>
      </c>
      <c r="C95" s="109">
        <f t="shared" si="9"/>
        <v>0.31308799999999881</v>
      </c>
      <c r="D95" s="122">
        <f t="shared" si="2"/>
        <v>7.291819519999948E-2</v>
      </c>
      <c r="G95" s="115" t="s">
        <v>412</v>
      </c>
      <c r="H95" s="115">
        <f>(a_2/((b_2*M1M2_calc+SQRT(c_2*M1M2_calc^2+d_2*M1M2_calc-e_2)+f_2)^(1/3)))+((b_2*M1M2_calc+SQRT(c_2*M1M2_calc^2+d_2*M1M2_calc-e_2)+f_2)^(1/3))+g_2</f>
        <v>3.5458802006225056</v>
      </c>
      <c r="J95"/>
      <c r="K95"/>
      <c r="L95"/>
    </row>
    <row r="96" spans="1:12">
      <c r="A96" s="125">
        <f t="shared" si="8"/>
        <v>3.1499999999999968</v>
      </c>
      <c r="B96" s="109">
        <f t="shared" si="0"/>
        <v>0.24684999999999924</v>
      </c>
      <c r="C96" s="109">
        <f t="shared" si="9"/>
        <v>0.33296174999999872</v>
      </c>
      <c r="D96" s="122">
        <f t="shared" si="2"/>
        <v>8.2191607987499429E-2</v>
      </c>
      <c r="G96"/>
      <c r="H96"/>
      <c r="J96"/>
      <c r="K96"/>
      <c r="L96"/>
    </row>
    <row r="97" spans="1:12">
      <c r="A97" s="125">
        <f t="shared" si="8"/>
        <v>3.1999999999999966</v>
      </c>
      <c r="B97" s="109">
        <f t="shared" si="0"/>
        <v>0.26079999999999914</v>
      </c>
      <c r="C97" s="109">
        <f t="shared" si="9"/>
        <v>0.35344699999999862</v>
      </c>
      <c r="D97" s="122">
        <f t="shared" si="2"/>
        <v>9.2178977599999337E-2</v>
      </c>
      <c r="J97"/>
      <c r="K97"/>
      <c r="L97"/>
    </row>
    <row r="98" spans="1:12" ht="13.8">
      <c r="A98" s="125">
        <f t="shared" si="8"/>
        <v>3.2499999999999964</v>
      </c>
      <c r="B98" s="109">
        <f t="shared" ref="B98:B161" si="10">IF(A98&lt;2,(0.064),IF(A98&lt;3,(0.139*A98-0.214),IF(A98&lt;5.5,(0.279*A98-0.632),IF(A98&lt;7,0.903,"VCOMP MUST BE &lt; 7"))))</f>
        <v>0.27474999999999905</v>
      </c>
      <c r="C98" s="109">
        <f t="shared" si="9"/>
        <v>0.37454374999999851</v>
      </c>
      <c r="D98" s="122">
        <f t="shared" ref="D98:D161" si="11">B98*C98</f>
        <v>0.10290589531249923</v>
      </c>
      <c r="G98" s="126"/>
      <c r="H98" s="127"/>
      <c r="J98"/>
      <c r="K98"/>
      <c r="L98"/>
    </row>
    <row r="99" spans="1:12" ht="16.2">
      <c r="A99" s="125">
        <f t="shared" si="8"/>
        <v>3.2999999999999963</v>
      </c>
      <c r="B99" s="109">
        <f t="shared" si="10"/>
        <v>0.28869999999999907</v>
      </c>
      <c r="C99" s="109">
        <f t="shared" si="9"/>
        <v>0.39625199999999838</v>
      </c>
      <c r="D99" s="122">
        <f t="shared" si="11"/>
        <v>0.11439795239999917</v>
      </c>
      <c r="G99" s="115" t="s">
        <v>413</v>
      </c>
      <c r="H99" s="115">
        <v>3.00914348240785</v>
      </c>
      <c r="J99"/>
      <c r="K99"/>
      <c r="L99"/>
    </row>
    <row r="100" spans="1:12" ht="16.2">
      <c r="A100" s="125">
        <f t="shared" si="8"/>
        <v>3.3499999999999961</v>
      </c>
      <c r="B100" s="109">
        <f t="shared" si="10"/>
        <v>0.30264999999999898</v>
      </c>
      <c r="C100" s="109">
        <f t="shared" si="9"/>
        <v>0.41857174999999824</v>
      </c>
      <c r="D100" s="122">
        <f t="shared" si="11"/>
        <v>0.12668074013749903</v>
      </c>
      <c r="G100" s="115" t="s">
        <v>414</v>
      </c>
      <c r="H100" s="115">
        <v>1.5</v>
      </c>
      <c r="J100"/>
      <c r="K100"/>
      <c r="L100"/>
    </row>
    <row r="101" spans="1:12" ht="13.8">
      <c r="A101" s="125">
        <f t="shared" si="8"/>
        <v>3.3999999999999959</v>
      </c>
      <c r="B101" s="109">
        <f t="shared" si="10"/>
        <v>0.31659999999999899</v>
      </c>
      <c r="C101" s="109">
        <f t="shared" si="9"/>
        <v>0.44150299999999809</v>
      </c>
      <c r="D101" s="122">
        <f t="shared" si="11"/>
        <v>0.13977984979999894</v>
      </c>
      <c r="G101" s="115" t="s">
        <v>415</v>
      </c>
      <c r="H101" s="115">
        <f>a_3*SQRT(M1M2_calc)+b_3</f>
        <v>2.786924836304574</v>
      </c>
      <c r="J101"/>
      <c r="K101"/>
      <c r="L101"/>
    </row>
    <row r="102" spans="1:12">
      <c r="A102" s="125">
        <f t="shared" si="8"/>
        <v>3.4499999999999957</v>
      </c>
      <c r="B102" s="109">
        <f t="shared" si="10"/>
        <v>0.3305499999999989</v>
      </c>
      <c r="C102" s="109">
        <f t="shared" si="9"/>
        <v>0.46504574999999798</v>
      </c>
      <c r="D102" s="122">
        <f t="shared" si="11"/>
        <v>0.15372087266249881</v>
      </c>
      <c r="J102"/>
      <c r="K102"/>
      <c r="L102"/>
    </row>
    <row r="103" spans="1:12">
      <c r="A103" s="125">
        <f t="shared" si="8"/>
        <v>3.4999999999999956</v>
      </c>
      <c r="B103" s="109">
        <f t="shared" si="10"/>
        <v>0.34449999999999881</v>
      </c>
      <c r="C103" s="109">
        <f t="shared" si="9"/>
        <v>0.48919999999999786</v>
      </c>
      <c r="D103" s="122">
        <f t="shared" si="11"/>
        <v>0.16852939999999869</v>
      </c>
      <c r="F103"/>
      <c r="G103"/>
      <c r="H103"/>
      <c r="J103"/>
      <c r="K103"/>
      <c r="L103"/>
    </row>
    <row r="104" spans="1:12">
      <c r="A104" s="125">
        <f t="shared" si="8"/>
        <v>3.5499999999999954</v>
      </c>
      <c r="B104" s="109">
        <f t="shared" si="10"/>
        <v>0.35844999999999883</v>
      </c>
      <c r="C104" s="109">
        <f t="shared" si="9"/>
        <v>0.51396574999999767</v>
      </c>
      <c r="D104" s="122">
        <f t="shared" si="11"/>
        <v>0.18423102308749856</v>
      </c>
      <c r="F104"/>
      <c r="G104"/>
      <c r="H104"/>
      <c r="J104"/>
      <c r="K104"/>
      <c r="L104"/>
    </row>
    <row r="105" spans="1:12">
      <c r="A105" s="125">
        <f t="shared" si="8"/>
        <v>3.5999999999999952</v>
      </c>
      <c r="B105" s="109">
        <f t="shared" si="10"/>
        <v>0.37239999999999884</v>
      </c>
      <c r="C105" s="109">
        <f t="shared" si="9"/>
        <v>0.53934299999999757</v>
      </c>
      <c r="D105" s="122">
        <f t="shared" si="11"/>
        <v>0.20085133319999848</v>
      </c>
      <c r="F105"/>
      <c r="G105" s="124" t="s">
        <v>167</v>
      </c>
      <c r="H105">
        <f>IF(VCOMP1&gt;=1.5,IF(VCOMP1&lt;2,VCOMP1,IF(VCOMP2&gt;=2,IF(VCOMP2&lt;3,VCOMP2,IF(VCOMP3&gt;=3,IF(VCOMP3&lt;5.5,VCOMP3,IF(VCOMP4&gt;=5.5,IF(VCOMP4&lt;5.6,VCOMP4,5.7))))))))</f>
        <v>3.5458802006225056</v>
      </c>
      <c r="J105"/>
      <c r="K105"/>
      <c r="L105"/>
    </row>
    <row r="106" spans="1:12">
      <c r="A106" s="125">
        <f t="shared" si="8"/>
        <v>3.649999999999995</v>
      </c>
      <c r="B106" s="109">
        <f t="shared" si="10"/>
        <v>0.38634999999999875</v>
      </c>
      <c r="C106" s="109">
        <f t="shared" si="9"/>
        <v>0.56533174999999736</v>
      </c>
      <c r="D106" s="122">
        <f t="shared" si="11"/>
        <v>0.21841592161249826</v>
      </c>
      <c r="F106"/>
      <c r="G106"/>
      <c r="H106"/>
      <c r="J106"/>
      <c r="K106"/>
      <c r="L106"/>
    </row>
    <row r="107" spans="1:12">
      <c r="A107" s="125">
        <f t="shared" si="8"/>
        <v>3.6999999999999948</v>
      </c>
      <c r="B107" s="109">
        <f t="shared" si="10"/>
        <v>0.40029999999999866</v>
      </c>
      <c r="C107" s="109">
        <f t="shared" si="9"/>
        <v>0.59193199999999735</v>
      </c>
      <c r="D107" s="122">
        <f t="shared" si="11"/>
        <v>0.23695037959999815</v>
      </c>
      <c r="F107"/>
      <c r="G107" s="124"/>
      <c r="H107"/>
      <c r="J107"/>
      <c r="K107"/>
      <c r="L107"/>
    </row>
    <row r="108" spans="1:12">
      <c r="A108" s="125">
        <f t="shared" si="8"/>
        <v>3.7499999999999947</v>
      </c>
      <c r="B108" s="109">
        <f t="shared" si="10"/>
        <v>0.41424999999999856</v>
      </c>
      <c r="C108" s="109">
        <f t="shared" si="9"/>
        <v>0.61914374999999711</v>
      </c>
      <c r="D108" s="122">
        <f t="shared" si="11"/>
        <v>0.25648029843749792</v>
      </c>
      <c r="F108"/>
      <c r="G108"/>
      <c r="H108"/>
      <c r="J108"/>
      <c r="K108"/>
      <c r="L108"/>
    </row>
    <row r="109" spans="1:12">
      <c r="A109" s="125">
        <f t="shared" si="8"/>
        <v>3.7999999999999945</v>
      </c>
      <c r="B109" s="109">
        <f t="shared" si="10"/>
        <v>0.42819999999999847</v>
      </c>
      <c r="C109" s="109">
        <f t="shared" si="9"/>
        <v>0.64696699999999685</v>
      </c>
      <c r="D109" s="122">
        <f t="shared" si="11"/>
        <v>0.27703126939999767</v>
      </c>
      <c r="F109"/>
      <c r="G109"/>
      <c r="H109"/>
      <c r="J109"/>
      <c r="K109"/>
      <c r="L109"/>
    </row>
    <row r="110" spans="1:12">
      <c r="A110" s="125">
        <f t="shared" si="8"/>
        <v>3.8499999999999943</v>
      </c>
      <c r="B110" s="109">
        <f t="shared" si="10"/>
        <v>0.4421499999999986</v>
      </c>
      <c r="C110" s="109">
        <f t="shared" si="9"/>
        <v>0.6754017499999968</v>
      </c>
      <c r="D110" s="122">
        <f t="shared" si="11"/>
        <v>0.29862888376249763</v>
      </c>
      <c r="J110"/>
      <c r="K110"/>
      <c r="L110"/>
    </row>
    <row r="111" spans="1:12">
      <c r="A111" s="125">
        <f t="shared" si="8"/>
        <v>3.8999999999999941</v>
      </c>
      <c r="B111" s="109">
        <f t="shared" si="10"/>
        <v>0.45609999999999851</v>
      </c>
      <c r="C111" s="109">
        <f t="shared" si="9"/>
        <v>0.70444799999999663</v>
      </c>
      <c r="D111" s="122">
        <f t="shared" si="11"/>
        <v>0.32129873279999743</v>
      </c>
      <c r="J111"/>
      <c r="K111"/>
      <c r="L111"/>
    </row>
    <row r="112" spans="1:12">
      <c r="A112" s="125">
        <f t="shared" si="8"/>
        <v>3.949999999999994</v>
      </c>
      <c r="B112" s="109">
        <f t="shared" si="10"/>
        <v>0.47004999999999841</v>
      </c>
      <c r="C112" s="109">
        <f t="shared" si="9"/>
        <v>0.73410574999999634</v>
      </c>
      <c r="D112" s="122">
        <f t="shared" si="11"/>
        <v>0.34506640778749709</v>
      </c>
      <c r="J112"/>
      <c r="K112"/>
      <c r="L112"/>
    </row>
    <row r="113" spans="1:12">
      <c r="A113" s="125">
        <f t="shared" si="8"/>
        <v>3.9999999999999938</v>
      </c>
      <c r="B113" s="109">
        <f t="shared" si="10"/>
        <v>0.48399999999999832</v>
      </c>
      <c r="C113" s="109">
        <f t="shared" si="9"/>
        <v>0.76437499999999625</v>
      </c>
      <c r="D113" s="122">
        <f t="shared" si="11"/>
        <v>0.36995749999999689</v>
      </c>
      <c r="J113"/>
      <c r="K113"/>
      <c r="L113"/>
    </row>
    <row r="114" spans="1:12">
      <c r="A114" s="125">
        <f t="shared" si="8"/>
        <v>4.0499999999999936</v>
      </c>
      <c r="B114" s="109">
        <f t="shared" si="10"/>
        <v>0.49794999999999823</v>
      </c>
      <c r="C114" s="109">
        <f t="shared" si="9"/>
        <v>0.79525574999999604</v>
      </c>
      <c r="D114" s="122">
        <f t="shared" si="11"/>
        <v>0.39599760071249662</v>
      </c>
      <c r="J114"/>
      <c r="K114"/>
      <c r="L114"/>
    </row>
    <row r="115" spans="1:12">
      <c r="A115" s="125">
        <f t="shared" si="8"/>
        <v>4.0999999999999934</v>
      </c>
      <c r="B115" s="109">
        <f t="shared" si="10"/>
        <v>0.51189999999999836</v>
      </c>
      <c r="C115" s="109">
        <f t="shared" si="9"/>
        <v>0.82674799999999593</v>
      </c>
      <c r="D115" s="122">
        <f t="shared" si="11"/>
        <v>0.42321230119999653</v>
      </c>
      <c r="J115"/>
      <c r="K115"/>
      <c r="L115"/>
    </row>
    <row r="116" spans="1:12">
      <c r="A116" s="125">
        <f t="shared" si="8"/>
        <v>4.1499999999999932</v>
      </c>
      <c r="B116" s="109">
        <f t="shared" si="10"/>
        <v>0.52584999999999826</v>
      </c>
      <c r="C116" s="109">
        <f t="shared" si="9"/>
        <v>0.8588517499999957</v>
      </c>
      <c r="D116" s="122">
        <f t="shared" si="11"/>
        <v>0.45162719273749624</v>
      </c>
      <c r="J116"/>
      <c r="K116"/>
      <c r="L116"/>
    </row>
    <row r="117" spans="1:12">
      <c r="A117" s="125">
        <f t="shared" si="8"/>
        <v>4.1999999999999931</v>
      </c>
      <c r="B117" s="109">
        <f t="shared" si="10"/>
        <v>0.53979999999999817</v>
      </c>
      <c r="C117" s="109">
        <f t="shared" si="9"/>
        <v>0.89156699999999545</v>
      </c>
      <c r="D117" s="122">
        <f t="shared" si="11"/>
        <v>0.48126786659999593</v>
      </c>
      <c r="J117"/>
      <c r="K117"/>
      <c r="L117"/>
    </row>
    <row r="118" spans="1:12">
      <c r="A118" s="125">
        <f t="shared" si="8"/>
        <v>4.2499999999999929</v>
      </c>
      <c r="B118" s="109">
        <f t="shared" si="10"/>
        <v>0.55374999999999808</v>
      </c>
      <c r="C118" s="109">
        <f t="shared" si="9"/>
        <v>0.9248937499999953</v>
      </c>
      <c r="D118" s="122">
        <f t="shared" si="11"/>
        <v>0.51215991406249561</v>
      </c>
      <c r="J118"/>
      <c r="K118"/>
      <c r="L118"/>
    </row>
    <row r="119" spans="1:12">
      <c r="A119" s="125">
        <f t="shared" si="8"/>
        <v>4.2999999999999927</v>
      </c>
      <c r="B119" s="109">
        <f t="shared" si="10"/>
        <v>0.56769999999999798</v>
      </c>
      <c r="C119" s="109">
        <f t="shared" si="9"/>
        <v>0.95883199999999502</v>
      </c>
      <c r="D119" s="122">
        <f t="shared" si="11"/>
        <v>0.54432892639999519</v>
      </c>
      <c r="J119"/>
      <c r="K119"/>
      <c r="L119"/>
    </row>
    <row r="120" spans="1:12">
      <c r="A120" s="125">
        <f t="shared" si="8"/>
        <v>4.3499999999999925</v>
      </c>
      <c r="B120" s="109">
        <f t="shared" si="10"/>
        <v>0.58164999999999811</v>
      </c>
      <c r="C120" s="109">
        <f t="shared" si="9"/>
        <v>0.99338174999999485</v>
      </c>
      <c r="D120" s="122">
        <f t="shared" si="11"/>
        <v>0.57780049488749508</v>
      </c>
      <c r="J120"/>
      <c r="K120"/>
      <c r="L120"/>
    </row>
    <row r="121" spans="1:12">
      <c r="A121" s="125">
        <f t="shared" si="8"/>
        <v>4.3999999999999924</v>
      </c>
      <c r="B121" s="109">
        <f t="shared" si="10"/>
        <v>0.59559999999999802</v>
      </c>
      <c r="C121" s="109">
        <f t="shared" si="9"/>
        <v>1.0285429999999947</v>
      </c>
      <c r="D121" s="122">
        <f t="shared" si="11"/>
        <v>0.61260021079999483</v>
      </c>
      <c r="J121"/>
      <c r="K121"/>
      <c r="L121"/>
    </row>
    <row r="122" spans="1:12">
      <c r="A122" s="125">
        <f t="shared" si="8"/>
        <v>4.4499999999999922</v>
      </c>
      <c r="B122" s="109">
        <f t="shared" si="10"/>
        <v>0.60954999999999793</v>
      </c>
      <c r="C122" s="109">
        <f t="shared" si="9"/>
        <v>1.0643157499999945</v>
      </c>
      <c r="D122" s="122">
        <f t="shared" si="11"/>
        <v>0.64875366541249446</v>
      </c>
      <c r="J122"/>
      <c r="K122"/>
      <c r="L122"/>
    </row>
    <row r="123" spans="1:12">
      <c r="A123" s="125">
        <f t="shared" si="8"/>
        <v>4.499999999999992</v>
      </c>
      <c r="B123" s="109">
        <f t="shared" si="10"/>
        <v>0.62349999999999783</v>
      </c>
      <c r="C123" s="109">
        <f t="shared" si="9"/>
        <v>1.1006999999999942</v>
      </c>
      <c r="D123" s="122">
        <f t="shared" si="11"/>
        <v>0.686286449999994</v>
      </c>
      <c r="J123"/>
      <c r="K123"/>
      <c r="L123"/>
    </row>
    <row r="124" spans="1:12">
      <c r="A124" s="125">
        <f t="shared" si="8"/>
        <v>4.5499999999999918</v>
      </c>
      <c r="B124" s="109">
        <f t="shared" si="10"/>
        <v>0.63744999999999774</v>
      </c>
      <c r="C124" s="109">
        <f t="shared" si="9"/>
        <v>1.137695749999994</v>
      </c>
      <c r="D124" s="122">
        <f t="shared" si="11"/>
        <v>0.72522415583749367</v>
      </c>
      <c r="J124"/>
      <c r="K124"/>
      <c r="L124"/>
    </row>
    <row r="125" spans="1:12">
      <c r="A125" s="125">
        <f t="shared" si="8"/>
        <v>4.5999999999999917</v>
      </c>
      <c r="B125" s="109">
        <f t="shared" si="10"/>
        <v>0.65139999999999787</v>
      </c>
      <c r="C125" s="109">
        <f t="shared" si="9"/>
        <v>1.1753029999999938</v>
      </c>
      <c r="D125" s="122">
        <f t="shared" si="11"/>
        <v>0.76559237419999349</v>
      </c>
      <c r="J125"/>
      <c r="K125"/>
      <c r="L125"/>
    </row>
    <row r="126" spans="1:12">
      <c r="A126" s="125">
        <f t="shared" si="8"/>
        <v>4.6499999999999915</v>
      </c>
      <c r="B126" s="109">
        <f t="shared" si="10"/>
        <v>0.66534999999999778</v>
      </c>
      <c r="C126" s="109">
        <f t="shared" si="9"/>
        <v>1.2135217499999935</v>
      </c>
      <c r="D126" s="122">
        <f t="shared" si="11"/>
        <v>0.80741669636249302</v>
      </c>
      <c r="J126"/>
      <c r="K126"/>
      <c r="L126"/>
    </row>
    <row r="127" spans="1:12">
      <c r="A127" s="125">
        <f t="shared" si="8"/>
        <v>4.6999999999999913</v>
      </c>
      <c r="B127" s="109">
        <f t="shared" si="10"/>
        <v>0.67929999999999768</v>
      </c>
      <c r="C127" s="109">
        <f t="shared" si="9"/>
        <v>1.2523519999999932</v>
      </c>
      <c r="D127" s="122">
        <f t="shared" si="11"/>
        <v>0.85072271359999252</v>
      </c>
      <c r="J127"/>
      <c r="K127"/>
      <c r="L127"/>
    </row>
    <row r="128" spans="1:12">
      <c r="A128" s="125">
        <f t="shared" si="8"/>
        <v>4.7499999999999911</v>
      </c>
      <c r="B128" s="109">
        <f t="shared" si="10"/>
        <v>0.69324999999999759</v>
      </c>
      <c r="C128" s="109">
        <f t="shared" si="9"/>
        <v>1.2917937499999932</v>
      </c>
      <c r="D128" s="122">
        <f t="shared" si="11"/>
        <v>0.89553601718749221</v>
      </c>
      <c r="J128"/>
      <c r="K128"/>
      <c r="L128"/>
    </row>
    <row r="129" spans="1:12">
      <c r="A129" s="125">
        <f t="shared" ref="A129:A174" si="12">A128+0.05</f>
        <v>4.7999999999999909</v>
      </c>
      <c r="B129" s="109">
        <f t="shared" si="10"/>
        <v>0.7071999999999975</v>
      </c>
      <c r="C129" s="109">
        <f t="shared" ref="C129:C174" si="13">IF(A129&lt;=1.5,0,IF(A129&lt;5.6,(0.1223*(A129-1.5)^2),IF(A129&lt;7,2.056,"VCOMP MUST BE &lt; 7")))</f>
        <v>1.3318469999999927</v>
      </c>
      <c r="D129" s="122">
        <f t="shared" si="11"/>
        <v>0.94188219839999143</v>
      </c>
      <c r="J129"/>
      <c r="K129"/>
      <c r="L129"/>
    </row>
    <row r="130" spans="1:12">
      <c r="A130" s="125">
        <f t="shared" si="12"/>
        <v>4.8499999999999908</v>
      </c>
      <c r="B130" s="109">
        <f t="shared" si="10"/>
        <v>0.72114999999999763</v>
      </c>
      <c r="C130" s="109">
        <f t="shared" si="13"/>
        <v>1.3725117499999924</v>
      </c>
      <c r="D130" s="122">
        <f t="shared" si="11"/>
        <v>0.98978684851249121</v>
      </c>
      <c r="J130"/>
      <c r="K130"/>
      <c r="L130"/>
    </row>
    <row r="131" spans="1:12">
      <c r="A131" s="125">
        <f t="shared" si="12"/>
        <v>4.8999999999999906</v>
      </c>
      <c r="B131" s="109">
        <f t="shared" si="10"/>
        <v>0.73509999999999753</v>
      </c>
      <c r="C131" s="109">
        <f t="shared" si="13"/>
        <v>1.4137879999999923</v>
      </c>
      <c r="D131" s="122">
        <f t="shared" si="11"/>
        <v>1.0392755587999909</v>
      </c>
      <c r="J131"/>
      <c r="K131"/>
      <c r="L131"/>
    </row>
    <row r="132" spans="1:12">
      <c r="A132" s="125">
        <f t="shared" si="12"/>
        <v>4.9499999999999904</v>
      </c>
      <c r="B132" s="109">
        <f t="shared" si="10"/>
        <v>0.74904999999999744</v>
      </c>
      <c r="C132" s="109">
        <f t="shared" si="13"/>
        <v>1.4556757499999919</v>
      </c>
      <c r="D132" s="122">
        <f t="shared" si="11"/>
        <v>1.0903739205374903</v>
      </c>
      <c r="J132"/>
      <c r="K132"/>
      <c r="L132"/>
    </row>
    <row r="133" spans="1:12">
      <c r="A133" s="125">
        <f t="shared" si="12"/>
        <v>4.9999999999999902</v>
      </c>
      <c r="B133" s="109">
        <f t="shared" si="10"/>
        <v>0.76299999999999735</v>
      </c>
      <c r="C133" s="109">
        <f t="shared" si="13"/>
        <v>1.4981749999999918</v>
      </c>
      <c r="D133" s="122">
        <f t="shared" si="11"/>
        <v>1.1431075249999898</v>
      </c>
      <c r="J133"/>
      <c r="K133"/>
      <c r="L133"/>
    </row>
    <row r="134" spans="1:12">
      <c r="A134" s="125">
        <f t="shared" si="12"/>
        <v>5.0499999999999901</v>
      </c>
      <c r="B134" s="109">
        <f t="shared" si="10"/>
        <v>0.77694999999999725</v>
      </c>
      <c r="C134" s="109">
        <f t="shared" si="13"/>
        <v>1.5412857499999915</v>
      </c>
      <c r="D134" s="122">
        <f t="shared" si="11"/>
        <v>1.197501963462489</v>
      </c>
      <c r="J134"/>
      <c r="K134"/>
      <c r="L134"/>
    </row>
    <row r="135" spans="1:12">
      <c r="A135" s="125">
        <f t="shared" si="12"/>
        <v>5.0999999999999899</v>
      </c>
      <c r="B135" s="109">
        <f t="shared" si="10"/>
        <v>0.79089999999999738</v>
      </c>
      <c r="C135" s="109">
        <f t="shared" si="13"/>
        <v>1.5850079999999911</v>
      </c>
      <c r="D135" s="122">
        <f t="shared" si="11"/>
        <v>1.2535828271999887</v>
      </c>
      <c r="J135"/>
      <c r="K135"/>
      <c r="L135"/>
    </row>
    <row r="136" spans="1:12">
      <c r="A136" s="125">
        <f t="shared" si="12"/>
        <v>5.1499999999999897</v>
      </c>
      <c r="B136" s="109">
        <f t="shared" si="10"/>
        <v>0.80484999999999729</v>
      </c>
      <c r="C136" s="109">
        <f t="shared" si="13"/>
        <v>1.6293417499999909</v>
      </c>
      <c r="D136" s="122">
        <f t="shared" si="11"/>
        <v>1.3113757074874883</v>
      </c>
      <c r="J136"/>
      <c r="K136"/>
      <c r="L136"/>
    </row>
    <row r="137" spans="1:12">
      <c r="A137" s="125">
        <f t="shared" si="12"/>
        <v>5.1999999999999895</v>
      </c>
      <c r="B137" s="109">
        <f t="shared" si="10"/>
        <v>0.8187999999999972</v>
      </c>
      <c r="C137" s="109">
        <f t="shared" si="13"/>
        <v>1.6742869999999908</v>
      </c>
      <c r="D137" s="122">
        <f t="shared" si="11"/>
        <v>1.3709061955999877</v>
      </c>
      <c r="J137"/>
      <c r="K137"/>
      <c r="L137"/>
    </row>
    <row r="138" spans="1:12">
      <c r="A138" s="125">
        <f t="shared" si="12"/>
        <v>5.2499999999999893</v>
      </c>
      <c r="B138" s="109">
        <f t="shared" si="10"/>
        <v>0.8327499999999971</v>
      </c>
      <c r="C138" s="109">
        <f t="shared" si="13"/>
        <v>1.7198437499999903</v>
      </c>
      <c r="D138" s="122">
        <f t="shared" si="11"/>
        <v>1.4321998828124869</v>
      </c>
      <c r="J138"/>
      <c r="K138"/>
      <c r="L138"/>
    </row>
    <row r="139" spans="1:12">
      <c r="A139" s="125">
        <f t="shared" si="12"/>
        <v>5.2999999999999892</v>
      </c>
      <c r="B139" s="109">
        <f t="shared" si="10"/>
        <v>0.84669999999999701</v>
      </c>
      <c r="C139" s="109">
        <f t="shared" si="13"/>
        <v>1.7660119999999899</v>
      </c>
      <c r="D139" s="122">
        <f t="shared" si="11"/>
        <v>1.4952823603999863</v>
      </c>
      <c r="J139"/>
      <c r="K139"/>
      <c r="L139"/>
    </row>
    <row r="140" spans="1:12">
      <c r="A140" s="125">
        <f t="shared" si="12"/>
        <v>5.349999999999989</v>
      </c>
      <c r="B140" s="109">
        <f t="shared" si="10"/>
        <v>0.86064999999999714</v>
      </c>
      <c r="C140" s="109">
        <f t="shared" si="13"/>
        <v>1.8127917499999897</v>
      </c>
      <c r="D140" s="122">
        <f t="shared" si="11"/>
        <v>1.560179219637486</v>
      </c>
      <c r="J140"/>
      <c r="K140"/>
      <c r="L140"/>
    </row>
    <row r="141" spans="1:12">
      <c r="A141" s="125">
        <f t="shared" si="12"/>
        <v>5.3999999999999888</v>
      </c>
      <c r="B141" s="109">
        <f t="shared" si="10"/>
        <v>0.87459999999999705</v>
      </c>
      <c r="C141" s="109">
        <f t="shared" si="13"/>
        <v>1.8601829999999893</v>
      </c>
      <c r="D141" s="122">
        <f t="shared" si="11"/>
        <v>1.6269160517999852</v>
      </c>
      <c r="J141"/>
      <c r="K141"/>
      <c r="L141"/>
    </row>
    <row r="142" spans="1:12">
      <c r="A142" s="125">
        <f t="shared" si="12"/>
        <v>5.4499999999999886</v>
      </c>
      <c r="B142" s="109">
        <f t="shared" si="10"/>
        <v>0.88854999999999695</v>
      </c>
      <c r="C142" s="109">
        <f t="shared" si="13"/>
        <v>1.908185749999989</v>
      </c>
      <c r="D142" s="122">
        <f t="shared" si="11"/>
        <v>1.6955184481624845</v>
      </c>
      <c r="J142"/>
      <c r="K142"/>
      <c r="L142"/>
    </row>
    <row r="143" spans="1:12">
      <c r="A143" s="125">
        <f t="shared" si="12"/>
        <v>5.4999999999999885</v>
      </c>
      <c r="B143" s="109">
        <f t="shared" si="10"/>
        <v>0.90249999999999686</v>
      </c>
      <c r="C143" s="109">
        <f t="shared" si="13"/>
        <v>1.9567999999999888</v>
      </c>
      <c r="D143" s="122">
        <f t="shared" si="11"/>
        <v>1.7660119999999837</v>
      </c>
      <c r="J143"/>
      <c r="K143"/>
      <c r="L143"/>
    </row>
    <row r="144" spans="1:12">
      <c r="A144" s="125">
        <f t="shared" si="12"/>
        <v>5.5499999999999883</v>
      </c>
      <c r="B144" s="109">
        <f t="shared" si="10"/>
        <v>0.90300000000000002</v>
      </c>
      <c r="C144" s="109">
        <f t="shared" si="13"/>
        <v>2.0060257499999885</v>
      </c>
      <c r="D144" s="122">
        <f t="shared" si="11"/>
        <v>1.8114412522499896</v>
      </c>
      <c r="J144"/>
      <c r="K144"/>
      <c r="L144"/>
    </row>
    <row r="145" spans="1:12">
      <c r="A145" s="125">
        <f t="shared" si="12"/>
        <v>5.5999999999999881</v>
      </c>
      <c r="B145" s="109">
        <f t="shared" si="10"/>
        <v>0.90300000000000002</v>
      </c>
      <c r="C145" s="109">
        <f t="shared" si="13"/>
        <v>2.055862999999988</v>
      </c>
      <c r="D145" s="122">
        <f t="shared" si="11"/>
        <v>1.8564442889999893</v>
      </c>
      <c r="J145"/>
      <c r="K145"/>
      <c r="L145"/>
    </row>
    <row r="146" spans="1:12">
      <c r="A146" s="125">
        <f t="shared" si="12"/>
        <v>5.6499999999999879</v>
      </c>
      <c r="B146" s="109">
        <f t="shared" si="10"/>
        <v>0.90300000000000002</v>
      </c>
      <c r="C146" s="109">
        <f t="shared" si="13"/>
        <v>2.056</v>
      </c>
      <c r="D146" s="122">
        <f t="shared" si="11"/>
        <v>1.856568</v>
      </c>
      <c r="J146"/>
      <c r="K146"/>
      <c r="L146"/>
    </row>
    <row r="147" spans="1:12">
      <c r="A147" s="125">
        <f t="shared" si="12"/>
        <v>5.6999999999999877</v>
      </c>
      <c r="B147" s="109">
        <f t="shared" si="10"/>
        <v>0.90300000000000002</v>
      </c>
      <c r="C147" s="109">
        <f t="shared" si="13"/>
        <v>2.056</v>
      </c>
      <c r="D147" s="122">
        <f t="shared" si="11"/>
        <v>1.856568</v>
      </c>
      <c r="J147"/>
      <c r="K147"/>
      <c r="L147"/>
    </row>
    <row r="148" spans="1:12">
      <c r="A148" s="125">
        <f t="shared" si="12"/>
        <v>5.7499999999999876</v>
      </c>
      <c r="B148" s="109">
        <f t="shared" si="10"/>
        <v>0.90300000000000002</v>
      </c>
      <c r="C148" s="109">
        <f t="shared" si="13"/>
        <v>2.056</v>
      </c>
      <c r="D148" s="122">
        <f t="shared" si="11"/>
        <v>1.856568</v>
      </c>
      <c r="J148"/>
      <c r="K148"/>
      <c r="L148"/>
    </row>
    <row r="149" spans="1:12">
      <c r="A149" s="125">
        <f t="shared" si="12"/>
        <v>5.7999999999999874</v>
      </c>
      <c r="B149" s="109">
        <f t="shared" si="10"/>
        <v>0.90300000000000002</v>
      </c>
      <c r="C149" s="109">
        <f t="shared" si="13"/>
        <v>2.056</v>
      </c>
      <c r="D149" s="122">
        <f t="shared" si="11"/>
        <v>1.856568</v>
      </c>
      <c r="J149"/>
      <c r="K149"/>
      <c r="L149"/>
    </row>
    <row r="150" spans="1:12">
      <c r="A150" s="125">
        <f t="shared" si="12"/>
        <v>5.8499999999999872</v>
      </c>
      <c r="B150" s="109">
        <f t="shared" si="10"/>
        <v>0.90300000000000002</v>
      </c>
      <c r="C150" s="109">
        <f t="shared" si="13"/>
        <v>2.056</v>
      </c>
      <c r="D150" s="122">
        <f t="shared" si="11"/>
        <v>1.856568</v>
      </c>
      <c r="J150"/>
      <c r="K150"/>
      <c r="L150"/>
    </row>
    <row r="151" spans="1:12">
      <c r="A151" s="125">
        <f t="shared" si="12"/>
        <v>5.899999999999987</v>
      </c>
      <c r="B151" s="109">
        <f t="shared" si="10"/>
        <v>0.90300000000000002</v>
      </c>
      <c r="C151" s="109">
        <f t="shared" si="13"/>
        <v>2.056</v>
      </c>
      <c r="D151" s="122">
        <f t="shared" si="11"/>
        <v>1.856568</v>
      </c>
      <c r="J151"/>
      <c r="K151"/>
      <c r="L151"/>
    </row>
    <row r="152" spans="1:12">
      <c r="A152" s="125">
        <f t="shared" si="12"/>
        <v>5.9499999999999869</v>
      </c>
      <c r="B152" s="109">
        <f t="shared" si="10"/>
        <v>0.90300000000000002</v>
      </c>
      <c r="C152" s="109">
        <f t="shared" si="13"/>
        <v>2.056</v>
      </c>
      <c r="D152" s="122">
        <f t="shared" si="11"/>
        <v>1.856568</v>
      </c>
      <c r="J152"/>
      <c r="K152"/>
      <c r="L152"/>
    </row>
    <row r="153" spans="1:12">
      <c r="A153" s="125">
        <f t="shared" si="12"/>
        <v>5.9999999999999867</v>
      </c>
      <c r="B153" s="109">
        <f t="shared" si="10"/>
        <v>0.90300000000000002</v>
      </c>
      <c r="C153" s="109">
        <f t="shared" si="13"/>
        <v>2.056</v>
      </c>
      <c r="D153" s="122">
        <f t="shared" si="11"/>
        <v>1.856568</v>
      </c>
      <c r="J153"/>
      <c r="K153"/>
      <c r="L153"/>
    </row>
    <row r="154" spans="1:12">
      <c r="A154" s="125">
        <f t="shared" si="12"/>
        <v>6.0499999999999865</v>
      </c>
      <c r="B154" s="109">
        <f t="shared" si="10"/>
        <v>0.90300000000000002</v>
      </c>
      <c r="C154" s="109">
        <f t="shared" si="13"/>
        <v>2.056</v>
      </c>
      <c r="D154" s="122">
        <f t="shared" si="11"/>
        <v>1.856568</v>
      </c>
      <c r="J154"/>
      <c r="K154"/>
      <c r="L154"/>
    </row>
    <row r="155" spans="1:12">
      <c r="A155" s="125">
        <f t="shared" si="12"/>
        <v>6.0999999999999863</v>
      </c>
      <c r="B155" s="109">
        <f t="shared" si="10"/>
        <v>0.90300000000000002</v>
      </c>
      <c r="C155" s="109">
        <f t="shared" si="13"/>
        <v>2.056</v>
      </c>
      <c r="D155" s="122">
        <f t="shared" si="11"/>
        <v>1.856568</v>
      </c>
      <c r="J155"/>
      <c r="K155"/>
      <c r="L155"/>
    </row>
    <row r="156" spans="1:12">
      <c r="A156" s="125">
        <f t="shared" si="12"/>
        <v>6.1499999999999861</v>
      </c>
      <c r="B156" s="109">
        <f t="shared" si="10"/>
        <v>0.90300000000000002</v>
      </c>
      <c r="C156" s="109">
        <f t="shared" si="13"/>
        <v>2.056</v>
      </c>
      <c r="D156" s="122">
        <f t="shared" si="11"/>
        <v>1.856568</v>
      </c>
      <c r="J156"/>
      <c r="K156"/>
      <c r="L156"/>
    </row>
    <row r="157" spans="1:12">
      <c r="A157" s="125">
        <f t="shared" si="12"/>
        <v>6.199999999999986</v>
      </c>
      <c r="B157" s="109">
        <f t="shared" si="10"/>
        <v>0.90300000000000002</v>
      </c>
      <c r="C157" s="109">
        <f t="shared" si="13"/>
        <v>2.056</v>
      </c>
      <c r="D157" s="122">
        <f t="shared" si="11"/>
        <v>1.856568</v>
      </c>
      <c r="J157"/>
      <c r="K157"/>
      <c r="L157"/>
    </row>
    <row r="158" spans="1:12">
      <c r="A158" s="125">
        <f t="shared" si="12"/>
        <v>6.2499999999999858</v>
      </c>
      <c r="B158" s="109">
        <f t="shared" si="10"/>
        <v>0.90300000000000002</v>
      </c>
      <c r="C158" s="109">
        <f t="shared" si="13"/>
        <v>2.056</v>
      </c>
      <c r="D158" s="122">
        <f t="shared" si="11"/>
        <v>1.856568</v>
      </c>
      <c r="J158"/>
      <c r="K158"/>
      <c r="L158"/>
    </row>
    <row r="159" spans="1:12">
      <c r="A159" s="125">
        <f t="shared" si="12"/>
        <v>6.2999999999999856</v>
      </c>
      <c r="B159" s="109">
        <f t="shared" si="10"/>
        <v>0.90300000000000002</v>
      </c>
      <c r="C159" s="109">
        <f t="shared" si="13"/>
        <v>2.056</v>
      </c>
      <c r="D159" s="122">
        <f t="shared" si="11"/>
        <v>1.856568</v>
      </c>
      <c r="J159"/>
      <c r="K159"/>
      <c r="L159"/>
    </row>
    <row r="160" spans="1:12">
      <c r="A160" s="125">
        <f t="shared" si="12"/>
        <v>6.3499999999999854</v>
      </c>
      <c r="B160" s="109">
        <f t="shared" si="10"/>
        <v>0.90300000000000002</v>
      </c>
      <c r="C160" s="109">
        <f t="shared" si="13"/>
        <v>2.056</v>
      </c>
      <c r="D160" s="122">
        <f t="shared" si="11"/>
        <v>1.856568</v>
      </c>
      <c r="J160"/>
      <c r="K160"/>
      <c r="L160"/>
    </row>
    <row r="161" spans="1:12">
      <c r="A161" s="125">
        <f t="shared" si="12"/>
        <v>6.3999999999999853</v>
      </c>
      <c r="B161" s="109">
        <f t="shared" si="10"/>
        <v>0.90300000000000002</v>
      </c>
      <c r="C161" s="109">
        <f t="shared" si="13"/>
        <v>2.056</v>
      </c>
      <c r="D161" s="122">
        <f t="shared" si="11"/>
        <v>1.856568</v>
      </c>
      <c r="J161"/>
      <c r="K161"/>
      <c r="L161"/>
    </row>
    <row r="162" spans="1:12">
      <c r="A162" s="125">
        <f t="shared" si="12"/>
        <v>6.4499999999999851</v>
      </c>
      <c r="B162" s="109">
        <f t="shared" ref="B162:B174" si="14">IF(A162&lt;2,(0.064),IF(A162&lt;3,(0.139*A162-0.214),IF(A162&lt;5.5,(0.279*A162-0.632),IF(A162&lt;7,0.903,"VCOMP MUST BE &lt; 7"))))</f>
        <v>0.90300000000000002</v>
      </c>
      <c r="C162" s="109">
        <f t="shared" si="13"/>
        <v>2.056</v>
      </c>
      <c r="D162" s="122">
        <f t="shared" ref="D162:D173" si="15">B162*C162</f>
        <v>1.856568</v>
      </c>
      <c r="J162"/>
      <c r="K162"/>
      <c r="L162"/>
    </row>
    <row r="163" spans="1:12">
      <c r="A163" s="125">
        <f t="shared" si="12"/>
        <v>6.4999999999999849</v>
      </c>
      <c r="B163" s="109">
        <f t="shared" si="14"/>
        <v>0.90300000000000002</v>
      </c>
      <c r="C163" s="109">
        <f t="shared" si="13"/>
        <v>2.056</v>
      </c>
      <c r="D163" s="122">
        <f t="shared" si="15"/>
        <v>1.856568</v>
      </c>
      <c r="J163"/>
      <c r="K163"/>
      <c r="L163"/>
    </row>
    <row r="164" spans="1:12">
      <c r="A164" s="125">
        <f t="shared" si="12"/>
        <v>6.5499999999999847</v>
      </c>
      <c r="B164" s="109">
        <f t="shared" si="14"/>
        <v>0.90300000000000002</v>
      </c>
      <c r="C164" s="109">
        <f t="shared" si="13"/>
        <v>2.056</v>
      </c>
      <c r="D164" s="122">
        <f t="shared" si="15"/>
        <v>1.856568</v>
      </c>
      <c r="J164"/>
      <c r="K164"/>
      <c r="L164"/>
    </row>
    <row r="165" spans="1:12">
      <c r="A165" s="125">
        <f t="shared" si="12"/>
        <v>6.5999999999999845</v>
      </c>
      <c r="B165" s="109">
        <f t="shared" si="14"/>
        <v>0.90300000000000002</v>
      </c>
      <c r="C165" s="109">
        <f t="shared" si="13"/>
        <v>2.056</v>
      </c>
      <c r="D165" s="122">
        <f t="shared" si="15"/>
        <v>1.856568</v>
      </c>
      <c r="J165"/>
      <c r="K165"/>
      <c r="L165"/>
    </row>
    <row r="166" spans="1:12">
      <c r="A166" s="125">
        <f t="shared" si="12"/>
        <v>6.6499999999999844</v>
      </c>
      <c r="B166" s="109">
        <f t="shared" si="14"/>
        <v>0.90300000000000002</v>
      </c>
      <c r="C166" s="109">
        <f t="shared" si="13"/>
        <v>2.056</v>
      </c>
      <c r="D166" s="122">
        <f t="shared" si="15"/>
        <v>1.856568</v>
      </c>
      <c r="J166"/>
      <c r="K166"/>
      <c r="L166"/>
    </row>
    <row r="167" spans="1:12">
      <c r="A167" s="125">
        <f t="shared" si="12"/>
        <v>6.6999999999999842</v>
      </c>
      <c r="B167" s="109">
        <f t="shared" si="14"/>
        <v>0.90300000000000002</v>
      </c>
      <c r="C167" s="109">
        <f t="shared" si="13"/>
        <v>2.056</v>
      </c>
      <c r="D167" s="122">
        <f t="shared" si="15"/>
        <v>1.856568</v>
      </c>
      <c r="J167"/>
      <c r="K167"/>
      <c r="L167"/>
    </row>
    <row r="168" spans="1:12">
      <c r="A168" s="125">
        <f t="shared" si="12"/>
        <v>6.749999999999984</v>
      </c>
      <c r="B168" s="109">
        <f t="shared" si="14"/>
        <v>0.90300000000000002</v>
      </c>
      <c r="C168" s="109">
        <f t="shared" si="13"/>
        <v>2.056</v>
      </c>
      <c r="D168" s="122">
        <f t="shared" si="15"/>
        <v>1.856568</v>
      </c>
      <c r="J168"/>
      <c r="K168"/>
      <c r="L168"/>
    </row>
    <row r="169" spans="1:12">
      <c r="A169" s="125">
        <f t="shared" si="12"/>
        <v>6.7999999999999838</v>
      </c>
      <c r="B169" s="109">
        <f t="shared" si="14"/>
        <v>0.90300000000000002</v>
      </c>
      <c r="C169" s="109">
        <f t="shared" si="13"/>
        <v>2.056</v>
      </c>
      <c r="D169" s="122">
        <f t="shared" si="15"/>
        <v>1.856568</v>
      </c>
      <c r="J169"/>
      <c r="K169"/>
      <c r="L169"/>
    </row>
    <row r="170" spans="1:12">
      <c r="A170" s="125">
        <f t="shared" si="12"/>
        <v>6.8499999999999837</v>
      </c>
      <c r="B170" s="109">
        <f t="shared" si="14"/>
        <v>0.90300000000000002</v>
      </c>
      <c r="C170" s="109">
        <f t="shared" si="13"/>
        <v>2.056</v>
      </c>
      <c r="D170" s="122">
        <f t="shared" si="15"/>
        <v>1.856568</v>
      </c>
      <c r="J170"/>
      <c r="K170"/>
      <c r="L170"/>
    </row>
    <row r="171" spans="1:12">
      <c r="A171" s="125">
        <f t="shared" si="12"/>
        <v>6.8999999999999835</v>
      </c>
      <c r="B171" s="109">
        <f t="shared" si="14"/>
        <v>0.90300000000000002</v>
      </c>
      <c r="C171" s="109">
        <f t="shared" si="13"/>
        <v>2.056</v>
      </c>
      <c r="D171" s="122">
        <f t="shared" si="15"/>
        <v>1.856568</v>
      </c>
      <c r="J171"/>
      <c r="K171"/>
      <c r="L171"/>
    </row>
    <row r="172" spans="1:12">
      <c r="A172" s="125">
        <f t="shared" si="12"/>
        <v>6.9499999999999833</v>
      </c>
      <c r="B172" s="109">
        <f t="shared" si="14"/>
        <v>0.90300000000000002</v>
      </c>
      <c r="C172" s="109">
        <f t="shared" si="13"/>
        <v>2.056</v>
      </c>
      <c r="D172" s="122">
        <f t="shared" si="15"/>
        <v>1.856568</v>
      </c>
      <c r="J172"/>
      <c r="K172"/>
      <c r="L172"/>
    </row>
    <row r="173" spans="1:12">
      <c r="A173" s="125">
        <f t="shared" si="12"/>
        <v>6.9999999999999831</v>
      </c>
      <c r="B173" s="109">
        <f t="shared" si="14"/>
        <v>0.90300000000000002</v>
      </c>
      <c r="C173" s="109">
        <f t="shared" si="13"/>
        <v>2.056</v>
      </c>
      <c r="D173" s="122">
        <f t="shared" si="15"/>
        <v>1.856568</v>
      </c>
      <c r="J173"/>
      <c r="K173"/>
      <c r="L173"/>
    </row>
    <row r="174" spans="1:12">
      <c r="A174" s="125">
        <f t="shared" si="12"/>
        <v>7.0499999999999829</v>
      </c>
      <c r="B174" s="109" t="str">
        <f t="shared" si="14"/>
        <v>VCOMP MUST BE &lt; 7</v>
      </c>
      <c r="C174" s="109" t="str">
        <f t="shared" si="13"/>
        <v>VCOMP MUST BE &lt; 7</v>
      </c>
      <c r="D174" s="125"/>
      <c r="J174"/>
      <c r="K174"/>
      <c r="L174"/>
    </row>
    <row r="175" spans="1:12">
      <c r="A175" s="125"/>
      <c r="B175" s="109"/>
      <c r="C175" s="109"/>
      <c r="D175" s="125"/>
      <c r="J175"/>
      <c r="K175"/>
      <c r="L175"/>
    </row>
    <row r="176" spans="1:12">
      <c r="A176" s="125"/>
      <c r="B176" s="109"/>
      <c r="C176" s="109"/>
      <c r="D176" s="125"/>
    </row>
    <row r="177" spans="1:4">
      <c r="A177" s="125"/>
      <c r="B177" s="109"/>
      <c r="C177" s="109"/>
      <c r="D177" s="125"/>
    </row>
    <row r="178" spans="1:4">
      <c r="A178" s="125"/>
      <c r="B178" s="109"/>
      <c r="C178" s="109"/>
      <c r="D178" s="125"/>
    </row>
    <row r="179" spans="1:4">
      <c r="A179" s="125"/>
      <c r="B179" s="109"/>
      <c r="C179" s="109"/>
      <c r="D179" s="125"/>
    </row>
    <row r="180" spans="1:4">
      <c r="A180" s="125"/>
      <c r="B180" s="109"/>
      <c r="C180" s="109"/>
      <c r="D180" s="125"/>
    </row>
    <row r="181" spans="1:4">
      <c r="A181" s="125"/>
      <c r="B181" s="109"/>
      <c r="C181" s="109"/>
      <c r="D181" s="125"/>
    </row>
    <row r="182" spans="1:4">
      <c r="A182" s="125"/>
      <c r="B182" s="109"/>
      <c r="C182" s="109"/>
      <c r="D182" s="125"/>
    </row>
    <row r="183" spans="1:4">
      <c r="A183" s="125"/>
      <c r="B183" s="109"/>
      <c r="C183" s="109"/>
      <c r="D183" s="125"/>
    </row>
    <row r="184" spans="1:4">
      <c r="A184" s="125"/>
      <c r="B184" s="109"/>
      <c r="C184" s="109"/>
      <c r="D184" s="125"/>
    </row>
    <row r="185" spans="1:4">
      <c r="A185" s="125"/>
      <c r="B185" s="109"/>
      <c r="C185" s="109"/>
      <c r="D185" s="125"/>
    </row>
    <row r="186" spans="1:4">
      <c r="A186" s="125"/>
      <c r="B186" s="109"/>
      <c r="C186" s="109"/>
      <c r="D186" s="125"/>
    </row>
    <row r="187" spans="1:4">
      <c r="A187" s="125"/>
      <c r="B187" s="109"/>
      <c r="C187" s="109"/>
      <c r="D187" s="125"/>
    </row>
    <row r="188" spans="1:4">
      <c r="A188" s="125"/>
      <c r="B188" s="109"/>
      <c r="C188" s="109"/>
      <c r="D188" s="125"/>
    </row>
    <row r="189" spans="1:4">
      <c r="A189" s="125"/>
      <c r="B189" s="109"/>
      <c r="C189" s="109"/>
      <c r="D189" s="125"/>
    </row>
    <row r="190" spans="1:4">
      <c r="A190" s="125"/>
      <c r="B190" s="109"/>
      <c r="C190" s="109"/>
      <c r="D190" s="125"/>
    </row>
    <row r="191" spans="1:4">
      <c r="A191" s="125"/>
      <c r="B191" s="109"/>
      <c r="C191" s="109"/>
      <c r="D191" s="125"/>
    </row>
    <row r="192" spans="1:4">
      <c r="A192" s="125"/>
      <c r="B192" s="109"/>
      <c r="C192" s="109"/>
      <c r="D192" s="125"/>
    </row>
    <row r="193" spans="1:25">
      <c r="A193" s="125"/>
      <c r="B193" s="109"/>
      <c r="C193" s="109"/>
      <c r="D193" s="125"/>
    </row>
    <row r="194" spans="1:25">
      <c r="A194" s="125"/>
      <c r="B194" s="109"/>
      <c r="C194" s="109"/>
      <c r="D194" s="125"/>
    </row>
    <row r="195" spans="1:25">
      <c r="A195" s="125"/>
      <c r="B195" s="109"/>
      <c r="C195" s="109"/>
      <c r="D195" s="125"/>
    </row>
    <row r="196" spans="1:25">
      <c r="A196" s="125"/>
      <c r="B196" s="109"/>
      <c r="C196" s="109"/>
      <c r="D196" s="125"/>
    </row>
    <row r="197" spans="1:25">
      <c r="A197" s="125"/>
      <c r="B197" s="109"/>
      <c r="C197" s="109"/>
      <c r="D197" s="125"/>
    </row>
    <row r="198" spans="1:25">
      <c r="A198" s="125"/>
      <c r="B198" s="109"/>
      <c r="C198" s="109"/>
      <c r="D198" s="125"/>
    </row>
    <row r="201" spans="1:25">
      <c r="A201" s="208" t="s">
        <v>178</v>
      </c>
      <c r="B201" s="208"/>
      <c r="C201" s="208"/>
      <c r="D201" s="208"/>
      <c r="E201" s="208"/>
      <c r="F201" s="208"/>
      <c r="G201" s="208" t="s">
        <v>199</v>
      </c>
      <c r="H201" s="208"/>
      <c r="I201" s="208"/>
      <c r="J201" s="208"/>
      <c r="K201" s="208"/>
      <c r="L201" s="208"/>
      <c r="M201" s="208"/>
      <c r="N201" s="208"/>
      <c r="O201" s="208"/>
      <c r="P201" s="108" t="s">
        <v>258</v>
      </c>
    </row>
    <row r="202" spans="1:25">
      <c r="A202" s="209" t="s">
        <v>180</v>
      </c>
      <c r="G202" s="209" t="s">
        <v>180</v>
      </c>
      <c r="J202" s="125"/>
      <c r="K202" s="125"/>
      <c r="L202" s="125"/>
      <c r="O202" s="209" t="s">
        <v>211</v>
      </c>
      <c r="P202" s="208" t="s">
        <v>259</v>
      </c>
      <c r="Q202" s="208"/>
      <c r="R202" s="208" t="s">
        <v>265</v>
      </c>
      <c r="S202" s="208"/>
      <c r="T202" s="208"/>
    </row>
    <row r="203" spans="1:25">
      <c r="A203" s="209"/>
      <c r="B203" s="108" t="s">
        <v>181</v>
      </c>
      <c r="C203" s="110" t="s">
        <v>182</v>
      </c>
      <c r="D203" s="208" t="s">
        <v>179</v>
      </c>
      <c r="E203" s="208"/>
      <c r="F203" s="108" t="s">
        <v>183</v>
      </c>
      <c r="G203" s="209"/>
      <c r="H203" s="108" t="s">
        <v>181</v>
      </c>
      <c r="I203" s="110" t="s">
        <v>182</v>
      </c>
      <c r="J203" s="108" t="s">
        <v>207</v>
      </c>
      <c r="K203" s="208" t="s">
        <v>208</v>
      </c>
      <c r="L203" s="208"/>
      <c r="M203" s="212" t="s">
        <v>210</v>
      </c>
      <c r="N203" s="212"/>
      <c r="O203" s="209"/>
      <c r="Q203" s="108" t="s">
        <v>209</v>
      </c>
      <c r="S203" s="108" t="s">
        <v>209</v>
      </c>
      <c r="T203" s="108" t="s">
        <v>266</v>
      </c>
    </row>
    <row r="204" spans="1:25">
      <c r="A204" s="209"/>
      <c r="B204" s="108" t="s">
        <v>5</v>
      </c>
      <c r="C204" s="108" t="s">
        <v>239</v>
      </c>
      <c r="E204" s="108" t="s">
        <v>209</v>
      </c>
      <c r="F204" s="108" t="s">
        <v>240</v>
      </c>
      <c r="G204" s="209"/>
      <c r="H204" s="108" t="s">
        <v>5</v>
      </c>
      <c r="I204" s="108" t="s">
        <v>239</v>
      </c>
      <c r="J204" s="108" t="s">
        <v>241</v>
      </c>
      <c r="L204" s="111" t="s">
        <v>209</v>
      </c>
      <c r="N204" s="108" t="s">
        <v>209</v>
      </c>
      <c r="O204" s="108" t="s">
        <v>240</v>
      </c>
      <c r="W204" s="108" t="s">
        <v>262</v>
      </c>
      <c r="X204" s="108" t="s">
        <v>263</v>
      </c>
      <c r="Y204" s="108" t="s">
        <v>264</v>
      </c>
    </row>
    <row r="205" spans="1:25">
      <c r="A205" s="108">
        <v>1</v>
      </c>
      <c r="B205" s="108">
        <f>10^A205</f>
        <v>10</v>
      </c>
      <c r="C205" s="108">
        <f t="shared" ref="C205:C236" si="16">2*PI()*B205</f>
        <v>62.831853071795862</v>
      </c>
      <c r="D205" s="108" t="str">
        <f t="shared" ref="D205:D236" si="17">IMDIV((7*Rsense*Vout_nom)/((1/(fsw/kHz)*kHz)*M1M2_calc*Lbst*mH),IMPRODUCT((COMPLEX(0,C205*1)),COMPLEX(1,(C205/(2*PI()*f_iavgactual*kHz)))))</f>
        <v>-1.23488158959489-1191.28244549302i</v>
      </c>
      <c r="E205" s="108">
        <f t="shared" ref="E205:E236" si="18">20*LOG(IMABS(D205))</f>
        <v>61.520299509679461</v>
      </c>
      <c r="F205" s="108">
        <f t="shared" ref="F205:F236" si="19">180/PI()*IMARGUMENT(D205)</f>
        <v>-90.059392697514753</v>
      </c>
      <c r="G205" s="108">
        <v>-2</v>
      </c>
      <c r="H205" s="112">
        <f>10^G205</f>
        <v>0.01</v>
      </c>
      <c r="I205" s="112">
        <f>2*PI()*H205</f>
        <v>6.2831853071795868E-2</v>
      </c>
      <c r="J205" s="112">
        <f>(CALCULATIONS!$C$127*10^3)/((CALCULATIONS!$C$123*10^6)+(CALCULATIONS!$C$127*10^3))</f>
        <v>1.2782694198623401E-2</v>
      </c>
      <c r="K205" s="112" t="str">
        <f t="shared" ref="K205:K236" si="20">IMDIV((M_3*Vout_nom)/(M1M2_calc),COMPLEX(1,(I205/(2*PI()*fPWM_PSpole))))</f>
        <v>691.460623818485-11.7123822255978i</v>
      </c>
      <c r="L205" s="108">
        <f t="shared" ref="L205:L236" si="21">20*LOG(IMABS(K205))</f>
        <v>56.796594956915634</v>
      </c>
      <c r="M205" s="108" t="str">
        <f t="shared" ref="M205:M253" si="22">IMPRODUCT(J205,K205)</f>
        <v>8.83872970466107-0.149715800327209i</v>
      </c>
      <c r="N205" s="108">
        <f t="shared" ref="N205:N236" si="23">20*LOG(IMABS(M205))</f>
        <v>18.92904294459748</v>
      </c>
      <c r="O205" s="108">
        <f t="shared" ref="O205:O236" si="24">180/PI()*IMARGUMENT(M205)</f>
        <v>-0.97041809343661789</v>
      </c>
      <c r="P205" s="108" t="str">
        <f>IMPRODUCT(42*10^-6,IMDIV((COMPLEX(1,I205*(CALCULATIONS!C267*10^3)*(CALCULATIONS!C265*10^-6))),IMPRODUCT((COMPLEX(0,data!I205*((CALCULATIONS!C265*10^-6)+(CALCULATIONS!C271*10^-6)))),(COMPLEX(1,I205*((CALCULATIONS!C267*10^3)*(CALCULATIONS!C265*10^-6)*(CALCULATIONS!C271*10^-6))/((CALCULATIONS!C265*10^-6)+(CALCULATIONS!C271*10^-6)))))))</f>
        <v>0.581072557868384-40.1234420257303i</v>
      </c>
      <c r="Q205" s="108">
        <f t="shared" ref="Q205:Q236" si="25">20*LOG(IMABS(P205))</f>
        <v>32.068874404124557</v>
      </c>
      <c r="R205" s="108" t="str">
        <f t="shared" ref="R205:R265" si="26">IMPRODUCT((M205),(P205))</f>
        <v>-0.87116995696991-354.727254629118i</v>
      </c>
      <c r="S205" s="108">
        <f t="shared" ref="S205:S236" si="27">20*LOG(IMABS(R205))</f>
        <v>50.997917348722041</v>
      </c>
      <c r="T205" s="108">
        <f t="shared" ref="T205:T236" si="28">(180/PI()*IMARGUMENT(R205))+180</f>
        <v>89.85928833837508</v>
      </c>
      <c r="W205" s="108" t="str">
        <f>COMPLEX(1,I205*(CALCULATIONS!C267*10^3)*(CALCULATIONS!C265*10^-6))</f>
        <v>1+0.015079644737231i</v>
      </c>
      <c r="X205" s="108" t="str">
        <f>COMPLEX(0,data!I205*((CALCULATIONS!C265*10^-6)+(CALCULATIONS!C271*10^-6)))</f>
        <v>1.04677867217612E-06i</v>
      </c>
      <c r="Y205" s="108" t="str">
        <f>COMPLEX(1,I205*((CALCULATIONS!C267*10^3)*(CALCULATIONS!C265*10^-6)*(CALCULATIONS!C271*10^-6))/((CALCULATIONS!C265*10^-6)+(CALCULATIONS!C271*10^-6)))</f>
        <v>1+0.000597392888749848i</v>
      </c>
    </row>
    <row r="206" spans="1:25">
      <c r="A206" s="108">
        <v>1.1000000000000001</v>
      </c>
      <c r="B206" s="108">
        <f t="shared" ref="B206:B265" si="29">10^A206</f>
        <v>12.58925411794168</v>
      </c>
      <c r="C206" s="108">
        <f t="shared" si="16"/>
        <v>79.100616502201262</v>
      </c>
      <c r="D206" s="108" t="str">
        <f t="shared" si="17"/>
        <v>-1.23488081348666-946.26868726763i</v>
      </c>
      <c r="E206" s="108">
        <f t="shared" si="18"/>
        <v>59.520296780190009</v>
      </c>
      <c r="F206" s="108">
        <f t="shared" si="19"/>
        <v>-90.074770960512097</v>
      </c>
      <c r="G206" s="108">
        <v>-1.9</v>
      </c>
      <c r="H206" s="112">
        <f t="shared" ref="H206:H265" si="30">10^G206</f>
        <v>1.2589254117941664E-2</v>
      </c>
      <c r="I206" s="112">
        <f t="shared" ref="I206:I265" si="31">2*PI()*H206</f>
        <v>7.9100616502201168E-2</v>
      </c>
      <c r="J206" s="112">
        <f>(CALCULATIONS!$C$127*10^3)/((CALCULATIONS!$C$123*10^6)+(CALCULATIONS!$C$127*10^3))</f>
        <v>1.2782694198623401E-2</v>
      </c>
      <c r="K206" s="112" t="str">
        <f t="shared" si="20"/>
        <v>691.344638733784-14.7425422986278i</v>
      </c>
      <c r="L206" s="108">
        <f t="shared" si="21"/>
        <v>56.795866413515476</v>
      </c>
      <c r="M206" s="108" t="str">
        <f t="shared" si="22"/>
        <v>8.83724710279173-0.18844940991363i</v>
      </c>
      <c r="N206" s="108">
        <f t="shared" si="23"/>
        <v>18.928314401197316</v>
      </c>
      <c r="O206" s="108">
        <f t="shared" si="24"/>
        <v>-1.2216156825775959</v>
      </c>
      <c r="P206" s="108" t="str">
        <f>IMPRODUCT(42*10^-6,IMDIV((COMPLEX(1,I206*(CALCULATIONS!C267*10^3)*(CALCULATIONS!C265*10^-6))),IMPRODUCT((COMPLEX(0,data!I206*((CALCULATIONS!C265*10^-6)+(CALCULATIONS!C271*10^-6)))),(COMPLEX(1,I206*((CALCULATIONS!C267*10^3)*(CALCULATIONS!C265*10^-6)*(CALCULATIONS!C271*10^-6))/((CALCULATIONS!C265*10^-6)+(CALCULATIONS!C271*10^-6)))))))</f>
        <v>0.581072436577886-31.8713441502434i</v>
      </c>
      <c r="Q206" s="108">
        <f t="shared" si="25"/>
        <v>30.069450949052225</v>
      </c>
      <c r="R206" s="108" t="str">
        <f t="shared" si="26"/>
        <v>-0.871055291607537-281.764446511607i</v>
      </c>
      <c r="S206" s="108">
        <f t="shared" si="27"/>
        <v>48.997765350249551</v>
      </c>
      <c r="T206" s="108">
        <f t="shared" si="28"/>
        <v>89.822874626086517</v>
      </c>
    </row>
    <row r="207" spans="1:25">
      <c r="A207" s="108">
        <v>1.2</v>
      </c>
      <c r="B207" s="108">
        <f t="shared" si="29"/>
        <v>15.848931924611136</v>
      </c>
      <c r="C207" s="108">
        <f t="shared" si="16"/>
        <v>99.581776203206175</v>
      </c>
      <c r="D207" s="108" t="str">
        <f t="shared" si="17"/>
        <v>-1.23487958344001-751.647187226681i</v>
      </c>
      <c r="E207" s="108">
        <f t="shared" si="18"/>
        <v>57.520292454244249</v>
      </c>
      <c r="F207" s="108">
        <f t="shared" si="19"/>
        <v>-90.094131030998739</v>
      </c>
      <c r="G207" s="108">
        <v>-1.8</v>
      </c>
      <c r="H207" s="112">
        <f t="shared" si="30"/>
        <v>1.5848931924611124E-2</v>
      </c>
      <c r="I207" s="112">
        <f t="shared" si="31"/>
        <v>9.9581776203206102E-2</v>
      </c>
      <c r="J207" s="112">
        <f>(CALCULATIONS!$C$127*10^3)/((CALCULATIONS!$C$123*10^6)+(CALCULATIONS!$C$127*10^3))</f>
        <v>1.2782694198623401E-2</v>
      </c>
      <c r="K207" s="112" t="str">
        <f t="shared" si="20"/>
        <v>691.160894445306-18.5548283554993i</v>
      </c>
      <c r="L207" s="108">
        <f t="shared" si="21"/>
        <v>56.794712000326932</v>
      </c>
      <c r="M207" s="108" t="str">
        <f t="shared" si="22"/>
        <v>8.83489835574137-0.237180696776294i</v>
      </c>
      <c r="N207" s="108">
        <f t="shared" si="23"/>
        <v>18.927159988008768</v>
      </c>
      <c r="O207" s="108">
        <f t="shared" si="24"/>
        <v>-1.5377867547259521</v>
      </c>
      <c r="P207" s="108" t="str">
        <f>IMPRODUCT(42*10^-6,IMDIV((COMPLEX(1,I207*(CALCULATIONS!C267*10^3)*(CALCULATIONS!C265*10^-6))),IMPRODUCT((COMPLEX(0,data!I207*((CALCULATIONS!C265*10^-6)+(CALCULATIONS!C271*10^-6)))),(COMPLEX(1,I207*((CALCULATIONS!C267*10^3)*(CALCULATIONS!C265*10^-6)*(CALCULATIONS!C271*10^-6))/((CALCULATIONS!C265*10^-6)+(CALCULATIONS!C271*10^-6)))))))</f>
        <v>0.581072244345503-25.3165115700917i</v>
      </c>
      <c r="Q207" s="108">
        <f t="shared" si="25"/>
        <v>28.070364553937786</v>
      </c>
      <c r="R207" s="108" t="str">
        <f t="shared" si="26"/>
        <v>-0.870873638004426-223.806625563502i</v>
      </c>
      <c r="S207" s="108">
        <f t="shared" si="27"/>
        <v>46.997524541946561</v>
      </c>
      <c r="T207" s="108">
        <f t="shared" si="28"/>
        <v>89.777052480078709</v>
      </c>
    </row>
    <row r="208" spans="1:25">
      <c r="A208" s="108">
        <v>1.3</v>
      </c>
      <c r="B208" s="108">
        <f t="shared" si="29"/>
        <v>19.952623149688804</v>
      </c>
      <c r="C208" s="108">
        <f t="shared" si="16"/>
        <v>125.36602861381597</v>
      </c>
      <c r="D208" s="108" t="str">
        <f t="shared" si="17"/>
        <v>-1.23487763395246-597.053640803315i</v>
      </c>
      <c r="E208" s="108">
        <f t="shared" si="18"/>
        <v>55.5202855980911</v>
      </c>
      <c r="F208" s="108">
        <f t="shared" si="19"/>
        <v>-90.118503884602433</v>
      </c>
      <c r="G208" s="108">
        <v>-1.7</v>
      </c>
      <c r="H208" s="112">
        <f t="shared" si="30"/>
        <v>1.9952623149688792E-2</v>
      </c>
      <c r="I208" s="112">
        <f t="shared" si="31"/>
        <v>0.12536602861381591</v>
      </c>
      <c r="J208" s="112">
        <f>(CALCULATIONS!$C$127*10^3)/((CALCULATIONS!$C$123*10^6)+(CALCULATIONS!$C$127*10^3))</f>
        <v>1.2782694198623401E-2</v>
      </c>
      <c r="K208" s="112" t="str">
        <f t="shared" si="20"/>
        <v>690.869879356216-23.3493094995969i</v>
      </c>
      <c r="L208" s="108">
        <f t="shared" si="21"/>
        <v>56.792883007056936</v>
      </c>
      <c r="M208" s="108" t="str">
        <f t="shared" si="22"/>
        <v>8.83117839885035-0.29846708308236i</v>
      </c>
      <c r="N208" s="108">
        <f t="shared" si="23"/>
        <v>18.925330994738779</v>
      </c>
      <c r="O208" s="108">
        <f t="shared" si="24"/>
        <v>-1.9356870380737325</v>
      </c>
      <c r="P208" s="108" t="str">
        <f>IMPRODUCT(42*10^-6,IMDIV((COMPLEX(1,I208*(CALCULATIONS!C267*10^3)*(CALCULATIONS!C265*10^-6))),IMPRODUCT((COMPLEX(0,data!I208*((CALCULATIONS!C265*10^-6)+(CALCULATIONS!C271*10^-6)))),(COMPLEX(1,I208*((CALCULATIONS!C267*10^3)*(CALCULATIONS!C265*10^-6)*(CALCULATIONS!C271*10^-6))/((CALCULATIONS!C265*10^-6)+(CALCULATIONS!C271*10^-6)))))))</f>
        <v>0.58107193967797-20.1098755479553i</v>
      </c>
      <c r="Q208" s="108">
        <f t="shared" si="25"/>
        <v>26.07181212529731</v>
      </c>
      <c r="R208" s="108" t="str">
        <f t="shared" si="26"/>
        <v>-0.870585934085332-177.767329389568i</v>
      </c>
      <c r="S208" s="108">
        <f t="shared" si="27"/>
        <v>44.997143120036071</v>
      </c>
      <c r="T208" s="108">
        <f t="shared" si="28"/>
        <v>89.719405690998244</v>
      </c>
    </row>
    <row r="209" spans="1:20">
      <c r="A209" s="108">
        <v>1.4</v>
      </c>
      <c r="B209" s="108">
        <f t="shared" si="29"/>
        <v>25.118864315095799</v>
      </c>
      <c r="C209" s="108">
        <f t="shared" si="16"/>
        <v>157.82647919764753</v>
      </c>
      <c r="D209" s="108" t="str">
        <f t="shared" si="17"/>
        <v>-1.23487454423551-474.255377924682i</v>
      </c>
      <c r="E209" s="108">
        <f t="shared" si="18"/>
        <v>53.52027473184279</v>
      </c>
      <c r="F209" s="108">
        <f t="shared" si="19"/>
        <v>-90.149187427297576</v>
      </c>
      <c r="G209" s="108">
        <v>-1.6</v>
      </c>
      <c r="H209" s="112">
        <f t="shared" si="30"/>
        <v>2.511886431509578E-2</v>
      </c>
      <c r="I209" s="112">
        <f t="shared" si="31"/>
        <v>0.15782647919764742</v>
      </c>
      <c r="J209" s="112">
        <f>(CALCULATIONS!$C$127*10^3)/((CALCULATIONS!$C$123*10^6)+(CALCULATIONS!$C$127*10^3))</f>
        <v>1.2782694198623401E-2</v>
      </c>
      <c r="K209" s="112" t="str">
        <f t="shared" si="20"/>
        <v>690.409153177147-29.375436161142i</v>
      </c>
      <c r="L209" s="108">
        <f t="shared" si="21"/>
        <v>56.789985824953312</v>
      </c>
      <c r="M209" s="108" t="str">
        <f t="shared" si="22"/>
        <v>8.82528907699401-0.375497217399062i</v>
      </c>
      <c r="N209" s="108">
        <f t="shared" si="23"/>
        <v>18.922433812635152</v>
      </c>
      <c r="O209" s="108">
        <f t="shared" si="24"/>
        <v>-2.4363436723987326</v>
      </c>
      <c r="P209" s="108" t="str">
        <f>IMPRODUCT(42*10^-6,IMDIV((COMPLEX(1,I209*(CALCULATIONS!C267*10^3)*(CALCULATIONS!C265*10^-6))),IMPRODUCT((COMPLEX(0,data!I209*((CALCULATIONS!C265*10^-6)+(CALCULATIONS!C271*10^-6)))),(COMPLEX(1,I209*((CALCULATIONS!C267*10^3)*(CALCULATIONS!C265*10^-6)*(CALCULATIONS!C271*10^-6))/((CALCULATIONS!C265*10^-6)+(CALCULATIONS!C271*10^-6)))))))</f>
        <v>0.581071456813121-15.9741637293436i</v>
      </c>
      <c r="Q209" s="108">
        <f t="shared" si="25"/>
        <v>24.074105380296722</v>
      </c>
      <c r="R209" s="108" t="str">
        <f t="shared" si="26"/>
        <v>-0.870130449879711-141.194803389833i</v>
      </c>
      <c r="S209" s="108">
        <f t="shared" si="27"/>
        <v>42.996539192931849</v>
      </c>
      <c r="T209" s="108">
        <f t="shared" si="28"/>
        <v>89.646912137741808</v>
      </c>
    </row>
    <row r="210" spans="1:20">
      <c r="A210" s="108">
        <v>1.5</v>
      </c>
      <c r="B210" s="108">
        <f t="shared" si="29"/>
        <v>31.622776601683803</v>
      </c>
      <c r="C210" s="108">
        <f t="shared" si="16"/>
        <v>198.69176531592208</v>
      </c>
      <c r="D210" s="108" t="str">
        <f t="shared" si="17"/>
        <v>-1.23486964739583-376.712943311188i</v>
      </c>
      <c r="E210" s="108">
        <f t="shared" si="18"/>
        <v>51.520257510055565</v>
      </c>
      <c r="F210" s="108">
        <f t="shared" si="19"/>
        <v>-90.187815595086064</v>
      </c>
      <c r="G210" s="108">
        <v>-1.5</v>
      </c>
      <c r="H210" s="112">
        <f t="shared" si="30"/>
        <v>3.1622776601683784E-2</v>
      </c>
      <c r="I210" s="112">
        <f t="shared" si="31"/>
        <v>0.19869176531592195</v>
      </c>
      <c r="J210" s="112">
        <f>(CALCULATIONS!$C$127*10^3)/((CALCULATIONS!$C$123*10^6)+(CALCULATIONS!$C$127*10^3))</f>
        <v>1.2782694198623401E-2</v>
      </c>
      <c r="K210" s="112" t="str">
        <f t="shared" si="20"/>
        <v>689.680208792038-36.9424374588429i</v>
      </c>
      <c r="L210" s="108">
        <f t="shared" si="21"/>
        <v>56.785398056041664</v>
      </c>
      <c r="M210" s="108" t="str">
        <f t="shared" si="22"/>
        <v>8.81597120383136-0.472223880988159i</v>
      </c>
      <c r="N210" s="108">
        <f t="shared" si="23"/>
        <v>18.917846043723504</v>
      </c>
      <c r="O210" s="108">
        <f t="shared" si="24"/>
        <v>-3.0660947880308518</v>
      </c>
      <c r="P210" s="108" t="str">
        <f>IMPRODUCT(42*10^-6,IMDIV((COMPLEX(1,I210*(CALCULATIONS!C267*10^3)*(CALCULATIONS!C265*10^-6))),IMPRODUCT((COMPLEX(0,data!I210*((CALCULATIONS!C265*10^-6)+(CALCULATIONS!C271*10^-6)))),(COMPLEX(1,I210*((CALCULATIONS!C267*10^3)*(CALCULATIONS!C265*10^-6)*(CALCULATIONS!C271*10^-6))/((CALCULATIONS!C265*10^-6)+(CALCULATIONS!C271*10^-6)))))))</f>
        <v>0.581070691525556-12.689134378532i</v>
      </c>
      <c r="Q210" s="108">
        <f t="shared" si="25"/>
        <v>22.077737458090002</v>
      </c>
      <c r="R210" s="108" t="str">
        <f t="shared" si="26"/>
        <v>-0.869409798730975-112.141438739765i</v>
      </c>
      <c r="S210" s="108">
        <f t="shared" si="27"/>
        <v>40.995583501813478</v>
      </c>
      <c r="T210" s="108">
        <f t="shared" si="28"/>
        <v>89.555806357557117</v>
      </c>
    </row>
    <row r="211" spans="1:20">
      <c r="A211" s="108">
        <v>1.6</v>
      </c>
      <c r="B211" s="108">
        <f t="shared" si="29"/>
        <v>39.810717055349755</v>
      </c>
      <c r="C211" s="108">
        <f t="shared" si="16"/>
        <v>250.13811247045734</v>
      </c>
      <c r="D211" s="108" t="str">
        <f t="shared" si="17"/>
        <v>-1.23486188650751-299.231846638987i</v>
      </c>
      <c r="E211" s="108">
        <f t="shared" si="18"/>
        <v>49.520230215502053</v>
      </c>
      <c r="F211" s="108">
        <f t="shared" si="19"/>
        <v>-90.236445330046195</v>
      </c>
      <c r="G211" s="108">
        <v>-1.4</v>
      </c>
      <c r="H211" s="112">
        <f t="shared" si="30"/>
        <v>3.9810717055349727E-2</v>
      </c>
      <c r="I211" s="112">
        <f t="shared" si="31"/>
        <v>0.25013811247045714</v>
      </c>
      <c r="J211" s="112">
        <f>(CALCULATIONS!$C$127*10^3)/((CALCULATIONS!$C$123*10^6)+(CALCULATIONS!$C$127*10^3))</f>
        <v>1.2782694198623401E-2</v>
      </c>
      <c r="K211" s="112" t="str">
        <f t="shared" si="20"/>
        <v>688.528057537515-46.430079326513i</v>
      </c>
      <c r="L211" s="108">
        <f t="shared" si="21"/>
        <v>56.778136845077469</v>
      </c>
      <c r="M211" s="108" t="str">
        <f t="shared" si="22"/>
        <v>8.80124360667423-0.593501505648642i</v>
      </c>
      <c r="N211" s="108">
        <f t="shared" si="23"/>
        <v>18.910584832759312</v>
      </c>
      <c r="O211" s="108">
        <f t="shared" si="24"/>
        <v>-3.8578329410887018</v>
      </c>
      <c r="P211" s="108" t="str">
        <f>IMPRODUCT(42*10^-6,IMDIV((COMPLEX(1,I211*(CALCULATIONS!C267*10^3)*(CALCULATIONS!C265*10^-6))),IMPRODUCT((COMPLEX(0,data!I211*((CALCULATIONS!C265*10^-6)+(CALCULATIONS!C271*10^-6)))),(COMPLEX(1,I211*((CALCULATIONS!C267*10^3)*(CALCULATIONS!C265*10^-6)*(CALCULATIONS!C271*10^-6))/((CALCULATIONS!C265*10^-6)+(CALCULATIONS!C271*10^-6)))))))</f>
        <v>0.581069478630631-10.0798477028036i</v>
      </c>
      <c r="Q211" s="108">
        <f t="shared" si="25"/>
        <v>20.083487678996683</v>
      </c>
      <c r="R211" s="108" t="str">
        <f t="shared" si="26"/>
        <v>-0.868270754491573-89.0600607610039i</v>
      </c>
      <c r="S211" s="108">
        <f t="shared" si="27"/>
        <v>38.994072511755995</v>
      </c>
      <c r="T211" s="108">
        <f t="shared" si="28"/>
        <v>89.441425559228733</v>
      </c>
    </row>
    <row r="212" spans="1:20">
      <c r="A212" s="108">
        <v>1.7</v>
      </c>
      <c r="B212" s="108">
        <f t="shared" si="29"/>
        <v>50.118723362727238</v>
      </c>
      <c r="C212" s="108">
        <f t="shared" si="16"/>
        <v>314.90522624728607</v>
      </c>
      <c r="D212" s="108" t="str">
        <f t="shared" si="17"/>
        <v>-1.23484958652826-237.685936993224i</v>
      </c>
      <c r="E212" s="108">
        <f t="shared" si="18"/>
        <v>47.520186956901426</v>
      </c>
      <c r="F212" s="108">
        <f t="shared" si="19"/>
        <v>-90.297666046173831</v>
      </c>
      <c r="G212" s="108">
        <v>-1.3</v>
      </c>
      <c r="H212" s="112">
        <f t="shared" si="30"/>
        <v>5.0118723362727206E-2</v>
      </c>
      <c r="I212" s="112">
        <f t="shared" si="31"/>
        <v>0.31490522624728584</v>
      </c>
      <c r="J212" s="112">
        <f>(CALCULATIONS!$C$127*10^3)/((CALCULATIONS!$C$123*10^6)+(CALCULATIONS!$C$127*10^3))</f>
        <v>1.2782694198623401E-2</v>
      </c>
      <c r="K212" s="112" t="str">
        <f t="shared" si="20"/>
        <v>686.709885255644-58.297654538636i</v>
      </c>
      <c r="L212" s="108">
        <f t="shared" si="21"/>
        <v>56.76665341192524</v>
      </c>
      <c r="M212" s="108" t="str">
        <f t="shared" si="22"/>
        <v>8.77800246639466-0.745201090464374i</v>
      </c>
      <c r="N212" s="108">
        <f t="shared" si="23"/>
        <v>18.899101399607076</v>
      </c>
      <c r="O212" s="108">
        <f t="shared" si="24"/>
        <v>-4.8524418204242847</v>
      </c>
      <c r="P212" s="108" t="str">
        <f>IMPRODUCT(42*10^-6,IMDIV((COMPLEX(1,I212*(CALCULATIONS!C267*10^3)*(CALCULATIONS!C265*10^-6))),IMPRODUCT((COMPLEX(0,data!I212*((CALCULATIONS!C265*10^-6)+(CALCULATIONS!C271*10^-6)))),(COMPLEX(1,I212*((CALCULATIONS!C267*10^3)*(CALCULATIONS!C265*10^-6)*(CALCULATIONS!C271*10^-6))/((CALCULATIONS!C265*10^-6)+(CALCULATIONS!C271*10^-6)))))))</f>
        <v>0.581067556332098-8.00734967013601i</v>
      </c>
      <c r="Q212" s="108">
        <f t="shared" si="25"/>
        <v>18.092585549142406</v>
      </c>
      <c r="R212" s="108" t="str">
        <f t="shared" si="26"/>
        <v>-0.866473263289826-70.7215473303505i</v>
      </c>
      <c r="S212" s="108">
        <f t="shared" si="27"/>
        <v>36.991686948749482</v>
      </c>
      <c r="T212" s="108">
        <f t="shared" si="28"/>
        <v>89.298053011030831</v>
      </c>
    </row>
    <row r="213" spans="1:20">
      <c r="A213" s="108">
        <v>1.8</v>
      </c>
      <c r="B213" s="108">
        <f t="shared" si="29"/>
        <v>63.095734448019364</v>
      </c>
      <c r="C213" s="108">
        <f t="shared" si="16"/>
        <v>396.44219162950014</v>
      </c>
      <c r="D213" s="108" t="str">
        <f t="shared" si="17"/>
        <v>-1.23483009287679-188.797670295243i</v>
      </c>
      <c r="E213" s="108">
        <f t="shared" si="18"/>
        <v>45.52011839752236</v>
      </c>
      <c r="F213" s="108">
        <f t="shared" si="19"/>
        <v>-90.374737377826563</v>
      </c>
      <c r="G213" s="108">
        <v>-1.2</v>
      </c>
      <c r="H213" s="112">
        <f t="shared" si="30"/>
        <v>6.3095734448019317E-2</v>
      </c>
      <c r="I213" s="112">
        <f t="shared" si="31"/>
        <v>0.39644219162949984</v>
      </c>
      <c r="J213" s="112">
        <f>(CALCULATIONS!$C$127*10^3)/((CALCULATIONS!$C$123*10^6)+(CALCULATIONS!$C$127*10^3))</f>
        <v>1.2782694198623401E-2</v>
      </c>
      <c r="K213" s="112" t="str">
        <f t="shared" si="20"/>
        <v>683.847863802724-73.0865190379413i</v>
      </c>
      <c r="L213" s="108">
        <f t="shared" si="21"/>
        <v>56.74851536656881</v>
      </c>
      <c r="M213" s="108" t="str">
        <f t="shared" si="22"/>
        <v>8.74141812137209-0.934242622903871i</v>
      </c>
      <c r="N213" s="108">
        <f t="shared" si="23"/>
        <v>18.88096335425066</v>
      </c>
      <c r="O213" s="108">
        <f t="shared" si="24"/>
        <v>-6.1003533093069491</v>
      </c>
      <c r="P213" s="108" t="str">
        <f>IMPRODUCT(42*10^-6,IMDIV((COMPLEX(1,I213*(CALCULATIONS!C267*10^3)*(CALCULATIONS!C265*10^-6))),IMPRODUCT((COMPLEX(0,data!I213*((CALCULATIONS!C265*10^-6)+(CALCULATIONS!C271*10^-6)))),(COMPLEX(1,I213*((CALCULATIONS!C267*10^3)*(CALCULATIONS!C265*10^-6)*(CALCULATIONS!C271*10^-6))/((CALCULATIONS!C265*10^-6)+(CALCULATIONS!C271*10^-6)))))))</f>
        <v>0.581064509720293-6.3612721994396i</v>
      </c>
      <c r="Q213" s="108">
        <f t="shared" si="25"/>
        <v>16.106965652328192</v>
      </c>
      <c r="R213" s="108" t="str">
        <f t="shared" si="26"/>
        <v>-0.86364378965477-56.1493953107993i</v>
      </c>
      <c r="S213" s="108">
        <f t="shared" si="27"/>
        <v>34.98792900657886</v>
      </c>
      <c r="T213" s="108">
        <f t="shared" si="28"/>
        <v>89.118792959762274</v>
      </c>
    </row>
    <row r="214" spans="1:20">
      <c r="A214" s="108">
        <v>1.9</v>
      </c>
      <c r="B214" s="108">
        <f t="shared" si="29"/>
        <v>79.432823472428197</v>
      </c>
      <c r="C214" s="108">
        <f t="shared" si="16"/>
        <v>499.09114934975059</v>
      </c>
      <c r="D214" s="108" t="str">
        <f t="shared" si="17"/>
        <v>-1.23479919878195-149.963568147777i</v>
      </c>
      <c r="E214" s="108">
        <f t="shared" si="18"/>
        <v>43.520009740446078</v>
      </c>
      <c r="F214" s="108">
        <f t="shared" si="19"/>
        <v>-90.471762473273785</v>
      </c>
      <c r="G214" s="108">
        <v>-1.1000000000000001</v>
      </c>
      <c r="H214" s="112">
        <f t="shared" si="30"/>
        <v>7.9432823472428096E-2</v>
      </c>
      <c r="I214" s="112">
        <f t="shared" si="31"/>
        <v>0.49909114934974996</v>
      </c>
      <c r="J214" s="112">
        <f>(CALCULATIONS!$C$127*10^3)/((CALCULATIONS!$C$123*10^6)+(CALCULATIONS!$C$127*10^3))</f>
        <v>1.2782694198623401E-2</v>
      </c>
      <c r="K214" s="112" t="str">
        <f t="shared" si="20"/>
        <v>679.360411749426-91.4066976314852i</v>
      </c>
      <c r="L214" s="108">
        <f t="shared" si="21"/>
        <v>56.719922777468675</v>
      </c>
      <c r="M214" s="108" t="str">
        <f t="shared" si="22"/>
        <v>8.68405639404379-1.16842386352931i</v>
      </c>
      <c r="N214" s="108">
        <f t="shared" si="23"/>
        <v>18.852370765150518</v>
      </c>
      <c r="O214" s="108">
        <f t="shared" si="24"/>
        <v>-7.6630214490931374</v>
      </c>
      <c r="P214" s="108" t="str">
        <f>IMPRODUCT(42*10^-6,IMDIV((COMPLEX(1,I214*(CALCULATIONS!C267*10^3)*(CALCULATIONS!C265*10^-6))),IMPRODUCT((COMPLEX(0,data!I214*((CALCULATIONS!C265*10^-6)+(CALCULATIONS!C271*10^-6)))),(COMPLEX(1,I214*((CALCULATIONS!C267*10^3)*(CALCULATIONS!C265*10^-6)*(CALCULATIONS!C271*10^-6))/((CALCULATIONS!C265*10^-6)+(CALCULATIONS!C271*10^-6)))))))</f>
        <v>0.58105968123142-5.05395565606907i</v>
      </c>
      <c r="Q214" s="108">
        <f t="shared" si="25"/>
        <v>14.129659186654601</v>
      </c>
      <c r="R214" s="108" t="str">
        <f t="shared" si="26"/>
        <v>-0.859207353651273-44.5677599279859i</v>
      </c>
      <c r="S214" s="108">
        <f t="shared" si="27"/>
        <v>32.982029951805117</v>
      </c>
      <c r="T214" s="108">
        <f t="shared" si="28"/>
        <v>88.895550110684525</v>
      </c>
    </row>
    <row r="215" spans="1:20">
      <c r="A215" s="108">
        <v>2</v>
      </c>
      <c r="B215" s="108">
        <f t="shared" si="29"/>
        <v>100</v>
      </c>
      <c r="C215" s="108">
        <f t="shared" si="16"/>
        <v>628.31853071795865</v>
      </c>
      <c r="D215" s="108" t="str">
        <f t="shared" si="17"/>
        <v>-1.23475023810778-119.115573154562i</v>
      </c>
      <c r="E215" s="108">
        <f t="shared" si="18"/>
        <v>41.519837536154036</v>
      </c>
      <c r="F215" s="108">
        <f t="shared" si="19"/>
        <v>-90.593905916037457</v>
      </c>
      <c r="G215" s="108">
        <v>-1</v>
      </c>
      <c r="H215" s="112">
        <f t="shared" si="30"/>
        <v>0.1</v>
      </c>
      <c r="I215" s="112">
        <f t="shared" si="31"/>
        <v>0.62831853071795862</v>
      </c>
      <c r="J215" s="112">
        <f>(CALCULATIONS!$C$127*10^3)/((CALCULATIONS!$C$123*10^6)+(CALCULATIONS!$C$127*10^3))</f>
        <v>1.2782694198623401E-2</v>
      </c>
      <c r="K215" s="112" t="str">
        <f t="shared" si="20"/>
        <v>672.367675418813-113.889742081815i</v>
      </c>
      <c r="L215" s="108">
        <f t="shared" si="21"/>
        <v>56.674988682777538</v>
      </c>
      <c r="M215" s="108" t="str">
        <f t="shared" si="22"/>
        <v>8.59467038391796-1.45581774539193i</v>
      </c>
      <c r="N215" s="108">
        <f t="shared" si="23"/>
        <v>18.807436670459374</v>
      </c>
      <c r="O215" s="108">
        <f t="shared" si="24"/>
        <v>-9.6138562587657894</v>
      </c>
      <c r="P215" s="108" t="str">
        <f>IMPRODUCT(42*10^-6,IMDIV((COMPLEX(1,I215*(CALCULATIONS!C267*10^3)*(CALCULATIONS!C265*10^-6))),IMPRODUCT((COMPLEX(0,data!I215*((CALCULATIONS!C265*10^-6)+(CALCULATIONS!C271*10^-6)))),(COMPLEX(1,I215*((CALCULATIONS!C267*10^3)*(CALCULATIONS!C265*10^-6)*(CALCULATIONS!C271*10^-6))/((CALCULATIONS!C265*10^-6)+(CALCULATIONS!C271*10^-6)))))))</f>
        <v>0.581052028756647-4.01578065321137i</v>
      </c>
      <c r="Q215" s="108">
        <f t="shared" si="25"/>
        <v>12.165384097832197</v>
      </c>
      <c r="R215" s="108" t="str">
        <f t="shared" si="26"/>
        <v>-0.852294073476508-35.3602169029264i</v>
      </c>
      <c r="S215" s="108">
        <f t="shared" si="27"/>
        <v>30.972820768291569</v>
      </c>
      <c r="T215" s="108">
        <f t="shared" si="28"/>
        <v>88.619256209992002</v>
      </c>
    </row>
    <row r="216" spans="1:20">
      <c r="A216" s="108">
        <v>2.1</v>
      </c>
      <c r="B216" s="108">
        <f t="shared" si="29"/>
        <v>125.89254117941677</v>
      </c>
      <c r="C216" s="108">
        <f t="shared" si="16"/>
        <v>791.0061650220124</v>
      </c>
      <c r="D216" s="108" t="str">
        <f t="shared" si="17"/>
        <v>-1.23467264862128-94.6109173983635i</v>
      </c>
      <c r="E216" s="108">
        <f t="shared" si="18"/>
        <v>39.519564624729817</v>
      </c>
      <c r="F216" s="108">
        <f t="shared" si="19"/>
        <v>-90.747667588272392</v>
      </c>
      <c r="G216" s="108">
        <v>-0.9</v>
      </c>
      <c r="H216" s="112">
        <f t="shared" si="30"/>
        <v>0.12589254117941667</v>
      </c>
      <c r="I216" s="112">
        <f t="shared" si="31"/>
        <v>0.79100616502201182</v>
      </c>
      <c r="J216" s="112">
        <f>(CALCULATIONS!$C$127*10^3)/((CALCULATIONS!$C$123*10^6)+(CALCULATIONS!$C$127*10^3))</f>
        <v>1.2782694198623401E-2</v>
      </c>
      <c r="K216" s="112" t="str">
        <f t="shared" si="20"/>
        <v>661.575076130692-141.077228304512i</v>
      </c>
      <c r="L216" s="108">
        <f t="shared" si="21"/>
        <v>56.604711774879192</v>
      </c>
      <c r="M216" s="108" t="str">
        <f t="shared" si="22"/>
        <v>8.45671188760963-1.80334706780595i</v>
      </c>
      <c r="N216" s="108">
        <f t="shared" si="23"/>
        <v>18.737159762561035</v>
      </c>
      <c r="O216" s="108">
        <f t="shared" si="24"/>
        <v>-12.037705345010664</v>
      </c>
      <c r="P216" s="108" t="str">
        <f>IMPRODUCT(42*10^-6,IMDIV((COMPLEX(1,I216*(CALCULATIONS!C267*10^3)*(CALCULATIONS!C265*10^-6))),IMPRODUCT((COMPLEX(0,data!I216*((CALCULATIONS!C265*10^-6)+(CALCULATIONS!C271*10^-6)))),(COMPLEX(1,I216*((CALCULATIONS!C267*10^3)*(CALCULATIONS!C265*10^-6)*(CALCULATIONS!C271*10^-6))/((CALCULATIONS!C265*10^-6)+(CALCULATIONS!C271*10^-6)))))))</f>
        <v>0.581039900814349-3.19146055885745i</v>
      </c>
      <c r="Q216" s="108">
        <f t="shared" si="25"/>
        <v>10.221407204159647</v>
      </c>
      <c r="R216" s="108" t="str">
        <f t="shared" si="26"/>
        <v>-0.841624004441695-28.0370790483389i</v>
      </c>
      <c r="S216" s="108">
        <f t="shared" si="27"/>
        <v>28.958566966720682</v>
      </c>
      <c r="T216" s="108">
        <f t="shared" si="28"/>
        <v>88.280597380402909</v>
      </c>
    </row>
    <row r="217" spans="1:20">
      <c r="A217" s="108">
        <v>2.2000000000000002</v>
      </c>
      <c r="B217" s="108">
        <f t="shared" si="29"/>
        <v>158.48931924611153</v>
      </c>
      <c r="C217" s="108">
        <f t="shared" si="16"/>
        <v>995.81776203206277</v>
      </c>
      <c r="D217" s="108" t="str">
        <f t="shared" si="17"/>
        <v>-1.23454969754453-75.1446392097525i</v>
      </c>
      <c r="E217" s="108">
        <f t="shared" si="18"/>
        <v>37.519132124397807</v>
      </c>
      <c r="F217" s="108">
        <f t="shared" si="19"/>
        <v>-90.941226480412112</v>
      </c>
      <c r="G217" s="108">
        <v>-0.8</v>
      </c>
      <c r="H217" s="112">
        <f t="shared" si="30"/>
        <v>0.15848931924611132</v>
      </c>
      <c r="I217" s="112">
        <f t="shared" si="31"/>
        <v>0.9958177620320614</v>
      </c>
      <c r="J217" s="112">
        <f>(CALCULATIONS!$C$127*10^3)/((CALCULATIONS!$C$123*10^6)+(CALCULATIONS!$C$127*10^3))</f>
        <v>1.2782694198623401E-2</v>
      </c>
      <c r="K217" s="112" t="str">
        <f t="shared" si="20"/>
        <v>645.162072895892-173.199491178804i</v>
      </c>
      <c r="L217" s="108">
        <f t="shared" si="21"/>
        <v>56.495608706656377</v>
      </c>
      <c r="M217" s="108" t="str">
        <f t="shared" si="22"/>
        <v>8.24690948637817-2.21395613109582i</v>
      </c>
      <c r="N217" s="108">
        <f t="shared" si="23"/>
        <v>18.628056694338216</v>
      </c>
      <c r="O217" s="108">
        <f t="shared" si="24"/>
        <v>-15.0272435507139</v>
      </c>
      <c r="P217" s="108" t="str">
        <f>IMPRODUCT(42*10^-6,IMDIV((COMPLEX(1,I217*(CALCULATIONS!C267*10^3)*(CALCULATIONS!C265*10^-6))),IMPRODUCT((COMPLEX(0,data!I217*((CALCULATIONS!C265*10^-6)+(CALCULATIONS!C271*10^-6)))),(COMPLEX(1,I217*((CALCULATIONS!C267*10^3)*(CALCULATIONS!C265*10^-6)*(CALCULATIONS!C271*10^-6))/((CALCULATIONS!C265*10^-6)+(CALCULATIONS!C271*10^-6)))))))</f>
        <v>0.581020680358184-2.53709726745392i</v>
      </c>
      <c r="Q217" s="108">
        <f t="shared" si="25"/>
        <v>8.3087388630918664</v>
      </c>
      <c r="R217" s="108" t="str">
        <f t="shared" si="26"/>
        <v>-0.825397089838251-22.2095658204023i</v>
      </c>
      <c r="S217" s="108">
        <f t="shared" si="27"/>
        <v>26.93679555743007</v>
      </c>
      <c r="T217" s="108">
        <f t="shared" si="28"/>
        <v>87.87163713643902</v>
      </c>
    </row>
    <row r="218" spans="1:20">
      <c r="A218" s="108">
        <v>2.2999999999999998</v>
      </c>
      <c r="B218" s="108">
        <f t="shared" si="29"/>
        <v>199.52623149688802</v>
      </c>
      <c r="C218" s="108">
        <f t="shared" si="16"/>
        <v>1253.6602861381596</v>
      </c>
      <c r="D218" s="108" t="str">
        <f t="shared" si="17"/>
        <v>-1.23435488337181-59.6800895001765i</v>
      </c>
      <c r="E218" s="108">
        <f t="shared" si="18"/>
        <v>35.518446745780615</v>
      </c>
      <c r="F218" s="108">
        <f t="shared" si="19"/>
        <v>-91.184871600028472</v>
      </c>
      <c r="G218" s="108">
        <v>-0.7</v>
      </c>
      <c r="H218" s="112">
        <f t="shared" si="30"/>
        <v>0.19952623149688795</v>
      </c>
      <c r="I218" s="112">
        <f t="shared" si="31"/>
        <v>1.2536602861381592</v>
      </c>
      <c r="J218" s="112">
        <f>(CALCULATIONS!$C$127*10^3)/((CALCULATIONS!$C$123*10^6)+(CALCULATIONS!$C$127*10^3))</f>
        <v>1.2782694198623401E-2</v>
      </c>
      <c r="K218" s="112" t="str">
        <f t="shared" si="20"/>
        <v>620.754272825257-209.796143564697i</v>
      </c>
      <c r="L218" s="108">
        <f t="shared" si="21"/>
        <v>56.328117596492405</v>
      </c>
      <c r="M218" s="108" t="str">
        <f t="shared" si="22"/>
        <v>7.9349120420141-2.68175994723801i</v>
      </c>
      <c r="N218" s="108">
        <f t="shared" si="23"/>
        <v>18.460565584174248</v>
      </c>
      <c r="O218" s="108">
        <f t="shared" si="24"/>
        <v>-18.67369586216682</v>
      </c>
      <c r="P218" s="108" t="str">
        <f>IMPRODUCT(42*10^-6,IMDIV((COMPLEX(1,I218*(CALCULATIONS!C267*10^3)*(CALCULATIONS!C265*10^-6))),IMPRODUCT((COMPLEX(0,data!I218*((CALCULATIONS!C265*10^-6)+(CALCULATIONS!C271*10^-6)))),(COMPLEX(1,I218*((CALCULATIONS!C267*10^3)*(CALCULATIONS!C265*10^-6)*(CALCULATIONS!C271*10^-6))/((CALCULATIONS!C265*10^-6)+(CALCULATIONS!C271*10^-6)))))))</f>
        <v>0.58099022059265-2.01784343859932i</v>
      </c>
      <c r="Q218" s="108">
        <f t="shared" si="25"/>
        <v>6.4436391385463594</v>
      </c>
      <c r="R218" s="108" t="str">
        <f t="shared" si="26"/>
        <v>-0.801265415759629-17.5694865031632i</v>
      </c>
      <c r="S218" s="108">
        <f t="shared" si="27"/>
        <v>24.904204722720596</v>
      </c>
      <c r="T218" s="108">
        <f t="shared" si="28"/>
        <v>87.388805983683795</v>
      </c>
    </row>
    <row r="219" spans="1:20">
      <c r="A219" s="108">
        <v>2.4</v>
      </c>
      <c r="B219" s="108">
        <f t="shared" si="29"/>
        <v>251.18864315095806</v>
      </c>
      <c r="C219" s="108">
        <f t="shared" si="16"/>
        <v>1578.2647919764759</v>
      </c>
      <c r="D219" s="108" t="str">
        <f t="shared" si="17"/>
        <v>-1.2340462496275-47.3937270166943i</v>
      </c>
      <c r="E219" s="108">
        <f t="shared" si="18"/>
        <v>33.517360715386367</v>
      </c>
      <c r="F219" s="108">
        <f t="shared" si="19"/>
        <v>-91.491540623913124</v>
      </c>
      <c r="G219" s="108">
        <v>-0.6</v>
      </c>
      <c r="H219" s="112">
        <f t="shared" si="30"/>
        <v>0.25118864315095801</v>
      </c>
      <c r="I219" s="112">
        <f t="shared" si="31"/>
        <v>1.5782647919764756</v>
      </c>
      <c r="J219" s="112">
        <f>(CALCULATIONS!$C$127*10^3)/((CALCULATIONS!$C$123*10^6)+(CALCULATIONS!$C$127*10^3))</f>
        <v>1.2782694198623401E-2</v>
      </c>
      <c r="K219" s="112" t="str">
        <f t="shared" si="20"/>
        <v>585.639476604112-249.177099974146i</v>
      </c>
      <c r="L219" s="108">
        <f t="shared" si="21"/>
        <v>56.07522385866703</v>
      </c>
      <c r="M219" s="108" t="str">
        <f t="shared" si="22"/>
        <v>7.48605034007223-3.18515467026932i</v>
      </c>
      <c r="N219" s="108">
        <f t="shared" si="23"/>
        <v>18.207671846348884</v>
      </c>
      <c r="O219" s="108">
        <f t="shared" si="24"/>
        <v>-23.048717413397835</v>
      </c>
      <c r="P219" s="108" t="str">
        <f>IMPRODUCT(42*10^-6,IMDIV((COMPLEX(1,I219*(CALCULATIONS!C267*10^3)*(CALCULATIONS!C265*10^-6))),IMPRODUCT((COMPLEX(0,data!I219*((CALCULATIONS!C265*10^-6)+(CALCULATIONS!C271*10^-6)))),(COMPLEX(1,I219*((CALCULATIONS!C267*10^3)*(CALCULATIONS!C265*10^-6)*(CALCULATIONS!C271*10^-6))/((CALCULATIONS!C265*10^-6)+(CALCULATIONS!C271*10^-6)))))))</f>
        <v>0.580941951658975-1.60604669503225i</v>
      </c>
      <c r="Q219" s="108">
        <f t="shared" si="25"/>
        <v>4.6491849386642521</v>
      </c>
      <c r="R219" s="108" t="str">
        <f t="shared" si="26"/>
        <v>-0.766546436573683-13.873336378i</v>
      </c>
      <c r="S219" s="108">
        <f t="shared" si="27"/>
        <v>22.856856785013125</v>
      </c>
      <c r="T219" s="108">
        <f t="shared" si="28"/>
        <v>86.837439710042517</v>
      </c>
    </row>
    <row r="220" spans="1:20">
      <c r="A220" s="108">
        <v>2.5</v>
      </c>
      <c r="B220" s="108">
        <f t="shared" si="29"/>
        <v>316.22776601683825</v>
      </c>
      <c r="C220" s="108">
        <f t="shared" si="16"/>
        <v>1986.917653159222</v>
      </c>
      <c r="D220" s="108" t="str">
        <f t="shared" si="17"/>
        <v>-1.23355741412918-37.6312629596105i</v>
      </c>
      <c r="E220" s="108">
        <f t="shared" si="18"/>
        <v>31.515640029318568</v>
      </c>
      <c r="F220" s="108">
        <f t="shared" si="19"/>
        <v>-91.877490393302978</v>
      </c>
      <c r="G220" s="108">
        <v>-0.5</v>
      </c>
      <c r="H220" s="112">
        <f t="shared" si="30"/>
        <v>0.31622776601683794</v>
      </c>
      <c r="I220" s="112">
        <f t="shared" si="31"/>
        <v>1.9869176531592203</v>
      </c>
      <c r="J220" s="112">
        <f>(CALCULATIONS!$C$127*10^3)/((CALCULATIONS!$C$123*10^6)+(CALCULATIONS!$C$127*10^3))</f>
        <v>1.2782694198623401E-2</v>
      </c>
      <c r="K220" s="112" t="str">
        <f t="shared" si="20"/>
        <v>537.454450525637-287.885271643442i</v>
      </c>
      <c r="L220" s="108">
        <f t="shared" si="21"/>
        <v>55.702337055624454</v>
      </c>
      <c r="M220" s="108" t="str">
        <f t="shared" si="22"/>
        <v>6.87011588675839-3.67994939170575i</v>
      </c>
      <c r="N220" s="108">
        <f t="shared" si="23"/>
        <v>17.834785043306304</v>
      </c>
      <c r="O220" s="108">
        <f t="shared" si="24"/>
        <v>-28.175545443917137</v>
      </c>
      <c r="P220" s="108" t="str">
        <f>IMPRODUCT(42*10^-6,IMDIV((COMPLEX(1,I220*(CALCULATIONS!C267*10^3)*(CALCULATIONS!C265*10^-6))),IMPRODUCT((COMPLEX(0,data!I220*((CALCULATIONS!C265*10^-6)+(CALCULATIONS!C271*10^-6)))),(COMPLEX(1,I220*((CALCULATIONS!C267*10^3)*(CALCULATIONS!C265*10^-6)*(CALCULATIONS!C271*10^-6))/((CALCULATIONS!C265*10^-6)+(CALCULATIONS!C271*10^-6)))))))</f>
        <v>0.580865466981349-1.27977692490977i</v>
      </c>
      <c r="Q220" s="108">
        <f t="shared" si="25"/>
        <v>2.9561847962547789</v>
      </c>
      <c r="R220" s="108" t="str">
        <f t="shared" si="26"/>
        <v>-0.718901243562867-10.9297713052103i</v>
      </c>
      <c r="S220" s="108">
        <f t="shared" si="27"/>
        <v>20.790969839561079</v>
      </c>
      <c r="T220" s="108">
        <f t="shared" si="28"/>
        <v>86.236814143487294</v>
      </c>
    </row>
    <row r="221" spans="1:20">
      <c r="A221" s="108">
        <v>2.6</v>
      </c>
      <c r="B221" s="108">
        <f t="shared" si="29"/>
        <v>398.10717055349761</v>
      </c>
      <c r="C221" s="108">
        <f t="shared" si="16"/>
        <v>2501.3811247045737</v>
      </c>
      <c r="D221" s="108" t="str">
        <f t="shared" si="17"/>
        <v>-1.23278345487643-29.8728200893762i</v>
      </c>
      <c r="E221" s="108">
        <f t="shared" si="18"/>
        <v>29.512914321384653</v>
      </c>
      <c r="F221" s="108">
        <f t="shared" si="19"/>
        <v>-92.363125843648817</v>
      </c>
      <c r="G221" s="108">
        <v>-0.4</v>
      </c>
      <c r="H221" s="112">
        <f t="shared" si="30"/>
        <v>0.3981071705534972</v>
      </c>
      <c r="I221" s="112">
        <f t="shared" si="31"/>
        <v>2.5013811247045714</v>
      </c>
      <c r="J221" s="112">
        <f>(CALCULATIONS!$C$127*10^3)/((CALCULATIONS!$C$123*10^6)+(CALCULATIONS!$C$127*10^3))</f>
        <v>1.2782694198623401E-2</v>
      </c>
      <c r="K221" s="112" t="str">
        <f t="shared" si="20"/>
        <v>475.454579085122-320.617200438099i</v>
      </c>
      <c r="L221" s="108">
        <f t="shared" si="21"/>
        <v>55.17001076470207</v>
      </c>
      <c r="M221" s="108" t="str">
        <f t="shared" si="22"/>
        <v>6.07759048978032-4.09835162801896i</v>
      </c>
      <c r="N221" s="108">
        <f t="shared" si="23"/>
        <v>17.302458752383906</v>
      </c>
      <c r="O221" s="108">
        <f t="shared" si="24"/>
        <v>-33.993293740397675</v>
      </c>
      <c r="P221" s="108" t="str">
        <f>IMPRODUCT(42*10^-6,IMDIV((COMPLEX(1,I221*(CALCULATIONS!C267*10^3)*(CALCULATIONS!C265*10^-6))),IMPRODUCT((COMPLEX(0,data!I221*((CALCULATIONS!C265*10^-6)+(CALCULATIONS!C271*10^-6)))),(COMPLEX(1,I221*((CALCULATIONS!C267*10^3)*(CALCULATIONS!C265*10^-6)*(CALCULATIONS!C271*10^-6))/((CALCULATIONS!C265*10^-6)+(CALCULATIONS!C271*10^-6)))))))</f>
        <v>0.580744288181152-1.02165820853334i</v>
      </c>
      <c r="Q221" s="108">
        <f t="shared" si="25"/>
        <v>1.402092208599248</v>
      </c>
      <c r="R221" s="108" t="str">
        <f t="shared" si="26"/>
        <v>-0.657588619377538-8.58931451091816i</v>
      </c>
      <c r="S221" s="108">
        <f t="shared" si="27"/>
        <v>18.704550960983152</v>
      </c>
      <c r="T221" s="108">
        <f t="shared" si="28"/>
        <v>85.622037296546765</v>
      </c>
    </row>
    <row r="222" spans="1:20">
      <c r="A222" s="108">
        <v>2.7</v>
      </c>
      <c r="B222" s="108">
        <f t="shared" si="29"/>
        <v>501.18723362727269</v>
      </c>
      <c r="C222" s="108">
        <f t="shared" si="16"/>
        <v>3149.0522624728624</v>
      </c>
      <c r="D222" s="108" t="str">
        <f t="shared" si="17"/>
        <v>-1.23155879953693-23.705252074722i</v>
      </c>
      <c r="E222" s="108">
        <f t="shared" si="18"/>
        <v>27.508597866565857</v>
      </c>
      <c r="F222" s="108">
        <f t="shared" si="19"/>
        <v>-92.974013432601566</v>
      </c>
      <c r="G222" s="108">
        <v>-0.3</v>
      </c>
      <c r="H222" s="112">
        <f t="shared" si="30"/>
        <v>0.50118723362727224</v>
      </c>
      <c r="I222" s="112">
        <f t="shared" si="31"/>
        <v>3.1490522624728596</v>
      </c>
      <c r="J222" s="112">
        <f>(CALCULATIONS!$C$127*10^3)/((CALCULATIONS!$C$123*10^6)+(CALCULATIONS!$C$127*10^3))</f>
        <v>1.2782694198623401E-2</v>
      </c>
      <c r="K222" s="112" t="str">
        <f t="shared" si="20"/>
        <v>401.963339730594-341.243375404256i</v>
      </c>
      <c r="L222" s="108">
        <f t="shared" si="21"/>
        <v>54.440784879654444</v>
      </c>
      <c r="M222" s="108" t="str">
        <f t="shared" si="22"/>
        <v>5.13817445083355-4.36200971509865i</v>
      </c>
      <c r="N222" s="108">
        <f t="shared" si="23"/>
        <v>16.57323286733628</v>
      </c>
      <c r="O222" s="108">
        <f t="shared" si="24"/>
        <v>-40.329310358790615</v>
      </c>
      <c r="P222" s="108" t="str">
        <f>IMPRODUCT(42*10^-6,IMDIV((COMPLEX(1,I222*(CALCULATIONS!C267*10^3)*(CALCULATIONS!C265*10^-6))),IMPRODUCT((COMPLEX(0,data!I222*((CALCULATIONS!C265*10^-6)+(CALCULATIONS!C271*10^-6)))),(COMPLEX(1,I222*((CALCULATIONS!C267*10^3)*(CALCULATIONS!C265*10^-6)*(CALCULATIONS!C271*10^-6))/((CALCULATIONS!C265*10^-6)+(CALCULATIONS!C271*10^-6)))))))</f>
        <v>0.580552336258163-0.817943059322642i</v>
      </c>
      <c r="Q222" s="108">
        <f t="shared" si="25"/>
        <v>2.6290033600039394E-2</v>
      </c>
      <c r="R222" s="108" t="str">
        <f t="shared" si="26"/>
        <v>-0.584896389629455-6.73510906052956i</v>
      </c>
      <c r="S222" s="108">
        <f t="shared" si="27"/>
        <v>16.599522900936325</v>
      </c>
      <c r="T222" s="108">
        <f t="shared" si="28"/>
        <v>85.036720635244393</v>
      </c>
    </row>
    <row r="223" spans="1:20">
      <c r="A223" s="108">
        <v>2.8</v>
      </c>
      <c r="B223" s="108">
        <f t="shared" si="29"/>
        <v>630.95734448019323</v>
      </c>
      <c r="C223" s="108">
        <f t="shared" si="16"/>
        <v>3964.4219162949989</v>
      </c>
      <c r="D223" s="108" t="str">
        <f t="shared" si="17"/>
        <v>-1.22962282785497-18.8001512580589i</v>
      </c>
      <c r="E223" s="108">
        <f t="shared" si="18"/>
        <v>25.501765522437712</v>
      </c>
      <c r="F223" s="108">
        <f t="shared" si="19"/>
        <v>-93.742097296689082</v>
      </c>
      <c r="G223" s="108">
        <v>-0.2</v>
      </c>
      <c r="H223" s="112">
        <f t="shared" si="30"/>
        <v>0.63095734448019325</v>
      </c>
      <c r="I223" s="112">
        <f t="shared" si="31"/>
        <v>3.9644219162949992</v>
      </c>
      <c r="J223" s="112">
        <f>(CALCULATIONS!$C$127*10^3)/((CALCULATIONS!$C$123*10^6)+(CALCULATIONS!$C$127*10^3))</f>
        <v>1.2782694198623401E-2</v>
      </c>
      <c r="K223" s="112" t="str">
        <f t="shared" si="20"/>
        <v>322.86790569596-345.066389549991i</v>
      </c>
      <c r="L223" s="108">
        <f t="shared" si="21"/>
        <v>53.489169186729946</v>
      </c>
      <c r="M223" s="108" t="str">
        <f t="shared" si="22"/>
        <v>4.12712170506144-4.41087813584059i</v>
      </c>
      <c r="N223" s="108">
        <f t="shared" si="23"/>
        <v>15.621617174411792</v>
      </c>
      <c r="O223" s="108">
        <f t="shared" si="24"/>
        <v>-46.903497810315244</v>
      </c>
      <c r="P223" s="108" t="str">
        <f>IMPRODUCT(42*10^-6,IMDIV((COMPLEX(1,I223*(CALCULATIONS!C267*10^3)*(CALCULATIONS!C265*10^-6))),IMPRODUCT((COMPLEX(0,data!I223*((CALCULATIONS!C265*10^-6)+(CALCULATIONS!C271*10^-6)))),(COMPLEX(1,I223*((CALCULATIONS!C267*10^3)*(CALCULATIONS!C265*10^-6)*(CALCULATIONS!C271*10^-6))/((CALCULATIONS!C265*10^-6)+(CALCULATIONS!C271*10^-6)))))))</f>
        <v>0.580248372747784-0.657779468509376i</v>
      </c>
      <c r="Q223" s="108">
        <f t="shared" si="25"/>
        <v>-1.1386926614217086</v>
      </c>
      <c r="R223" s="108" t="str">
        <f t="shared" si="26"/>
        <v>-0.50662942235889-5.2741407823391i</v>
      </c>
      <c r="S223" s="108">
        <f t="shared" si="27"/>
        <v>14.482924512990078</v>
      </c>
      <c r="T223" s="108">
        <f t="shared" si="28"/>
        <v>84.513052103484142</v>
      </c>
    </row>
    <row r="224" spans="1:20">
      <c r="A224" s="108">
        <v>2.9</v>
      </c>
      <c r="B224" s="108">
        <f t="shared" si="29"/>
        <v>794.32823472428208</v>
      </c>
      <c r="C224" s="108">
        <f t="shared" si="16"/>
        <v>4990.9114934975069</v>
      </c>
      <c r="D224" s="108" t="str">
        <f t="shared" si="17"/>
        <v>-1.22656695620502-14.8963780917666i</v>
      </c>
      <c r="E224" s="108">
        <f t="shared" si="18"/>
        <v>23.490958956199599</v>
      </c>
      <c r="F224" s="108">
        <f t="shared" si="19"/>
        <v>-94.70711264666771</v>
      </c>
      <c r="G224" s="108">
        <v>-0.1</v>
      </c>
      <c r="H224" s="112">
        <f t="shared" si="30"/>
        <v>0.79432823472428149</v>
      </c>
      <c r="I224" s="112">
        <f t="shared" si="31"/>
        <v>4.990911493497503</v>
      </c>
      <c r="J224" s="112">
        <f>(CALCULATIONS!$C$127*10^3)/((CALCULATIONS!$C$123*10^6)+(CALCULATIONS!$C$127*10^3))</f>
        <v>1.2782694198623401E-2</v>
      </c>
      <c r="K224" s="112" t="str">
        <f t="shared" si="20"/>
        <v>246.113891907943-331.14172847674i</v>
      </c>
      <c r="L224" s="108">
        <f t="shared" si="21"/>
        <v>52.310281702051135</v>
      </c>
      <c r="M224" s="108" t="str">
        <f t="shared" si="22"/>
        <v>3.14599861829229-4.23288345152175i</v>
      </c>
      <c r="N224" s="108">
        <f t="shared" si="23"/>
        <v>14.442729689732978</v>
      </c>
      <c r="O224" s="108">
        <f t="shared" si="24"/>
        <v>-53.379225367978485</v>
      </c>
      <c r="P224" s="108" t="str">
        <f>IMPRODUCT(42*10^-6,IMDIV((COMPLEX(1,I224*(CALCULATIONS!C267*10^3)*(CALCULATIONS!C265*10^-6))),IMPRODUCT((COMPLEX(0,data!I224*((CALCULATIONS!C265*10^-6)+(CALCULATIONS!C271*10^-6)))),(COMPLEX(1,I224*((CALCULATIONS!C267*10^3)*(CALCULATIONS!C265*10^-6)*(CALCULATIONS!C271*10^-6))/((CALCULATIONS!C265*10^-6)+(CALCULATIONS!C271*10^-6)))))))</f>
        <v>0.579767274503634-0.532631304475234i</v>
      </c>
      <c r="Q224" s="108">
        <f t="shared" si="25"/>
        <v>-2.0773007075441199</v>
      </c>
      <c r="R224" s="108" t="str">
        <f t="shared" si="26"/>
        <v>-0.430619189956142-4.12974464991861i</v>
      </c>
      <c r="S224" s="108">
        <f t="shared" si="27"/>
        <v>12.365428982188867</v>
      </c>
      <c r="T224" s="108">
        <f t="shared" si="28"/>
        <v>84.047132932702738</v>
      </c>
    </row>
    <row r="225" spans="1:20">
      <c r="A225" s="108">
        <v>3</v>
      </c>
      <c r="B225" s="108">
        <f t="shared" si="29"/>
        <v>1000</v>
      </c>
      <c r="C225" s="108">
        <f t="shared" si="16"/>
        <v>6283.1853071795858</v>
      </c>
      <c r="D225" s="108" t="str">
        <f t="shared" si="17"/>
        <v>-1.22175471689285-11.7861903456688i</v>
      </c>
      <c r="E225" s="108">
        <f t="shared" si="18"/>
        <v>21.473886594400241</v>
      </c>
      <c r="F225" s="108">
        <f t="shared" si="19"/>
        <v>-95.91813477437492</v>
      </c>
      <c r="G225" s="108">
        <v>0</v>
      </c>
      <c r="H225" s="112">
        <f t="shared" si="30"/>
        <v>1</v>
      </c>
      <c r="I225" s="112">
        <f t="shared" si="31"/>
        <v>6.2831853071795862</v>
      </c>
      <c r="J225" s="112">
        <f>(CALCULATIONS!$C$127*10^3)/((CALCULATIONS!$C$123*10^6)+(CALCULATIONS!$C$127*10^3))</f>
        <v>1.2782694198623401E-2</v>
      </c>
      <c r="K225" s="112" t="str">
        <f t="shared" si="20"/>
        <v>178.761817000566-302.797680147095i</v>
      </c>
      <c r="L225" s="108">
        <f t="shared" si="21"/>
        <v>50.921668023808763</v>
      </c>
      <c r="M225" s="108" t="str">
        <f t="shared" si="22"/>
        <v>2.28505764110851-3.8705701493729i</v>
      </c>
      <c r="N225" s="108">
        <f t="shared" si="23"/>
        <v>13.054116011490608</v>
      </c>
      <c r="O225" s="108">
        <f t="shared" si="24"/>
        <v>-59.443791465451262</v>
      </c>
      <c r="P225" s="108" t="str">
        <f>IMPRODUCT(42*10^-6,IMDIV((COMPLEX(1,I225*(CALCULATIONS!C267*10^3)*(CALCULATIONS!C265*10^-6))),IMPRODUCT((COMPLEX(0,data!I225*((CALCULATIONS!C265*10^-6)+(CALCULATIONS!C271*10^-6)))),(COMPLEX(1,I225*((CALCULATIONS!C267*10^3)*(CALCULATIONS!C265*10^-6)*(CALCULATIONS!C271*10^-6))/((CALCULATIONS!C265*10^-6)+(CALCULATIONS!C271*10^-6)))))))</f>
        <v>0.579006417193151-0.435820380588335i</v>
      </c>
      <c r="Q225" s="108">
        <f t="shared" si="25"/>
        <v>-2.7968534185314016</v>
      </c>
      <c r="R225" s="108" t="str">
        <f t="shared" si="26"/>
        <v>-0.363810317735475-3.23695964549736i</v>
      </c>
      <c r="S225" s="108">
        <f t="shared" si="27"/>
        <v>10.257262592959218</v>
      </c>
      <c r="T225" s="108">
        <f t="shared" si="28"/>
        <v>83.58728987743936</v>
      </c>
    </row>
    <row r="226" spans="1:20">
      <c r="A226" s="108">
        <v>3.1</v>
      </c>
      <c r="B226" s="108">
        <f t="shared" si="29"/>
        <v>1258.925411794168</v>
      </c>
      <c r="C226" s="108">
        <f t="shared" si="16"/>
        <v>7910.0616502201265</v>
      </c>
      <c r="D226" s="108" t="str">
        <f t="shared" si="17"/>
        <v>-1.21420470099656-9.30424925173243i</v>
      </c>
      <c r="E226" s="108">
        <f t="shared" si="18"/>
        <v>19.446965450168769</v>
      </c>
      <c r="F226" s="108">
        <f t="shared" si="19"/>
        <v>-97.435083163577474</v>
      </c>
      <c r="G226" s="108">
        <v>0.1</v>
      </c>
      <c r="H226" s="112">
        <f t="shared" si="30"/>
        <v>1.2589254117941673</v>
      </c>
      <c r="I226" s="112">
        <f t="shared" si="31"/>
        <v>7.910061650220122</v>
      </c>
      <c r="J226" s="112">
        <f>(CALCULATIONS!$C$127*10^3)/((CALCULATIONS!$C$123*10^6)+(CALCULATIONS!$C$127*10^3))</f>
        <v>1.2782694198623401E-2</v>
      </c>
      <c r="K226" s="112" t="str">
        <f t="shared" si="20"/>
        <v>124.683441895993-265.880548297417i</v>
      </c>
      <c r="L226" s="108">
        <f t="shared" si="21"/>
        <v>49.357008245447986</v>
      </c>
      <c r="M226" s="108" t="str">
        <f t="shared" si="22"/>
        <v>1.59379030938831-3.3986697422482i</v>
      </c>
      <c r="N226" s="108">
        <f t="shared" si="23"/>
        <v>11.489456233129825</v>
      </c>
      <c r="O226" s="108">
        <f t="shared" si="24"/>
        <v>-64.875990239473424</v>
      </c>
      <c r="P226" s="108" t="str">
        <f>IMPRODUCT(42*10^-6,IMDIV((COMPLEX(1,I226*(CALCULATIONS!C267*10^3)*(CALCULATIONS!C265*10^-6))),IMPRODUCT((COMPLEX(0,data!I226*((CALCULATIONS!C265*10^-6)+(CALCULATIONS!C271*10^-6)))),(COMPLEX(1,I226*((CALCULATIONS!C267*10^3)*(CALCULATIONS!C265*10^-6)*(CALCULATIONS!C271*10^-6))/((CALCULATIONS!C265*10^-6)+(CALCULATIONS!C271*10^-6)))))))</f>
        <v>0.57780462180908-0.362164202058767i</v>
      </c>
      <c r="Q226" s="108">
        <f t="shared" si="25"/>
        <v>-3.3252734997938775</v>
      </c>
      <c r="R226" s="108" t="str">
        <f t="shared" si="26"/>
        <v>-0.309977108303506-2.5409808807223i</v>
      </c>
      <c r="S226" s="108">
        <f t="shared" si="27"/>
        <v>8.1641827333359558</v>
      </c>
      <c r="T226" s="108">
        <f t="shared" si="28"/>
        <v>83.044789808505811</v>
      </c>
    </row>
    <row r="227" spans="1:20">
      <c r="A227" s="108">
        <v>3.2</v>
      </c>
      <c r="B227" s="108">
        <f t="shared" si="29"/>
        <v>1584.8931924611156</v>
      </c>
      <c r="C227" s="108">
        <f t="shared" si="16"/>
        <v>9958.17762032063</v>
      </c>
      <c r="D227" s="108" t="str">
        <f t="shared" si="17"/>
        <v>-1.2024280195047-7.31894551358222i</v>
      </c>
      <c r="E227" s="108">
        <f t="shared" si="18"/>
        <v>17.404637228500935</v>
      </c>
      <c r="F227" s="108">
        <f t="shared" si="19"/>
        <v>-99.329767011912338</v>
      </c>
      <c r="G227" s="108">
        <v>0.2</v>
      </c>
      <c r="H227" s="112">
        <f t="shared" si="30"/>
        <v>1.5848931924611136</v>
      </c>
      <c r="I227" s="112">
        <f t="shared" si="31"/>
        <v>9.9581776203206172</v>
      </c>
      <c r="J227" s="112">
        <f>(CALCULATIONS!$C$127*10^3)/((CALCULATIONS!$C$123*10^6)+(CALCULATIONS!$C$127*10^3))</f>
        <v>1.2782694198623401E-2</v>
      </c>
      <c r="K227" s="112" t="str">
        <f t="shared" si="20"/>
        <v>84.2765388984305-226.247857224463i</v>
      </c>
      <c r="L227" s="108">
        <f t="shared" si="21"/>
        <v>47.65598733570134</v>
      </c>
      <c r="M227" s="108" t="str">
        <f t="shared" si="22"/>
        <v>1.07728122485703-2.89205717199412i</v>
      </c>
      <c r="N227" s="108">
        <f t="shared" si="23"/>
        <v>9.7884353233831956</v>
      </c>
      <c r="O227" s="108">
        <f t="shared" si="24"/>
        <v>-69.569812892751699</v>
      </c>
      <c r="P227" s="108" t="str">
        <f>IMPRODUCT(42*10^-6,IMDIV((COMPLEX(1,I227*(CALCULATIONS!C267*10^3)*(CALCULATIONS!C265*10^-6))),IMPRODUCT((COMPLEX(0,data!I227*((CALCULATIONS!C265*10^-6)+(CALCULATIONS!C271*10^-6)))),(COMPLEX(1,I227*((CALCULATIONS!C267*10^3)*(CALCULATIONS!C265*10^-6)*(CALCULATIONS!C271*10^-6))/((CALCULATIONS!C265*10^-6)+(CALCULATIONS!C271*10^-6)))))))</f>
        <v>0.575910090258476-0.307687007338528i</v>
      </c>
      <c r="Q227" s="108">
        <f t="shared" si="25"/>
        <v>-3.7024012307893965</v>
      </c>
      <c r="R227" s="108" t="str">
        <f t="shared" si="26"/>
        <v>-0.269431288861624-1.99703034309405i</v>
      </c>
      <c r="S227" s="108">
        <f t="shared" si="27"/>
        <v>6.0860340925937981</v>
      </c>
      <c r="T227" s="108">
        <f t="shared" si="28"/>
        <v>82.316280587584842</v>
      </c>
    </row>
    <row r="228" spans="1:20">
      <c r="A228" s="108">
        <v>3.3</v>
      </c>
      <c r="B228" s="108">
        <f t="shared" si="29"/>
        <v>1995.2623149688804</v>
      </c>
      <c r="C228" s="108">
        <f t="shared" si="16"/>
        <v>12536.602861381598</v>
      </c>
      <c r="D228" s="108" t="str">
        <f t="shared" si="17"/>
        <v>-1.18422409966515-5.72563054664027i</v>
      </c>
      <c r="E228" s="108">
        <f t="shared" si="18"/>
        <v>15.338385300200381</v>
      </c>
      <c r="F228" s="108">
        <f t="shared" si="19"/>
        <v>-101.6856351124372</v>
      </c>
      <c r="G228" s="108">
        <v>0.3</v>
      </c>
      <c r="H228" s="112">
        <f t="shared" si="30"/>
        <v>1.9952623149688797</v>
      </c>
      <c r="I228" s="112">
        <f t="shared" si="31"/>
        <v>12.536602861381592</v>
      </c>
      <c r="J228" s="112">
        <f>(CALCULATIONS!$C$127*10^3)/((CALCULATIONS!$C$123*10^6)+(CALCULATIONS!$C$127*10^3))</f>
        <v>1.2782694198623401E-2</v>
      </c>
      <c r="K228" s="112" t="str">
        <f t="shared" si="20"/>
        <v>55.6785845415613-188.176752498146i</v>
      </c>
      <c r="L228" s="108">
        <f t="shared" si="21"/>
        <v>45.855802281702907</v>
      </c>
      <c r="M228" s="108" t="str">
        <f t="shared" si="22"/>
        <v>0.711722319606978-2.40540588247384i</v>
      </c>
      <c r="N228" s="108">
        <f t="shared" si="23"/>
        <v>7.9882502693847455</v>
      </c>
      <c r="O228" s="108">
        <f t="shared" si="24"/>
        <v>-73.517330982501605</v>
      </c>
      <c r="P228" s="108" t="str">
        <f>IMPRODUCT(42*10^-6,IMDIV((COMPLEX(1,I228*(CALCULATIONS!C267*10^3)*(CALCULATIONS!C265*10^-6))),IMPRODUCT((COMPLEX(0,data!I228*((CALCULATIONS!C265*10^-6)+(CALCULATIONS!C271*10^-6)))),(COMPLEX(1,I228*((CALCULATIONS!C267*10^3)*(CALCULATIONS!C265*10^-6)*(CALCULATIONS!C271*10^-6))/((CALCULATIONS!C265*10^-6)+(CALCULATIONS!C271*10^-6)))))))</f>
        <v>0.572932777218497-0.269382867894133i</v>
      </c>
      <c r="Q228" s="108">
        <f t="shared" si="25"/>
        <v>-3.9705159501201148</v>
      </c>
      <c r="R228" s="108" t="str">
        <f t="shared" si="26"/>
        <v>-0.240206089889404-1.56986167218344i</v>
      </c>
      <c r="S228" s="108">
        <f t="shared" si="27"/>
        <v>4.017734319264636</v>
      </c>
      <c r="T228" s="108">
        <f t="shared" si="28"/>
        <v>81.300588523590037</v>
      </c>
    </row>
    <row r="229" spans="1:20">
      <c r="A229" s="108">
        <v>3.4</v>
      </c>
      <c r="B229" s="108">
        <f t="shared" si="29"/>
        <v>2511.8864315095811</v>
      </c>
      <c r="C229" s="108">
        <f t="shared" si="16"/>
        <v>15782.647919764762</v>
      </c>
      <c r="D229" s="108" t="str">
        <f t="shared" si="17"/>
        <v>-1.15647542562621-4.44146081560466i</v>
      </c>
      <c r="E229" s="108">
        <f t="shared" si="18"/>
        <v>13.235410437536849</v>
      </c>
      <c r="F229" s="108">
        <f t="shared" si="19"/>
        <v>-104.59470302600423</v>
      </c>
      <c r="G229" s="108">
        <v>0.4</v>
      </c>
      <c r="H229" s="112">
        <f t="shared" si="30"/>
        <v>2.5118864315095806</v>
      </c>
      <c r="I229" s="112">
        <f t="shared" si="31"/>
        <v>15.782647919764759</v>
      </c>
      <c r="J229" s="112">
        <f>(CALCULATIONS!$C$127*10^3)/((CALCULATIONS!$C$123*10^6)+(CALCULATIONS!$C$127*10^3))</f>
        <v>1.2782694198623401E-2</v>
      </c>
      <c r="K229" s="112" t="str">
        <f t="shared" si="20"/>
        <v>36.206430746555-154.050636513699i</v>
      </c>
      <c r="L229" s="108">
        <f t="shared" si="21"/>
        <v>43.986777559371866</v>
      </c>
      <c r="M229" s="108" t="str">
        <f t="shared" si="22"/>
        <v>0.462815732256849-1.9691821776579i</v>
      </c>
      <c r="N229" s="108">
        <f t="shared" si="23"/>
        <v>6.1192255470537003</v>
      </c>
      <c r="O229" s="108">
        <f t="shared" si="24"/>
        <v>-76.773851747994939</v>
      </c>
      <c r="P229" s="108" t="str">
        <f>IMPRODUCT(42*10^-6,IMDIV((COMPLEX(1,I229*(CALCULATIONS!C267*10^3)*(CALCULATIONS!C265*10^-6))),IMPRODUCT((COMPLEX(0,data!I229*((CALCULATIONS!C265*10^-6)+(CALCULATIONS!C271*10^-6)))),(COMPLEX(1,I229*((CALCULATIONS!C267*10^3)*(CALCULATIONS!C265*10^-6)*(CALCULATIONS!C271*10^-6))/((CALCULATIONS!C265*10^-6)+(CALCULATIONS!C271*10^-6)))))))</f>
        <v>0.568276599110283-0.245007543427172i</v>
      </c>
      <c r="Q229" s="108">
        <f t="shared" si="25"/>
        <v>-4.1683865925627419</v>
      </c>
      <c r="R229" s="108" t="str">
        <f t="shared" si="26"/>
        <v>-0.219457137566874-1.23243349656771i</v>
      </c>
      <c r="S229" s="108">
        <f t="shared" si="27"/>
        <v>1.950838954490951</v>
      </c>
      <c r="T229" s="108">
        <f t="shared" si="28"/>
        <v>79.903276105791221</v>
      </c>
    </row>
    <row r="230" spans="1:20">
      <c r="A230" s="108">
        <v>3.5</v>
      </c>
      <c r="B230" s="108">
        <f t="shared" si="29"/>
        <v>3162.2776601683804</v>
      </c>
      <c r="C230" s="108">
        <f t="shared" si="16"/>
        <v>19869.176531592209</v>
      </c>
      <c r="D230" s="108" t="str">
        <f t="shared" si="17"/>
        <v>-1.11506510753775-3.4016502027562i</v>
      </c>
      <c r="E230" s="108">
        <f t="shared" si="18"/>
        <v>11.077048611784615</v>
      </c>
      <c r="F230" s="108">
        <f t="shared" si="19"/>
        <v>-108.14920721004658</v>
      </c>
      <c r="G230" s="108">
        <v>0.5</v>
      </c>
      <c r="H230" s="112">
        <f t="shared" si="30"/>
        <v>3.1622776601683795</v>
      </c>
      <c r="I230" s="112">
        <f t="shared" si="31"/>
        <v>19.869176531592203</v>
      </c>
      <c r="J230" s="112">
        <f>(CALCULATIONS!$C$127*10^3)/((CALCULATIONS!$C$123*10^6)+(CALCULATIONS!$C$127*10^3))</f>
        <v>1.2782694198623401E-2</v>
      </c>
      <c r="K230" s="112" t="str">
        <f t="shared" si="20"/>
        <v>23.2947293475763-124.777262138749i</v>
      </c>
      <c r="L230" s="108">
        <f t="shared" si="21"/>
        <v>42.071497109564191</v>
      </c>
      <c r="M230" s="108" t="str">
        <f t="shared" si="22"/>
        <v>0.297769401689766-1.5949895848611i</v>
      </c>
      <c r="N230" s="108">
        <f t="shared" si="23"/>
        <v>4.2039450972460486</v>
      </c>
      <c r="O230" s="108">
        <f t="shared" si="24"/>
        <v>-79.425157066067726</v>
      </c>
      <c r="P230" s="108" t="str">
        <f>IMPRODUCT(42*10^-6,IMDIV((COMPLEX(1,I230*(CALCULATIONS!C267*10^3)*(CALCULATIONS!C265*10^-6))),IMPRODUCT((COMPLEX(0,data!I230*((CALCULATIONS!C265*10^-6)+(CALCULATIONS!C271*10^-6)))),(COMPLEX(1,I230*((CALCULATIONS!C267*10^3)*(CALCULATIONS!C265*10^-6)*(CALCULATIONS!C271*10^-6))/((CALCULATIONS!C265*10^-6)+(CALCULATIONS!C271*10^-6)))))))</f>
        <v>0.561050106465731-0.232869587032698i</v>
      </c>
      <c r="Q230" s="108">
        <f t="shared" si="25"/>
        <v>-4.329672000571362</v>
      </c>
      <c r="R230" s="108" t="str">
        <f t="shared" si="26"/>
        <v>-0.204361011427779-0.964210514000521i</v>
      </c>
      <c r="S230" s="108">
        <f t="shared" si="27"/>
        <v>-0.12572690332531808</v>
      </c>
      <c r="T230" s="108">
        <f t="shared" si="28"/>
        <v>78.033448976140619</v>
      </c>
    </row>
    <row r="231" spans="1:20">
      <c r="A231" s="108">
        <v>3.6</v>
      </c>
      <c r="B231" s="108">
        <f t="shared" si="29"/>
        <v>3981.0717055349769</v>
      </c>
      <c r="C231" s="108">
        <f t="shared" si="16"/>
        <v>25013.811247045742</v>
      </c>
      <c r="D231" s="108" t="str">
        <f t="shared" si="17"/>
        <v>-1.05518262596353-2.55691951592614i</v>
      </c>
      <c r="E231" s="108">
        <f t="shared" si="18"/>
        <v>8.8373226678442975</v>
      </c>
      <c r="F231" s="108">
        <f t="shared" si="19"/>
        <v>-112.42482798170502</v>
      </c>
      <c r="G231" s="108">
        <v>0.6</v>
      </c>
      <c r="H231" s="112">
        <f t="shared" si="30"/>
        <v>3.9810717055349727</v>
      </c>
      <c r="I231" s="112">
        <f t="shared" si="31"/>
        <v>25.013811247045716</v>
      </c>
      <c r="J231" s="112">
        <f>(CALCULATIONS!$C$127*10^3)/((CALCULATIONS!$C$123*10^6)+(CALCULATIONS!$C$127*10^3))</f>
        <v>1.2782694198623401E-2</v>
      </c>
      <c r="K231" s="112" t="str">
        <f t="shared" si="20"/>
        <v>14.8829634805981-100.361512861096i</v>
      </c>
      <c r="L231" s="108">
        <f t="shared" si="21"/>
        <v>40.125814581394152</v>
      </c>
      <c r="M231" s="108" t="str">
        <f t="shared" si="22"/>
        <v>0.190244370941765-1.2828905282146i</v>
      </c>
      <c r="N231" s="108">
        <f t="shared" si="23"/>
        <v>2.2582625690759919</v>
      </c>
      <c r="O231" s="108">
        <f t="shared" si="24"/>
        <v>-81.564880019902873</v>
      </c>
      <c r="P231" s="108" t="str">
        <f>IMPRODUCT(42*10^-6,IMDIV((COMPLEX(1,I231*(CALCULATIONS!C267*10^3)*(CALCULATIONS!C265*10^-6))),IMPRODUCT((COMPLEX(0,data!I231*((CALCULATIONS!C265*10^-6)+(CALCULATIONS!C271*10^-6)))),(COMPLEX(1,I231*((CALCULATIONS!C267*10^3)*(CALCULATIONS!C265*10^-6)*(CALCULATIONS!C271*10^-6))/((CALCULATIONS!C265*10^-6)+(CALCULATIONS!C271*10^-6)))))))</f>
        <v>0.549965926322954-0.231581069999482i</v>
      </c>
      <c r="Q231" s="108">
        <f t="shared" si="25"/>
        <v>-4.4843740248215447</v>
      </c>
      <c r="R231" s="108" t="str">
        <f t="shared" si="26"/>
        <v>-0.192465239523422-0.749603072704559i</v>
      </c>
      <c r="S231" s="108">
        <f t="shared" si="27"/>
        <v>-2.226111455745551</v>
      </c>
      <c r="T231" s="108">
        <f t="shared" si="28"/>
        <v>75.600008400161471</v>
      </c>
    </row>
    <row r="232" spans="1:20">
      <c r="A232" s="108">
        <v>3.7</v>
      </c>
      <c r="B232" s="108">
        <f t="shared" si="29"/>
        <v>5011.8723362727324</v>
      </c>
      <c r="C232" s="108">
        <f t="shared" si="16"/>
        <v>31490.522624728659</v>
      </c>
      <c r="D232" s="108" t="str">
        <f t="shared" si="17"/>
        <v>-0.972416630824767-1.8717239781016i</v>
      </c>
      <c r="E232" s="108">
        <f t="shared" si="18"/>
        <v>6.4825701282013153</v>
      </c>
      <c r="F232" s="108">
        <f t="shared" si="19"/>
        <v>-117.45322720109729</v>
      </c>
      <c r="G232" s="108">
        <v>0.7</v>
      </c>
      <c r="H232" s="112">
        <f t="shared" si="30"/>
        <v>5.0118723362727229</v>
      </c>
      <c r="I232" s="112">
        <f t="shared" si="31"/>
        <v>31.490522624728598</v>
      </c>
      <c r="J232" s="112">
        <f>(CALCULATIONS!$C$127*10^3)/((CALCULATIONS!$C$123*10^6)+(CALCULATIONS!$C$127*10^3))</f>
        <v>1.2782694198623401E-2</v>
      </c>
      <c r="K232" s="112" t="str">
        <f t="shared" si="20"/>
        <v>9.46568187824371-80.3581052142636i</v>
      </c>
      <c r="L232" s="108">
        <f t="shared" si="21"/>
        <v>38.160439466906539</v>
      </c>
      <c r="M232" s="108" t="str">
        <f t="shared" si="22"/>
        <v>0.120996916831041-1.02719308533474i</v>
      </c>
      <c r="N232" s="108">
        <f t="shared" si="23"/>
        <v>0.29288745458841481</v>
      </c>
      <c r="O232" s="108">
        <f t="shared" si="24"/>
        <v>-83.281873765894645</v>
      </c>
      <c r="P232" s="108" t="str">
        <f>IMPRODUCT(42*10^-6,IMDIV((COMPLEX(1,I232*(CALCULATIONS!C267*10^3)*(CALCULATIONS!C265*10^-6))),IMPRODUCT((COMPLEX(0,data!I232*((CALCULATIONS!C265*10^-6)+(CALCULATIONS!C271*10^-6)))),(COMPLEX(1,I232*((CALCULATIONS!C267*10^3)*(CALCULATIONS!C265*10^-6)*(CALCULATIONS!C271*10^-6))/((CALCULATIONS!C265*10^-6)+(CALCULATIONS!C271*10^-6)))))))</f>
        <v>0.533268562582186-0.239719740770685i</v>
      </c>
      <c r="Q232" s="108">
        <f t="shared" si="25"/>
        <v>-4.6617595904971223</v>
      </c>
      <c r="R232" s="108" t="str">
        <f t="shared" si="26"/>
        <v>-0.181714608222518-0.576775129647607i</v>
      </c>
      <c r="S232" s="108">
        <f t="shared" si="27"/>
        <v>-4.368872135908707</v>
      </c>
      <c r="T232" s="108">
        <f t="shared" si="28"/>
        <v>72.512821607078067</v>
      </c>
    </row>
    <row r="233" spans="1:20">
      <c r="A233" s="108">
        <v>3.8</v>
      </c>
      <c r="B233" s="108">
        <f t="shared" si="29"/>
        <v>6309.5734448019384</v>
      </c>
      <c r="C233" s="108">
        <f t="shared" si="16"/>
        <v>39644.21916295003</v>
      </c>
      <c r="D233" s="108" t="str">
        <f t="shared" si="17"/>
        <v>-0.864896793983836-1.32237220887251i</v>
      </c>
      <c r="E233" s="108">
        <f t="shared" si="18"/>
        <v>3.9736892229264114</v>
      </c>
      <c r="F233" s="108">
        <f t="shared" si="19"/>
        <v>-123.18666987764868</v>
      </c>
      <c r="G233" s="108">
        <v>0.8</v>
      </c>
      <c r="H233" s="112">
        <f t="shared" si="30"/>
        <v>6.3095734448019343</v>
      </c>
      <c r="I233" s="112">
        <f t="shared" si="31"/>
        <v>39.644219162950002</v>
      </c>
      <c r="J233" s="112">
        <f>(CALCULATIONS!$C$127*10^3)/((CALCULATIONS!$C$123*10^6)+(CALCULATIONS!$C$127*10^3))</f>
        <v>1.2782694198623401E-2</v>
      </c>
      <c r="K233" s="112" t="str">
        <f t="shared" si="20"/>
        <v>6.00275857715738-64.1547268408431i</v>
      </c>
      <c r="L233" s="108">
        <f t="shared" si="21"/>
        <v>36.182429190115855</v>
      </c>
      <c r="M233" s="108" t="str">
        <f t="shared" si="22"/>
        <v>0.0767314272399665-0.820070254602714i</v>
      </c>
      <c r="N233" s="108">
        <f t="shared" si="23"/>
        <v>-1.685122822202302</v>
      </c>
      <c r="O233" s="108">
        <f t="shared" si="24"/>
        <v>-84.654574885179031</v>
      </c>
      <c r="P233" s="108" t="str">
        <f>IMPRODUCT(42*10^-6,IMDIV((COMPLEX(1,I233*(CALCULATIONS!C267*10^3)*(CALCULATIONS!C265*10^-6))),IMPRODUCT((COMPLEX(0,data!I233*((CALCULATIONS!C265*10^-6)+(CALCULATIONS!C271*10^-6)))),(COMPLEX(1,I233*((CALCULATIONS!C267*10^3)*(CALCULATIONS!C265*10^-6)*(CALCULATIONS!C271*10^-6))/((CALCULATIONS!C265*10^-6)+(CALCULATIONS!C271*10^-6)))))))</f>
        <v>0.508786516109827-0.255367431826475i</v>
      </c>
      <c r="Q233" s="108">
        <f t="shared" si="25"/>
        <v>-4.8935280292461982</v>
      </c>
      <c r="R233" s="108" t="str">
        <f t="shared" si="26"/>
        <v>-0.170379319293621-0.436835395319264i</v>
      </c>
      <c r="S233" s="108">
        <f t="shared" si="27"/>
        <v>-6.5786508514484998</v>
      </c>
      <c r="T233" s="108">
        <f t="shared" si="28"/>
        <v>68.69267776716373</v>
      </c>
    </row>
    <row r="234" spans="1:20">
      <c r="A234" s="108">
        <v>3.9</v>
      </c>
      <c r="B234" s="108">
        <f t="shared" si="29"/>
        <v>7943.2823472428154</v>
      </c>
      <c r="C234" s="108">
        <f t="shared" si="16"/>
        <v>49909.114934975034</v>
      </c>
      <c r="D234" s="108" t="str">
        <f t="shared" si="17"/>
        <v>-0.73593130827025-0.893771918614252i</v>
      </c>
      <c r="E234" s="108">
        <f t="shared" si="18"/>
        <v>1.2724191427343814</v>
      </c>
      <c r="F234" s="108">
        <f t="shared" si="19"/>
        <v>-129.46802259383855</v>
      </c>
      <c r="G234" s="108">
        <v>0.9</v>
      </c>
      <c r="H234" s="112">
        <f t="shared" si="30"/>
        <v>7.9432823472428176</v>
      </c>
      <c r="I234" s="112">
        <f t="shared" si="31"/>
        <v>49.909114934975051</v>
      </c>
      <c r="J234" s="112">
        <f>(CALCULATIONS!$C$127*10^3)/((CALCULATIONS!$C$123*10^6)+(CALCULATIONS!$C$127*10^3))</f>
        <v>1.2782694198623401E-2</v>
      </c>
      <c r="K234" s="112" t="str">
        <f t="shared" si="20"/>
        <v>3.79965430060239-51.1236518573354i</v>
      </c>
      <c r="L234" s="108">
        <f t="shared" si="21"/>
        <v>34.196361275613235</v>
      </c>
      <c r="M234" s="108" t="str">
        <f t="shared" si="22"/>
        <v>0.0485698189850846-0.653498008009204i</v>
      </c>
      <c r="N234" s="108">
        <f t="shared" si="23"/>
        <v>-3.6711907367049204</v>
      </c>
      <c r="O234" s="108">
        <f t="shared" si="24"/>
        <v>-85.749430780075912</v>
      </c>
      <c r="P234" s="108" t="str">
        <f>IMPRODUCT(42*10^-6,IMDIV((COMPLEX(1,I234*(CALCULATIONS!C267*10^3)*(CALCULATIONS!C265*10^-6))),IMPRODUCT((COMPLEX(0,data!I234*((CALCULATIONS!C265*10^-6)+(CALCULATIONS!C271*10^-6)))),(COMPLEX(1,I234*((CALCULATIONS!C267*10^3)*(CALCULATIONS!C265*10^-6)*(CALCULATIONS!C271*10^-6))/((CALCULATIONS!C265*10^-6)+(CALCULATIONS!C271*10^-6)))))))</f>
        <v>0.474277375493074-0.275568948030843i</v>
      </c>
      <c r="Q234" s="108">
        <f t="shared" si="25"/>
        <v>-5.2161061431693856</v>
      </c>
      <c r="R234" s="108" t="str">
        <f t="shared" si="26"/>
        <v>-0.157048192330928-0.323323654052325i</v>
      </c>
      <c r="S234" s="108">
        <f t="shared" si="27"/>
        <v>-8.8872968798743113</v>
      </c>
      <c r="T234" s="108">
        <f t="shared" si="28"/>
        <v>64.092735714424265</v>
      </c>
    </row>
    <row r="235" spans="1:20">
      <c r="A235" s="108">
        <v>4</v>
      </c>
      <c r="B235" s="108">
        <f t="shared" si="29"/>
        <v>10000</v>
      </c>
      <c r="C235" s="108">
        <f t="shared" si="16"/>
        <v>62831.853071795864</v>
      </c>
      <c r="D235" s="108" t="str">
        <f t="shared" si="17"/>
        <v>-0.595257279336829-0.574240925932445i</v>
      </c>
      <c r="E235" s="108">
        <f t="shared" si="18"/>
        <v>-1.6489064991742914</v>
      </c>
      <c r="F235" s="108">
        <f t="shared" si="19"/>
        <v>-136.02951740311886</v>
      </c>
      <c r="G235" s="111">
        <v>1</v>
      </c>
      <c r="H235" s="113">
        <f t="shared" si="30"/>
        <v>10</v>
      </c>
      <c r="I235" s="113">
        <f t="shared" si="31"/>
        <v>62.831853071795862</v>
      </c>
      <c r="J235" s="113">
        <f>(CALCULATIONS!$C$127*10^3)/((CALCULATIONS!$C$123*10^6)+(CALCULATIONS!$C$127*10^3))</f>
        <v>1.2782694198623401E-2</v>
      </c>
      <c r="K235" s="112" t="str">
        <f t="shared" si="20"/>
        <v>2.40229006886212-40.6914559326475i</v>
      </c>
      <c r="L235" s="111">
        <f t="shared" si="21"/>
        <v>32.20517487948301</v>
      </c>
      <c r="M235" s="108" t="str">
        <f t="shared" si="22"/>
        <v>0.0307077393266544-0.520146437683793i</v>
      </c>
      <c r="N235" s="111">
        <f t="shared" si="23"/>
        <v>-5.6623771328351493</v>
      </c>
      <c r="O235" s="108">
        <f t="shared" si="24"/>
        <v>-86.621366718422877</v>
      </c>
      <c r="P235" s="111" t="str">
        <f>IMPRODUCT(42*10^-6,IMDIV((COMPLEX(1,I235*(CALCULATIONS!C267*10^3)*(CALCULATIONS!C265*10^-6))),IMPRODUCT((COMPLEX(0,data!I235*((CALCULATIONS!C265*10^-6)+(CALCULATIONS!C271*10^-6)))),(COMPLEX(1,I235*((CALCULATIONS!C267*10^3)*(CALCULATIONS!C265*10^-6)*(CALCULATIONS!C271*10^-6))/((CALCULATIONS!C265*10^-6)+(CALCULATIONS!C271*10^-6)))))))</f>
        <v>0.428242371374811-0.295952042217801i</v>
      </c>
      <c r="Q235" s="108">
        <f t="shared" si="25"/>
        <v>-5.6706413997583507</v>
      </c>
      <c r="R235" s="108" t="str">
        <f t="shared" si="26"/>
        <v>-0.140788045376027-0.231836762101483i</v>
      </c>
      <c r="S235" s="108">
        <f t="shared" si="27"/>
        <v>-11.333018532593499</v>
      </c>
      <c r="T235" s="108">
        <f t="shared" si="28"/>
        <v>58.730849348519243</v>
      </c>
    </row>
    <row r="236" spans="1:20">
      <c r="A236" s="108">
        <v>4.0999999999999996</v>
      </c>
      <c r="B236" s="108">
        <f t="shared" si="29"/>
        <v>12589.254117941671</v>
      </c>
      <c r="C236" s="108">
        <f t="shared" si="16"/>
        <v>79100.616502201214</v>
      </c>
      <c r="D236" s="108" t="str">
        <f t="shared" si="17"/>
        <v>-0.456852117159539-0.350078200631679i</v>
      </c>
      <c r="E236" s="108">
        <f t="shared" si="18"/>
        <v>-4.7981972309239023</v>
      </c>
      <c r="F236" s="108">
        <f t="shared" si="19"/>
        <v>-142.53765282062571</v>
      </c>
      <c r="G236" s="108">
        <v>1.1000000000000001</v>
      </c>
      <c r="H236" s="112">
        <f t="shared" si="30"/>
        <v>12.58925411794168</v>
      </c>
      <c r="I236" s="112">
        <f t="shared" si="31"/>
        <v>79.100616502201262</v>
      </c>
      <c r="J236" s="112">
        <f>(CALCULATIONS!$C$127*10^3)/((CALCULATIONS!$C$123*10^6)+(CALCULATIONS!$C$127*10^3))</f>
        <v>1.2782694198623401E-2</v>
      </c>
      <c r="K236" s="112" t="str">
        <f t="shared" si="20"/>
        <v>1.51768788873373-32.3638553656131i</v>
      </c>
      <c r="L236" s="108">
        <f t="shared" si="21"/>
        <v>30.210745104806133</v>
      </c>
      <c r="M236" s="108" t="str">
        <f t="shared" si="22"/>
        <v>0.0194001401706376-0.413697266227109i</v>
      </c>
      <c r="N236" s="108">
        <f t="shared" si="23"/>
        <v>-7.6568069075120313</v>
      </c>
      <c r="O236" s="108">
        <f t="shared" si="24"/>
        <v>-87.315108127453499</v>
      </c>
      <c r="P236" s="108" t="str">
        <f>IMPRODUCT(42*10^-6,IMDIV((COMPLEX(1,I236*(CALCULATIONS!C267*10^3)*(CALCULATIONS!C265*10^-6))),IMPRODUCT((COMPLEX(0,data!I236*((CALCULATIONS!C265*10^-6)+(CALCULATIONS!C271*10^-6)))),(COMPLEX(1,I236*((CALCULATIONS!C267*10^3)*(CALCULATIONS!C265*10^-6)*(CALCULATIONS!C271*10^-6))/((CALCULATIONS!C265*10^-6)+(CALCULATIONS!C271*10^-6)))))))</f>
        <v>0.37114690534882-0.311000506523928i</v>
      </c>
      <c r="Q236" s="108">
        <f t="shared" si="25"/>
        <v>-6.2991023381563309</v>
      </c>
      <c r="R236" s="108" t="str">
        <f t="shared" si="26"/>
        <v>-0.12145975735653-0.159575913531162i</v>
      </c>
      <c r="S236" s="108">
        <f t="shared" si="27"/>
        <v>-13.95590924566835</v>
      </c>
      <c r="T236" s="108">
        <f t="shared" si="28"/>
        <v>52.723752555009042</v>
      </c>
    </row>
    <row r="237" spans="1:20">
      <c r="A237" s="108">
        <v>4.2</v>
      </c>
      <c r="B237" s="108">
        <f t="shared" si="29"/>
        <v>15848.931924611146</v>
      </c>
      <c r="C237" s="108">
        <f t="shared" ref="C237:C265" si="32">2*PI()*B237</f>
        <v>99581.776203206231</v>
      </c>
      <c r="D237" s="108" t="str">
        <f t="shared" ref="D237:D265" si="33">IMDIV((7*Rsense*Vout_nom)/((1/(fsw/kHz)*kHz)*M1M2_calc*Lbst*mH),IMPRODUCT((COMPLEX(0,C237*1)),COMPLEX(1,(C237/(2*PI()*f_iavgactual*kHz)))))</f>
        <v>-0.333832123873118-0.203197121630384i</v>
      </c>
      <c r="E237" s="108">
        <f t="shared" ref="E237:E265" si="34">20*LOG(IMABS(D237))</f>
        <v>-8.1606723948549984</v>
      </c>
      <c r="F237" s="108">
        <f t="shared" ref="F237:F265" si="35">180/PI()*IMARGUMENT(D237)</f>
        <v>-148.67193839220369</v>
      </c>
      <c r="G237" s="108">
        <v>1.2</v>
      </c>
      <c r="H237" s="112">
        <f t="shared" si="30"/>
        <v>15.848931924611136</v>
      </c>
      <c r="I237" s="112">
        <f>2*PI()*H237</f>
        <v>99.581776203206175</v>
      </c>
      <c r="J237" s="112">
        <f>(CALCULATIONS!$C$127*10^3)/((CALCULATIONS!$C$123*10^6)+(CALCULATIONS!$C$127*10^3))</f>
        <v>1.2782694198623401E-2</v>
      </c>
      <c r="K237" s="112" t="str">
        <f t="shared" ref="K237:K265" si="36">IMDIV((M_3*Vout_nom)/(M1M2_calc),COMPLEX(1,(I237/(2*PI()*fPWM_PSpole))))</f>
        <v>0.958372390724556-25.7283584089563i</v>
      </c>
      <c r="L237" s="108">
        <f t="shared" ref="L237:L265" si="37">20*LOG(IMABS(K237))</f>
        <v>28.214263358928392</v>
      </c>
      <c r="M237" s="108" t="str">
        <f t="shared" si="22"/>
        <v>0.0122505811990356-0.328877737774269i</v>
      </c>
      <c r="N237" s="108">
        <f t="shared" ref="N237:N265" si="38">20*LOG(IMABS(M237))</f>
        <v>-9.6532886533897724</v>
      </c>
      <c r="O237" s="108">
        <f t="shared" ref="O237:O265" si="39">180/PI()*IMARGUMENT(M237)</f>
        <v>-87.866738461281031</v>
      </c>
      <c r="P237" s="108" t="str">
        <f>IMPRODUCT(42*10^-6,IMDIV((COMPLEX(1,I237*(CALCULATIONS!C267*10^3)*(CALCULATIONS!C265*10^-6))),IMPRODUCT((COMPLEX(0,data!I237*((CALCULATIONS!C265*10^-6)+(CALCULATIONS!C271*10^-6)))),(COMPLEX(1,I237*((CALCULATIONS!C267*10^3)*(CALCULATIONS!C265*10^-6)*(CALCULATIONS!C271*10^-6))/((CALCULATIONS!C265*10^-6)+(CALCULATIONS!C271*10^-6)))))))</f>
        <v>0.30640224832519-0.315418812017683i</v>
      </c>
      <c r="Q237" s="108">
        <f t="shared" ref="Q237:Q265" si="40">20*LOG(IMABS(P237))</f>
        <v>-7.1360783764881717</v>
      </c>
      <c r="R237" s="108" t="str">
        <f t="shared" si="26"/>
        <v>-0.0999806197251482-0.104632942046464i</v>
      </c>
      <c r="S237" s="108">
        <f t="shared" ref="S237:S265" si="41">20*LOG(IMABS(R237))</f>
        <v>-16.789367029877955</v>
      </c>
      <c r="T237" s="108">
        <f t="shared" ref="T237:T265" si="42">(180/PI()*IMARGUMENT(R237))+180</f>
        <v>46.302516368271739</v>
      </c>
    </row>
    <row r="238" spans="1:20">
      <c r="A238" s="108">
        <v>4.3</v>
      </c>
      <c r="B238" s="108">
        <f t="shared" si="29"/>
        <v>19952.623149688792</v>
      </c>
      <c r="C238" s="108">
        <f t="shared" si="32"/>
        <v>125366.0286138159</v>
      </c>
      <c r="D238" s="108" t="str">
        <f t="shared" si="33"/>
        <v>-0.233976537401747-0.113125818848254i</v>
      </c>
      <c r="E238" s="108">
        <f t="shared" si="34"/>
        <v>-11.704230553681377</v>
      </c>
      <c r="F238" s="108">
        <f t="shared" si="35"/>
        <v>-154.19659768635148</v>
      </c>
      <c r="G238" s="108">
        <v>1.3</v>
      </c>
      <c r="H238" s="112">
        <f t="shared" si="30"/>
        <v>19.952623149688804</v>
      </c>
      <c r="I238" s="112">
        <f t="shared" si="31"/>
        <v>125.36602861381597</v>
      </c>
      <c r="J238" s="112">
        <f>(CALCULATIONS!$C$127*10^3)/((CALCULATIONS!$C$123*10^6)+(CALCULATIONS!$C$127*10^3))</f>
        <v>1.2782694198623401E-2</v>
      </c>
      <c r="K238" s="112" t="str">
        <f t="shared" si="36"/>
        <v>0.605001466572255-20.4472172153014i</v>
      </c>
      <c r="L238" s="108">
        <f t="shared" si="37"/>
        <v>26.216484694605061</v>
      </c>
      <c r="M238" s="108" t="str">
        <f t="shared" si="22"/>
        <v>0.00773354873691181-0.261370524876026i</v>
      </c>
      <c r="N238" s="108">
        <f t="shared" si="38"/>
        <v>-11.651067317713091</v>
      </c>
      <c r="O238" s="108">
        <f t="shared" si="39"/>
        <v>-88.305201156097425</v>
      </c>
      <c r="P238" s="108" t="str">
        <f>IMPRODUCT(42*10^-6,IMDIV((COMPLEX(1,I238*(CALCULATIONS!C267*10^3)*(CALCULATIONS!C265*10^-6))),IMPRODUCT((COMPLEX(0,data!I238*((CALCULATIONS!C265*10^-6)+(CALCULATIONS!C271*10^-6)))),(COMPLEX(1,I238*((CALCULATIONS!C267*10^3)*(CALCULATIONS!C265*10^-6)*(CALCULATIONS!C271*10^-6))/((CALCULATIONS!C265*10^-6)+(CALCULATIONS!C271*10^-6)))))))</f>
        <v>0.240037531839564-0.306223243576038i</v>
      </c>
      <c r="Q238" s="108">
        <f t="shared" si="40"/>
        <v>-8.1990082702857308</v>
      </c>
      <c r="R238" s="108" t="str">
        <f t="shared" si="26"/>
        <v>-0.0781813879515389-0.0651069280654231i</v>
      </c>
      <c r="S238" s="108">
        <f t="shared" si="41"/>
        <v>-19.850075587998827</v>
      </c>
      <c r="T238" s="108">
        <f t="shared" si="42"/>
        <v>39.786436660876461</v>
      </c>
    </row>
    <row r="239" spans="1:20">
      <c r="A239" s="108">
        <v>4.4000000000000004</v>
      </c>
      <c r="B239" s="108">
        <f t="shared" si="29"/>
        <v>25118.86431509586</v>
      </c>
      <c r="C239" s="108">
        <f t="shared" si="32"/>
        <v>157826.47919764792</v>
      </c>
      <c r="D239" s="108" t="str">
        <f t="shared" si="33"/>
        <v>-0.158728032639059-0.0609597334870007i</v>
      </c>
      <c r="E239" s="108">
        <f t="shared" si="34"/>
        <v>-15.389417315622547</v>
      </c>
      <c r="F239" s="108">
        <f t="shared" si="35"/>
        <v>-158.99064081311957</v>
      </c>
      <c r="G239" s="108">
        <v>1.4</v>
      </c>
      <c r="H239" s="112">
        <f t="shared" si="30"/>
        <v>25.118864315095799</v>
      </c>
      <c r="I239" s="112">
        <f t="shared" si="31"/>
        <v>157.82647919764753</v>
      </c>
      <c r="J239" s="112">
        <f>(CALCULATIONS!$C$127*10^3)/((CALCULATIONS!$C$123*10^6)+(CALCULATIONS!$C$127*10^3))</f>
        <v>1.2782694198623401E-2</v>
      </c>
      <c r="K239" s="112" t="str">
        <f t="shared" si="36"/>
        <v>0.381853383134806-16.2470465919714i</v>
      </c>
      <c r="L239" s="108">
        <f t="shared" si="37"/>
        <v>24.217886847487506</v>
      </c>
      <c r="M239" s="108" t="str">
        <f t="shared" si="22"/>
        <v>0.004881115025322-0.207681028215957i</v>
      </c>
      <c r="N239" s="108">
        <f t="shared" si="38"/>
        <v>-13.649665164830649</v>
      </c>
      <c r="O239" s="108">
        <f t="shared" si="39"/>
        <v>-88.653628524685089</v>
      </c>
      <c r="P239" s="108" t="str">
        <f>IMPRODUCT(42*10^-6,IMDIV((COMPLEX(1,I239*(CALCULATIONS!C267*10^3)*(CALCULATIONS!C265*10^-6))),IMPRODUCT((COMPLEX(0,data!I239*((CALCULATIONS!C265*10^-6)+(CALCULATIONS!C271*10^-6)))),(COMPLEX(1,I239*((CALCULATIONS!C267*10^3)*(CALCULATIONS!C265*10^-6)*(CALCULATIONS!C271*10^-6))/((CALCULATIONS!C265*10^-6)+(CALCULATIONS!C271*10^-6)))))))</f>
        <v>0.178695420654033-0.28412061855081i</v>
      </c>
      <c r="Q239" s="108">
        <f t="shared" si="40"/>
        <v>-9.4824344000011109</v>
      </c>
      <c r="R239" s="108" t="str">
        <f t="shared" si="26"/>
        <v>-0.0581342292952753-0.0384984741191247i</v>
      </c>
      <c r="S239" s="108">
        <f t="shared" si="41"/>
        <v>-23.132099564831758</v>
      </c>
      <c r="T239" s="108">
        <f t="shared" si="42"/>
        <v>33.513887581331574</v>
      </c>
    </row>
    <row r="240" spans="1:20">
      <c r="A240" s="108">
        <v>4.5</v>
      </c>
      <c r="B240" s="108">
        <f t="shared" si="29"/>
        <v>31622.77660168384</v>
      </c>
      <c r="C240" s="108">
        <f t="shared" si="32"/>
        <v>198691.7653159223</v>
      </c>
      <c r="D240" s="108" t="str">
        <f t="shared" si="33"/>
        <v>-0.105137897437173-0.0320736742381127i</v>
      </c>
      <c r="E240" s="108">
        <f t="shared" si="34"/>
        <v>-19.17836077281423</v>
      </c>
      <c r="F240" s="108">
        <f t="shared" si="35"/>
        <v>-163.03499581771408</v>
      </c>
      <c r="G240" s="108">
        <v>1.5</v>
      </c>
      <c r="H240" s="112">
        <f t="shared" si="30"/>
        <v>31.622776601683803</v>
      </c>
      <c r="I240" s="112">
        <f t="shared" si="31"/>
        <v>198.69176531592208</v>
      </c>
      <c r="J240" s="112">
        <f>(CALCULATIONS!$C$127*10^3)/((CALCULATIONS!$C$123*10^6)+(CALCULATIONS!$C$127*10^3))</f>
        <v>1.2782694198623401E-2</v>
      </c>
      <c r="K240" s="112" t="str">
        <f t="shared" si="36"/>
        <v>0.240982294886331-12.9081177682614i</v>
      </c>
      <c r="L240" s="108">
        <f t="shared" si="37"/>
        <v>22.21877177912998</v>
      </c>
      <c r="M240" s="108" t="str">
        <f t="shared" si="22"/>
        <v>0.00308040298281446-0.165000522111503i</v>
      </c>
      <c r="N240" s="108">
        <f t="shared" si="38"/>
        <v>-15.648780233188154</v>
      </c>
      <c r="O240" s="108">
        <f t="shared" si="39"/>
        <v>-88.930466477034258</v>
      </c>
      <c r="P240" s="108" t="str">
        <f>IMPRODUCT(42*10^-6,IMDIV((COMPLEX(1,I240*(CALCULATIONS!C267*10^3)*(CALCULATIONS!C265*10^-6))),IMPRODUCT((COMPLEX(0,data!I240*((CALCULATIONS!C265*10^-6)+(CALCULATIONS!C271*10^-6)))),(COMPLEX(1,I240*((CALCULATIONS!C267*10^3)*(CALCULATIONS!C265*10^-6)*(CALCULATIONS!C271*10^-6))/((CALCULATIONS!C265*10^-6)+(CALCULATIONS!C271*10^-6)))))))</f>
        <v>0.127183280892462-0.252952794342809i</v>
      </c>
      <c r="Q240" s="108">
        <f t="shared" si="40"/>
        <v>-10.960384821826093</v>
      </c>
      <c r="R240" s="108" t="str">
        <f t="shared" si="26"/>
        <v>-0.0413455673783019-0.021764504293315i</v>
      </c>
      <c r="S240" s="108">
        <f t="shared" si="41"/>
        <v>-26.609165055014241</v>
      </c>
      <c r="T240" s="108">
        <f t="shared" si="42"/>
        <v>27.762533202835584</v>
      </c>
    </row>
    <row r="241" spans="1:20">
      <c r="A241" s="108">
        <v>4.5999999999999996</v>
      </c>
      <c r="B241" s="108">
        <f t="shared" si="29"/>
        <v>39810.717055349742</v>
      </c>
      <c r="C241" s="108">
        <f t="shared" si="32"/>
        <v>250138.11247045727</v>
      </c>
      <c r="D241" s="108" t="str">
        <f t="shared" si="33"/>
        <v>-0.0684894875503319-0.0165963789626761i</v>
      </c>
      <c r="E241" s="108">
        <f t="shared" si="34"/>
        <v>-23.03971448208079</v>
      </c>
      <c r="F241" s="108">
        <f t="shared" si="35"/>
        <v>-166.37864139029577</v>
      </c>
      <c r="G241" s="108">
        <v>1.6</v>
      </c>
      <c r="H241" s="112">
        <f t="shared" si="30"/>
        <v>39.810717055349755</v>
      </c>
      <c r="I241" s="112">
        <f t="shared" si="31"/>
        <v>250.13811247045734</v>
      </c>
      <c r="J241" s="112">
        <f>(CALCULATIONS!$C$127*10^3)/((CALCULATIONS!$C$123*10^6)+(CALCULATIONS!$C$127*10^3))</f>
        <v>1.2782694198623401E-2</v>
      </c>
      <c r="K241" s="112" t="str">
        <f t="shared" si="36"/>
        <v>0.152069101723996-10.2546009256449i</v>
      </c>
      <c r="L241" s="108">
        <f t="shared" si="37"/>
        <v>20.219330226042015</v>
      </c>
      <c r="M241" s="108" t="str">
        <f t="shared" si="22"/>
        <v>0.0019438528243972-0.131081427761439i</v>
      </c>
      <c r="N241" s="108">
        <f t="shared" si="38"/>
        <v>-17.648221786276157</v>
      </c>
      <c r="O241" s="108">
        <f t="shared" si="39"/>
        <v>-89.150402908367639</v>
      </c>
      <c r="P241" s="108" t="str">
        <f>IMPRODUCT(42*10^-6,IMDIV((COMPLEX(1,I241*(CALCULATIONS!C267*10^3)*(CALCULATIONS!C265*10^-6))),IMPRODUCT((COMPLEX(0,data!I241*((CALCULATIONS!C265*10^-6)+(CALCULATIONS!C271*10^-6)))),(COMPLEX(1,I241*((CALCULATIONS!C267*10^3)*(CALCULATIONS!C265*10^-6)*(CALCULATIONS!C271*10^-6))/((CALCULATIONS!C265*10^-6)+(CALCULATIONS!C271*10^-6)))))))</f>
        <v>0.0872987686552203-0.217697978085915i</v>
      </c>
      <c r="Q241" s="108">
        <f t="shared" si="40"/>
        <v>-12.595308450405117</v>
      </c>
      <c r="R241" s="108" t="str">
        <f t="shared" si="26"/>
        <v>-0.0283664658302634-0.0118664200667097i</v>
      </c>
      <c r="S241" s="108">
        <f t="shared" si="41"/>
        <v>-30.243530236681259</v>
      </c>
      <c r="T241" s="108">
        <f t="shared" si="42"/>
        <v>22.700808579202089</v>
      </c>
    </row>
    <row r="242" spans="1:20">
      <c r="A242" s="108">
        <v>4.7</v>
      </c>
      <c r="B242" s="108">
        <f t="shared" si="29"/>
        <v>50118.723362727294</v>
      </c>
      <c r="C242" s="108">
        <f t="shared" si="32"/>
        <v>314905.22624728642</v>
      </c>
      <c r="D242" s="108" t="str">
        <f t="shared" si="33"/>
        <v>-0.0441169290217987-0.00849170111583451i</v>
      </c>
      <c r="E242" s="108">
        <f t="shared" si="34"/>
        <v>-26.949900913735213</v>
      </c>
      <c r="F242" s="108">
        <f t="shared" si="35"/>
        <v>-169.10485938665514</v>
      </c>
      <c r="G242" s="108">
        <v>1.7</v>
      </c>
      <c r="H242" s="112">
        <f t="shared" si="30"/>
        <v>50.118723362727238</v>
      </c>
      <c r="I242" s="112">
        <f t="shared" si="31"/>
        <v>314.90522624728607</v>
      </c>
      <c r="J242" s="112">
        <f>(CALCULATIONS!$C$127*10^3)/((CALCULATIONS!$C$123*10^6)+(CALCULATIONS!$C$127*10^3))</f>
        <v>1.2782694198623401E-2</v>
      </c>
      <c r="K242" s="112" t="str">
        <f t="shared" si="36"/>
        <v>0.09595690237404-8.14618001766042i</v>
      </c>
      <c r="L242" s="108">
        <f t="shared" si="37"/>
        <v>18.219682619174399</v>
      </c>
      <c r="M242" s="108" t="str">
        <f t="shared" si="22"/>
        <v>0.00122658773929451-0.10413012805269i</v>
      </c>
      <c r="N242" s="108">
        <f t="shared" si="38"/>
        <v>-19.647869393143736</v>
      </c>
      <c r="O242" s="108">
        <f t="shared" si="39"/>
        <v>-89.325122788266924</v>
      </c>
      <c r="P242" s="108" t="str">
        <f>IMPRODUCT(42*10^-6,IMDIV((COMPLEX(1,I242*(CALCULATIONS!C267*10^3)*(CALCULATIONS!C265*10^-6))),IMPRODUCT((COMPLEX(0,data!I242*((CALCULATIONS!C265*10^-6)+(CALCULATIONS!C271*10^-6)))),(COMPLEX(1,I242*((CALCULATIONS!C267*10^3)*(CALCULATIONS!C265*10^-6)*(CALCULATIONS!C271*10^-6))/((CALCULATIONS!C265*10^-6)+(CALCULATIONS!C271*10^-6)))))))</f>
        <v>0.0583150139726381-0.182604079471646i</v>
      </c>
      <c r="Q242" s="108">
        <f t="shared" si="40"/>
        <v>-14.348030401859784</v>
      </c>
      <c r="R242" s="108" t="str">
        <f t="shared" si="26"/>
        <v>-0.0189430576971705-0.00629632979739029i</v>
      </c>
      <c r="S242" s="108">
        <f t="shared" si="41"/>
        <v>-33.995899795003496</v>
      </c>
      <c r="T242" s="108">
        <f t="shared" si="42"/>
        <v>18.385873809138872</v>
      </c>
    </row>
    <row r="243" spans="1:20">
      <c r="A243" s="108">
        <v>4.8</v>
      </c>
      <c r="B243" s="108">
        <f t="shared" si="29"/>
        <v>63095.734448019342</v>
      </c>
      <c r="C243" s="108">
        <f t="shared" si="32"/>
        <v>396442.19162950001</v>
      </c>
      <c r="D243" s="108" t="str">
        <f t="shared" si="33"/>
        <v>-0.0282077996020003-0.00431279321724801i</v>
      </c>
      <c r="E243" s="108">
        <f t="shared" si="34"/>
        <v>-30.892261553795691</v>
      </c>
      <c r="F243" s="108">
        <f t="shared" si="35"/>
        <v>-171.3071584096059</v>
      </c>
      <c r="G243" s="108">
        <v>1.8</v>
      </c>
      <c r="H243" s="112">
        <f t="shared" si="30"/>
        <v>63.095734448019364</v>
      </c>
      <c r="I243" s="112">
        <f t="shared" si="31"/>
        <v>396.44219162950014</v>
      </c>
      <c r="J243" s="112">
        <f>(CALCULATIONS!$C$127*10^3)/((CALCULATIONS!$C$123*10^6)+(CALCULATIONS!$C$127*10^3))</f>
        <v>1.2782694198623401E-2</v>
      </c>
      <c r="K243" s="112" t="str">
        <f t="shared" si="36"/>
        <v>0.0605478122886713-6.47107210503513i</v>
      </c>
      <c r="L243" s="108">
        <f t="shared" si="37"/>
        <v>16.21990497892271</v>
      </c>
      <c r="M243" s="108" t="str">
        <f t="shared" si="22"/>
        <v>0.000773964168881737-0.0827177358559063i</v>
      </c>
      <c r="N243" s="108">
        <f t="shared" si="38"/>
        <v>-21.647647033395444</v>
      </c>
      <c r="O243" s="108">
        <f t="shared" si="39"/>
        <v>-89.463916826495577</v>
      </c>
      <c r="P243" s="108" t="str">
        <f>IMPRODUCT(42*10^-6,IMDIV((COMPLEX(1,I243*(CALCULATIONS!C267*10^3)*(CALCULATIONS!C265*10^-6))),IMPRODUCT((COMPLEX(0,data!I243*((CALCULATIONS!C265*10^-6)+(CALCULATIONS!C271*10^-6)))),(COMPLEX(1,I243*((CALCULATIONS!C267*10^3)*(CALCULATIONS!C265*10^-6)*(CALCULATIONS!C271*10^-6))/((CALCULATIONS!C265*10^-6)+(CALCULATIONS!C271*10^-6)))))))</f>
        <v>0.0382094180384418-0.15038162388121i</v>
      </c>
      <c r="Q243" s="108">
        <f t="shared" si="40"/>
        <v>-16.184410565512959</v>
      </c>
      <c r="R243" s="108" t="str">
        <f t="shared" si="26"/>
        <v>-0.0124096547213126-0.00327698653705404i</v>
      </c>
      <c r="S243" s="108">
        <f t="shared" si="41"/>
        <v>-37.832057598908399</v>
      </c>
      <c r="T243" s="108">
        <f t="shared" si="42"/>
        <v>14.792293202554731</v>
      </c>
    </row>
    <row r="244" spans="1:20">
      <c r="A244" s="108">
        <v>4.9000000000000004</v>
      </c>
      <c r="B244" s="108">
        <f t="shared" si="29"/>
        <v>79432.823472428237</v>
      </c>
      <c r="C244" s="108">
        <f t="shared" si="32"/>
        <v>499091.14934975083</v>
      </c>
      <c r="D244" s="108" t="str">
        <f t="shared" si="33"/>
        <v>-0.0179492276785837-0.00217989307964604i</v>
      </c>
      <c r="E244" s="108">
        <f t="shared" si="34"/>
        <v>-34.85549598523184</v>
      </c>
      <c r="F244" s="108">
        <f t="shared" si="35"/>
        <v>-173.07546894636772</v>
      </c>
      <c r="G244" s="108">
        <v>1.9</v>
      </c>
      <c r="H244" s="112">
        <f t="shared" si="30"/>
        <v>79.432823472428197</v>
      </c>
      <c r="I244" s="112">
        <f t="shared" si="31"/>
        <v>499.09114934975059</v>
      </c>
      <c r="J244" s="112">
        <f>(CALCULATIONS!$C$127*10^3)/((CALCULATIONS!$C$123*10^6)+(CALCULATIONS!$C$127*10^3))</f>
        <v>1.2782694198623401E-2</v>
      </c>
      <c r="K244" s="112" t="str">
        <f t="shared" si="36"/>
        <v>0.0382043210839499-5.1403213451078i</v>
      </c>
      <c r="L244" s="108">
        <f t="shared" si="37"/>
        <v>14.220045284297058</v>
      </c>
      <c r="M244" s="108" t="str">
        <f t="shared" si="22"/>
        <v>0.000488354153482152-0.0657071558371695i</v>
      </c>
      <c r="N244" s="108">
        <f t="shared" si="38"/>
        <v>-23.647506728021099</v>
      </c>
      <c r="O244" s="108">
        <f t="shared" si="39"/>
        <v>-89.574169413406366</v>
      </c>
      <c r="P244" s="108" t="str">
        <f>IMPRODUCT(42*10^-6,IMDIV((COMPLEX(1,I244*(CALCULATIONS!C267*10^3)*(CALCULATIONS!C265*10^-6))),IMPRODUCT((COMPLEX(0,data!I244*((CALCULATIONS!C265*10^-6)+(CALCULATIONS!C271*10^-6)))),(COMPLEX(1,I244*((CALCULATIONS!C267*10^3)*(CALCULATIONS!C265*10^-6)*(CALCULATIONS!C271*10^-6))/((CALCULATIONS!C265*10^-6)+(CALCULATIONS!C271*10^-6)))))))</f>
        <v>0.0247081050480845-0.1222975905133i</v>
      </c>
      <c r="Q244" s="108">
        <f t="shared" si="40"/>
        <v>-18.077897432209159</v>
      </c>
      <c r="R244" s="108" t="str">
        <f t="shared" si="26"/>
        <v>-0.00802376053264284-0.00168322384512367i</v>
      </c>
      <c r="S244" s="108">
        <f t="shared" si="41"/>
        <v>-41.725404160230262</v>
      </c>
      <c r="T244" s="108">
        <f t="shared" si="42"/>
        <v>11.847701546579998</v>
      </c>
    </row>
    <row r="245" spans="1:20">
      <c r="A245" s="108">
        <v>5</v>
      </c>
      <c r="B245" s="108">
        <f t="shared" si="29"/>
        <v>100000</v>
      </c>
      <c r="C245" s="108">
        <f t="shared" si="32"/>
        <v>628318.53071795858</v>
      </c>
      <c r="D245" s="108" t="str">
        <f t="shared" si="33"/>
        <v>-0.0113862741001412-0.00109842664830074i</v>
      </c>
      <c r="E245" s="108">
        <f t="shared" si="34"/>
        <v>-38.832137306569635</v>
      </c>
      <c r="F245" s="108">
        <f t="shared" si="35"/>
        <v>-174.48976361234236</v>
      </c>
      <c r="G245" s="108">
        <v>2</v>
      </c>
      <c r="H245" s="112">
        <f t="shared" si="30"/>
        <v>100</v>
      </c>
      <c r="I245" s="112">
        <f t="shared" si="31"/>
        <v>628.31853071795865</v>
      </c>
      <c r="J245" s="112">
        <f>(CALCULATIONS!$C$127*10^3)/((CALCULATIONS!$C$123*10^6)+(CALCULATIONS!$C$127*10^3))</f>
        <v>1.2782694198623401E-2</v>
      </c>
      <c r="K245" s="112" t="str">
        <f t="shared" si="36"/>
        <v>0.024105788359787-4.08318561308717i</v>
      </c>
      <c r="L245" s="108">
        <f t="shared" si="37"/>
        <v>12.220133813335835</v>
      </c>
      <c r="M245" s="108" t="str">
        <f t="shared" si="22"/>
        <v>0.000308136921019893-0.0521941130483119i</v>
      </c>
      <c r="N245" s="108">
        <f t="shared" si="38"/>
        <v>-25.647418198982326</v>
      </c>
      <c r="O245" s="108">
        <f t="shared" si="39"/>
        <v>-89.661748443483248</v>
      </c>
      <c r="P245" s="108" t="str">
        <f>IMPRODUCT(42*10^-6,IMDIV((COMPLEX(1,I245*(CALCULATIONS!C267*10^3)*(CALCULATIONS!C265*10^-6))),IMPRODUCT((COMPLEX(0,data!I245*((CALCULATIONS!C265*10^-6)+(CALCULATIONS!C271*10^-6)))),(COMPLEX(1,I245*((CALCULATIONS!C267*10^3)*(CALCULATIONS!C265*10^-6)*(CALCULATIONS!C271*10^-6))/((CALCULATIONS!C265*10^-6)+(CALCULATIONS!C271*10^-6)))))))</f>
        <v>0.0158382990491557-0.098629181708303i</v>
      </c>
      <c r="Q245" s="108">
        <f t="shared" si="40"/>
        <v>-20.00931813549893</v>
      </c>
      <c r="R245" s="108" t="str">
        <f t="shared" si="26"/>
        <v>-0.00514298229524246-0.000857057263438912i</v>
      </c>
      <c r="S245" s="108">
        <f t="shared" si="41"/>
        <v>-45.656736334481266</v>
      </c>
      <c r="T245" s="108">
        <f t="shared" si="42"/>
        <v>9.4611683152965043</v>
      </c>
    </row>
    <row r="246" spans="1:20">
      <c r="A246" s="108">
        <v>5.0999999999999996</v>
      </c>
      <c r="B246" s="108">
        <f t="shared" si="29"/>
        <v>125892.54117941685</v>
      </c>
      <c r="C246" s="108">
        <f t="shared" si="32"/>
        <v>791006.16502201289</v>
      </c>
      <c r="D246" s="108" t="str">
        <f t="shared" si="33"/>
        <v>-0.00720878309059504-0.000552397092693848i</v>
      </c>
      <c r="E246" s="108">
        <f t="shared" si="34"/>
        <v>-42.817334069944252</v>
      </c>
      <c r="F246" s="108">
        <f t="shared" si="35"/>
        <v>-175.6180827810586</v>
      </c>
      <c r="G246" s="108">
        <v>2.1</v>
      </c>
      <c r="H246" s="112">
        <f t="shared" si="30"/>
        <v>125.89254117941677</v>
      </c>
      <c r="I246" s="112">
        <f t="shared" si="31"/>
        <v>791.0061650220124</v>
      </c>
      <c r="J246" s="112">
        <f>(CALCULATIONS!$C$127*10^3)/((CALCULATIONS!$C$123*10^6)+(CALCULATIONS!$C$127*10^3))</f>
        <v>1.2782694198623401E-2</v>
      </c>
      <c r="K246" s="112" t="str">
        <f t="shared" si="36"/>
        <v>0.0152099198388919-3.24343133685525i</v>
      </c>
      <c r="L246" s="108">
        <f t="shared" si="37"/>
        <v>10.220189672311591</v>
      </c>
      <c r="M246" s="108" t="str">
        <f t="shared" si="22"/>
        <v>0.00019442375408613-0.041459790933253i</v>
      </c>
      <c r="N246" s="108">
        <f t="shared" si="38"/>
        <v>-27.647362340006552</v>
      </c>
      <c r="O246" s="108">
        <f t="shared" si="39"/>
        <v>-89.73131608627952</v>
      </c>
      <c r="P246" s="108" t="str">
        <f>IMPRODUCT(42*10^-6,IMDIV((COMPLEX(1,I246*(CALCULATIONS!C267*10^3)*(CALCULATIONS!C265*10^-6))),IMPRODUCT((COMPLEX(0,data!I246*((CALCULATIONS!C265*10^-6)+(CALCULATIONS!C271*10^-6)))),(COMPLEX(1,I246*((CALCULATIONS!C267*10^3)*(CALCULATIONS!C265*10^-6)*(CALCULATIONS!C271*10^-6))/((CALCULATIONS!C265*10^-6)+(CALCULATIONS!C271*10^-6)))))))</f>
        <v>0.0100948350022113-0.0791076280914444i</v>
      </c>
      <c r="Q246" s="108">
        <f t="shared" si="40"/>
        <v>-21.965481754033121</v>
      </c>
      <c r="R246" s="108" t="str">
        <f t="shared" si="26"/>
        <v>-0.00327782304617881-0.000433910150727753i</v>
      </c>
      <c r="S246" s="108">
        <f t="shared" si="41"/>
        <v>-49.612844094039666</v>
      </c>
      <c r="T246" s="108">
        <f t="shared" si="42"/>
        <v>7.5408302681546502</v>
      </c>
    </row>
    <row r="247" spans="1:20">
      <c r="A247" s="108">
        <v>5.2</v>
      </c>
      <c r="B247" s="108">
        <f t="shared" si="29"/>
        <v>158489.31924611164</v>
      </c>
      <c r="C247" s="108">
        <f t="shared" si="32"/>
        <v>995817.76203206345</v>
      </c>
      <c r="D247" s="108" t="str">
        <f t="shared" si="33"/>
        <v>-0.00455825463207225-0.000277452094828202i</v>
      </c>
      <c r="E247" s="108">
        <f t="shared" si="34"/>
        <v>-46.80796782996061</v>
      </c>
      <c r="F247" s="108">
        <f t="shared" si="35"/>
        <v>-176.51681472590937</v>
      </c>
      <c r="G247" s="108">
        <v>2.2000000000000002</v>
      </c>
      <c r="H247" s="112">
        <f t="shared" si="30"/>
        <v>158.48931924611153</v>
      </c>
      <c r="I247" s="112">
        <f t="shared" si="31"/>
        <v>995.81776203206277</v>
      </c>
      <c r="J247" s="112">
        <f>(CALCULATIONS!$C$127*10^3)/((CALCULATIONS!$C$123*10^6)+(CALCULATIONS!$C$127*10^3))</f>
        <v>1.2782694198623401E-2</v>
      </c>
      <c r="K247" s="112" t="str">
        <f t="shared" si="36"/>
        <v>0.00959688851416534-2.57636999659986i</v>
      </c>
      <c r="L247" s="108">
        <f t="shared" si="37"/>
        <v>8.2202249173122937</v>
      </c>
      <c r="M247" s="108" t="str">
        <f t="shared" si="22"/>
        <v>0.000122674091134857-0.0329329498090444i</v>
      </c>
      <c r="N247" s="108">
        <f t="shared" si="38"/>
        <v>-29.64732709500587</v>
      </c>
      <c r="O247" s="108">
        <f t="shared" si="39"/>
        <v>-89.786576203770807</v>
      </c>
      <c r="P247" s="108" t="str">
        <f>IMPRODUCT(42*10^-6,IMDIV((COMPLEX(1,I247*(CALCULATIONS!C267*10^3)*(CALCULATIONS!C265*10^-6))),IMPRODUCT((COMPLEX(0,data!I247*((CALCULATIONS!C265*10^-6)+(CALCULATIONS!C271*10^-6)))),(COMPLEX(1,I247*((CALCULATIONS!C267*10^3)*(CALCULATIONS!C265*10^-6)*(CALCULATIONS!C271*10^-6))/((CALCULATIONS!C265*10^-6)+(CALCULATIONS!C271*10^-6)))))))</f>
        <v>0.00641050990977785-0.0632265554255761i</v>
      </c>
      <c r="Q247" s="108">
        <f t="shared" si="40"/>
        <v>-23.937592714304799</v>
      </c>
      <c r="R247" s="108" t="str">
        <f t="shared" si="26"/>
        <v>-0.00208145057295237-0.000218873261331516i</v>
      </c>
      <c r="S247" s="108">
        <f t="shared" si="41"/>
        <v>-53.584919809310662</v>
      </c>
      <c r="T247" s="108">
        <f t="shared" si="42"/>
        <v>6.0028312429074902</v>
      </c>
    </row>
    <row r="248" spans="1:20">
      <c r="A248" s="108">
        <v>5.3</v>
      </c>
      <c r="B248" s="108">
        <f t="shared" si="29"/>
        <v>199526.23149688813</v>
      </c>
      <c r="C248" s="108">
        <f t="shared" si="32"/>
        <v>1253660.2861381602</v>
      </c>
      <c r="D248" s="108" t="str">
        <f t="shared" si="33"/>
        <v>-0.00287998743369342-0.000139245131297005i</v>
      </c>
      <c r="E248" s="108">
        <f t="shared" si="34"/>
        <v>-50.802047721694322</v>
      </c>
      <c r="F248" s="108">
        <f t="shared" si="35"/>
        <v>-177.23194960926315</v>
      </c>
      <c r="G248" s="108">
        <v>2.2999999999999998</v>
      </c>
      <c r="H248" s="112">
        <f t="shared" si="30"/>
        <v>199.52623149688802</v>
      </c>
      <c r="I248" s="112">
        <f t="shared" si="31"/>
        <v>1253.6602861381596</v>
      </c>
      <c r="J248" s="112">
        <f>(CALCULATIONS!$C$127*10^3)/((CALCULATIONS!$C$123*10^6)+(CALCULATIONS!$C$127*10^3))</f>
        <v>1.2782694198623401E-2</v>
      </c>
      <c r="K248" s="112" t="str">
        <f t="shared" si="36"/>
        <v>0.00605525829830625-2.04649391053067i</v>
      </c>
      <c r="L248" s="108">
        <f t="shared" si="37"/>
        <v>6.2202471555515162</v>
      </c>
      <c r="M248" s="108" t="str">
        <f t="shared" si="22"/>
        <v>0.0000774025151209255-0.0261597058376585i</v>
      </c>
      <c r="N248" s="108">
        <f t="shared" si="38"/>
        <v>-31.647304856766642</v>
      </c>
      <c r="O248" s="108">
        <f t="shared" si="39"/>
        <v>-89.830471163332973</v>
      </c>
      <c r="P248" s="108" t="str">
        <f>IMPRODUCT(42*10^-6,IMDIV((COMPLEX(1,I248*(CALCULATIONS!C267*10^3)*(CALCULATIONS!C265*10^-6))),IMPRODUCT((COMPLEX(0,data!I248*((CALCULATIONS!C265*10^-6)+(CALCULATIONS!C271*10^-6)))),(COMPLEX(1,I248*((CALCULATIONS!C267*10^3)*(CALCULATIONS!C265*10^-6)*(CALCULATIONS!C271*10^-6))/((CALCULATIONS!C265*10^-6)+(CALCULATIONS!C271*10^-6)))))))</f>
        <v>0.00406129326273499-0.0504197274471496i</v>
      </c>
      <c r="Q248" s="108">
        <f t="shared" si="40"/>
        <v>-25.91990302536157</v>
      </c>
      <c r="R248" s="108" t="str">
        <f t="shared" si="26"/>
        <v>-0.00131865088411917-0.000110144850789733i</v>
      </c>
      <c r="S248" s="108">
        <f t="shared" si="41"/>
        <v>-57.567207882128216</v>
      </c>
      <c r="T248" s="108">
        <f t="shared" si="42"/>
        <v>4.7747431847151631</v>
      </c>
    </row>
    <row r="249" spans="1:20">
      <c r="A249" s="108">
        <v>5.4</v>
      </c>
      <c r="B249" s="108">
        <f t="shared" si="29"/>
        <v>251188.64315095844</v>
      </c>
      <c r="C249" s="108">
        <f t="shared" si="32"/>
        <v>1578264.7919764782</v>
      </c>
      <c r="D249" s="108" t="str">
        <f t="shared" si="33"/>
        <v>-0.00181871455333626-0.0000698479988802092i</v>
      </c>
      <c r="E249" s="108">
        <f t="shared" si="34"/>
        <v>-54.798308229342176</v>
      </c>
      <c r="F249" s="108">
        <f t="shared" si="35"/>
        <v>-177.80062809349997</v>
      </c>
      <c r="G249" s="108">
        <v>2.4</v>
      </c>
      <c r="H249" s="112">
        <f t="shared" si="30"/>
        <v>251.18864315095806</v>
      </c>
      <c r="I249" s="112">
        <f t="shared" si="31"/>
        <v>1578.2647919764759</v>
      </c>
      <c r="J249" s="112">
        <f>(CALCULATIONS!$C$127*10^3)/((CALCULATIONS!$C$123*10^6)+(CALCULATIONS!$C$127*10^3))</f>
        <v>1.2782694198623401E-2</v>
      </c>
      <c r="K249" s="112" t="str">
        <f t="shared" si="36"/>
        <v>0.00382062203990914-1.62559314737831i</v>
      </c>
      <c r="L249" s="108">
        <f t="shared" si="37"/>
        <v>4.2202611869904674</v>
      </c>
      <c r="M249" s="108" t="str">
        <f t="shared" si="22"/>
        <v>0.0000488378431846793-0.0207794600943147i</v>
      </c>
      <c r="N249" s="108">
        <f t="shared" si="38"/>
        <v>-33.64729082532768</v>
      </c>
      <c r="O249" s="108">
        <f t="shared" si="39"/>
        <v>-89.865338313411087</v>
      </c>
      <c r="P249" s="108" t="str">
        <f>IMPRODUCT(42*10^-6,IMDIV((COMPLEX(1,I249*(CALCULATIONS!C267*10^3)*(CALCULATIONS!C265*10^-6))),IMPRODUCT((COMPLEX(0,data!I249*((CALCULATIONS!C265*10^-6)+(CALCULATIONS!C271*10^-6)))),(COMPLEX(1,I249*((CALCULATIONS!C267*10^3)*(CALCULATIONS!C265*10^-6)*(CALCULATIONS!C271*10^-6))/((CALCULATIONS!C265*10^-6)+(CALCULATIONS!C271*10^-6)))))))</f>
        <v>0.00256912949821004-0.0401492520280104i</v>
      </c>
      <c r="Q249" s="108">
        <f t="shared" si="40"/>
        <v>-27.908704279883093</v>
      </c>
      <c r="R249" s="108" t="str">
        <f t="shared" si="26"/>
        <v>-0.000834154309589071-0.0000553459267597084i</v>
      </c>
      <c r="S249" s="108">
        <f t="shared" si="41"/>
        <v>-61.555995105210776</v>
      </c>
      <c r="T249" s="108">
        <f t="shared" si="42"/>
        <v>3.7959965973173553</v>
      </c>
    </row>
    <row r="250" spans="1:20">
      <c r="A250" s="108">
        <v>5.5</v>
      </c>
      <c r="B250" s="108">
        <f t="shared" si="29"/>
        <v>316227.7660168382</v>
      </c>
      <c r="C250" s="108">
        <f t="shared" si="32"/>
        <v>1986917.6531592219</v>
      </c>
      <c r="D250" s="108" t="str">
        <f t="shared" si="33"/>
        <v>-0.00114815535004408-0.0000350259626354674i</v>
      </c>
      <c r="E250" s="108">
        <f t="shared" si="34"/>
        <v>-58.795947111364491</v>
      </c>
      <c r="F250" s="108">
        <f t="shared" si="35"/>
        <v>-178.25266011665281</v>
      </c>
      <c r="G250" s="108">
        <v>2.5</v>
      </c>
      <c r="H250" s="112">
        <f t="shared" si="30"/>
        <v>316.22776601683825</v>
      </c>
      <c r="I250" s="112">
        <f t="shared" si="31"/>
        <v>1986.917653159222</v>
      </c>
      <c r="J250" s="112">
        <f>(CALCULATIONS!$C$127*10^3)/((CALCULATIONS!$C$123*10^6)+(CALCULATIONS!$C$127*10^3))</f>
        <v>1.2782694198623401E-2</v>
      </c>
      <c r="K250" s="112" t="str">
        <f t="shared" si="36"/>
        <v>0.00241065445077189-1.29125716741243i</v>
      </c>
      <c r="L250" s="108">
        <f t="shared" si="37"/>
        <v>2.2202700402532423</v>
      </c>
      <c r="M250" s="108" t="str">
        <f t="shared" si="22"/>
        <v>0.0000308146586627675-0.0165057455028138i</v>
      </c>
      <c r="N250" s="108">
        <f t="shared" si="38"/>
        <v>-35.647281972064889</v>
      </c>
      <c r="O250" s="108">
        <f t="shared" si="39"/>
        <v>-89.893034347522274</v>
      </c>
      <c r="P250" s="108" t="str">
        <f>IMPRODUCT(42*10^-6,IMDIV((COMPLEX(1,I250*(CALCULATIONS!C267*10^3)*(CALCULATIONS!C265*10^-6))),IMPRODUCT((COMPLEX(0,data!I250*((CALCULATIONS!C265*10^-6)+(CALCULATIONS!C271*10^-6)))),(COMPLEX(1,I250*((CALCULATIONS!C267*10^3)*(CALCULATIONS!C265*10^-6)*(CALCULATIONS!C271*10^-6))/((CALCULATIONS!C265*10^-6)+(CALCULATIONS!C271*10^-6)))))))</f>
        <v>0.00162366040203402-0.031941732553718i</v>
      </c>
      <c r="Q250" s="108">
        <f t="shared" si="40"/>
        <v>-29.901623414882678</v>
      </c>
      <c r="R250" s="108" t="str">
        <f t="shared" si="26"/>
        <v>-0.000527172075909539-0.0000277839989647101i</v>
      </c>
      <c r="S250" s="108">
        <f t="shared" si="41"/>
        <v>-65.548905386947581</v>
      </c>
      <c r="T250" s="108">
        <f t="shared" si="42"/>
        <v>3.01691697922098</v>
      </c>
    </row>
    <row r="251" spans="1:20">
      <c r="A251" s="108">
        <v>5.6</v>
      </c>
      <c r="B251" s="108">
        <f t="shared" si="29"/>
        <v>398107.17055349716</v>
      </c>
      <c r="C251" s="108">
        <f t="shared" si="32"/>
        <v>2501381.124704571</v>
      </c>
      <c r="D251" s="108" t="str">
        <f t="shared" si="33"/>
        <v>-0.000724685707969105-0.0000175605907832964i</v>
      </c>
      <c r="E251" s="108">
        <f t="shared" si="34"/>
        <v>-62.794456685878359</v>
      </c>
      <c r="F251" s="108">
        <f t="shared" si="35"/>
        <v>-178.61187979486505</v>
      </c>
      <c r="G251" s="108">
        <v>2.6</v>
      </c>
      <c r="H251" s="112">
        <f t="shared" si="30"/>
        <v>398.10717055349761</v>
      </c>
      <c r="I251" s="112">
        <f t="shared" si="31"/>
        <v>2501.3811247045737</v>
      </c>
      <c r="J251" s="112">
        <f>(CALCULATIONS!$C$127*10^3)/((CALCULATIONS!$C$123*10^6)+(CALCULATIONS!$C$127*10^3))</f>
        <v>1.2782694198623401E-2</v>
      </c>
      <c r="K251" s="112" t="str">
        <f t="shared" si="36"/>
        <v>0.00152102208710647-1.02568334563307i</v>
      </c>
      <c r="L251" s="108">
        <f t="shared" si="37"/>
        <v>0.22027562629371661</v>
      </c>
      <c r="M251" s="108" t="str">
        <f t="shared" si="22"/>
        <v>0.0000194427602088339-0.0131109965518485i</v>
      </c>
      <c r="N251" s="108">
        <f t="shared" si="38"/>
        <v>-37.64727638602443</v>
      </c>
      <c r="O251" s="108">
        <f t="shared" si="39"/>
        <v>-89.915034125662586</v>
      </c>
      <c r="P251" s="108" t="str">
        <f>IMPRODUCT(42*10^-6,IMDIV((COMPLEX(1,I251*(CALCULATIONS!C267*10^3)*(CALCULATIONS!C265*10^-6))),IMPRODUCT((COMPLEX(0,data!I251*((CALCULATIONS!C265*10^-6)+(CALCULATIONS!C271*10^-6)))),(COMPLEX(1,I251*((CALCULATIONS!C267*10^3)*(CALCULATIONS!C265*10^-6)*(CALCULATIONS!C271*10^-6))/((CALCULATIONS!C265*10^-6)+(CALCULATIONS!C271*10^-6)))))))</f>
        <v>0.00102551796569131-0.025397370414331i</v>
      </c>
      <c r="Q251" s="108">
        <f t="shared" si="40"/>
        <v>-31.897149724818696</v>
      </c>
      <c r="R251" s="108" t="str">
        <f t="shared" si="26"/>
        <v>-0.000332964897028416-0.0000139393574949382i</v>
      </c>
      <c r="S251" s="108">
        <f t="shared" si="41"/>
        <v>-69.544426110843133</v>
      </c>
      <c r="T251" s="108">
        <f t="shared" si="42"/>
        <v>2.3972504718213088</v>
      </c>
    </row>
    <row r="252" spans="1:20">
      <c r="A252" s="108">
        <v>5.7</v>
      </c>
      <c r="B252" s="108">
        <f t="shared" si="29"/>
        <v>501187.23362727347</v>
      </c>
      <c r="C252" s="108">
        <f t="shared" si="32"/>
        <v>3149052.2624728675</v>
      </c>
      <c r="D252" s="108" t="str">
        <f t="shared" si="33"/>
        <v>-0.000457344817548141-0.0000088030504017533i</v>
      </c>
      <c r="E252" s="108">
        <f t="shared" si="34"/>
        <v>-66.793516027725929</v>
      </c>
      <c r="F252" s="108">
        <f t="shared" si="35"/>
        <v>-178.89729731253414</v>
      </c>
      <c r="G252" s="108">
        <v>2.7</v>
      </c>
      <c r="H252" s="112">
        <f t="shared" si="30"/>
        <v>501.18723362727269</v>
      </c>
      <c r="I252" s="112">
        <f t="shared" si="31"/>
        <v>3149.0522624728624</v>
      </c>
      <c r="J252" s="112">
        <f>(CALCULATIONS!$C$127*10^3)/((CALCULATIONS!$C$123*10^6)+(CALCULATIONS!$C$127*10^3))</f>
        <v>1.2782694198623401E-2</v>
      </c>
      <c r="K252" s="112" t="str">
        <f t="shared" si="36"/>
        <v>0.000959700835830174-0.814729902524116i</v>
      </c>
      <c r="L252" s="108">
        <f t="shared" si="37"/>
        <v>-1.7797208491493264</v>
      </c>
      <c r="M252" s="108" t="str">
        <f t="shared" si="22"/>
        <v>0.0000122675623065804-0.01041444319844i</v>
      </c>
      <c r="N252" s="108">
        <f t="shared" si="38"/>
        <v>-39.647272861467506</v>
      </c>
      <c r="O252" s="108">
        <f t="shared" si="39"/>
        <v>-89.932509188768151</v>
      </c>
      <c r="P252" s="108" t="str">
        <f>IMPRODUCT(42*10^-6,IMDIV((COMPLEX(1,I252*(CALCULATIONS!C267*10^3)*(CALCULATIONS!C265*10^-6))),IMPRODUCT((COMPLEX(0,data!I252*((CALCULATIONS!C265*10^-6)+(CALCULATIONS!C271*10^-6)))),(COMPLEX(1,I252*((CALCULATIONS!C267*10^3)*(CALCULATIONS!C265*10^-6)*(CALCULATIONS!C271*10^-6))/((CALCULATIONS!C265*10^-6)+(CALCULATIONS!C271*10^-6)))))))</f>
        <v>0.00064747980394768-0.0201864746930336i</v>
      </c>
      <c r="Q252" s="108">
        <f t="shared" si="40"/>
        <v>-33.894324636736933</v>
      </c>
      <c r="R252" s="108" t="str">
        <f t="shared" si="26"/>
        <v>-0.000210222951068508-6.99078047639718E-06i</v>
      </c>
      <c r="S252" s="108">
        <f t="shared" si="41"/>
        <v>-73.541597498204425</v>
      </c>
      <c r="T252" s="108">
        <f t="shared" si="42"/>
        <v>1.9046192048208752</v>
      </c>
    </row>
    <row r="253" spans="1:20">
      <c r="A253" s="108">
        <v>5.8</v>
      </c>
      <c r="B253" s="108">
        <f t="shared" si="29"/>
        <v>630957.34448019415</v>
      </c>
      <c r="C253" s="108">
        <f t="shared" si="32"/>
        <v>3964421.9162950045</v>
      </c>
      <c r="D253" s="108" t="str">
        <f t="shared" si="33"/>
        <v>-0.000288604517110577-4.41257957523694E-06i</v>
      </c>
      <c r="E253" s="108">
        <f t="shared" si="34"/>
        <v>-70.792922407707252</v>
      </c>
      <c r="F253" s="108">
        <f t="shared" si="35"/>
        <v>-179.1240522101904</v>
      </c>
      <c r="G253" s="108">
        <v>2.8</v>
      </c>
      <c r="H253" s="112">
        <f t="shared" si="30"/>
        <v>630.95734448019323</v>
      </c>
      <c r="I253" s="112">
        <f t="shared" si="31"/>
        <v>3964.4219162949989</v>
      </c>
      <c r="J253" s="112">
        <f>(CALCULATIONS!$C$127*10^3)/((CALCULATIONS!$C$123*10^6)+(CALCULATIONS!$C$127*10^3))</f>
        <v>1.2782694198623401E-2</v>
      </c>
      <c r="K253" s="112" t="str">
        <f t="shared" si="36"/>
        <v>0.000605530600938508-0.64716329663516i</v>
      </c>
      <c r="L253" s="108">
        <f t="shared" si="37"/>
        <v>-3.7797186253027326</v>
      </c>
      <c r="M253" s="108" t="str">
        <f t="shared" si="22"/>
        <v>7.74031249970561E-06-0.00827249051746026i</v>
      </c>
      <c r="N253" s="108">
        <f t="shared" si="38"/>
        <v>-41.647270637620878</v>
      </c>
      <c r="O253" s="108">
        <f t="shared" si="39"/>
        <v>-89.94639013390362</v>
      </c>
      <c r="P253" s="108" t="str">
        <f>IMPRODUCT(42*10^-6,IMDIV((COMPLEX(1,I253*(CALCULATIONS!C267*10^3)*(CALCULATIONS!C265*10^-6))),IMPRODUCT((COMPLEX(0,data!I253*((CALCULATIONS!C265*10^-6)+(CALCULATIONS!C271*10^-6)))),(COMPLEX(1,I253*((CALCULATIONS!C267*10^3)*(CALCULATIONS!C265*10^-6)*(CALCULATIONS!C271*10^-6))/((CALCULATIONS!C265*10^-6)+(CALCULATIONS!C271*10^-6)))))))</f>
        <v>0.000408700202643708-0.0160410216704514i</v>
      </c>
      <c r="Q253" s="108">
        <f t="shared" si="40"/>
        <v>-35.892541177652923</v>
      </c>
      <c r="R253" s="108" t="str">
        <f t="shared" si="26"/>
        <v>-0.000132696036191897-0.000003505131071398i</v>
      </c>
      <c r="S253" s="108">
        <f t="shared" si="41"/>
        <v>-77.539811815273779</v>
      </c>
      <c r="T253" s="108">
        <f t="shared" si="42"/>
        <v>1.5131011715622265</v>
      </c>
    </row>
    <row r="254" spans="1:20">
      <c r="A254" s="108">
        <v>5.9</v>
      </c>
      <c r="B254" s="108">
        <f t="shared" si="29"/>
        <v>794328.23472428333</v>
      </c>
      <c r="C254" s="108">
        <f t="shared" si="32"/>
        <v>4990911.4934975151</v>
      </c>
      <c r="D254" s="108" t="str">
        <f t="shared" si="33"/>
        <v>-0.000182112846766205-2.21171930898152E-06i</v>
      </c>
      <c r="E254" s="108">
        <f t="shared" si="34"/>
        <v>-74.792547817043499</v>
      </c>
      <c r="F254" s="108">
        <f t="shared" si="35"/>
        <v>-179.30418993302627</v>
      </c>
      <c r="G254" s="108">
        <v>2.9</v>
      </c>
      <c r="H254" s="112">
        <f t="shared" si="30"/>
        <v>794.32823472428208</v>
      </c>
      <c r="I254" s="112">
        <f t="shared" si="31"/>
        <v>4990.9114934975069</v>
      </c>
      <c r="J254" s="112">
        <f>(CALCULATIONS!$C$127*10^3)/((CALCULATIONS!$C$123*10^6)+(CALCULATIONS!$C$127*10^3))</f>
        <v>1.2782694198623401E-2</v>
      </c>
      <c r="K254" s="112" t="str">
        <f t="shared" si="36"/>
        <v>0.00038206410340992-0.514060245081167i</v>
      </c>
      <c r="L254" s="108">
        <f t="shared" si="37"/>
        <v>-5.7797172221498787</v>
      </c>
      <c r="M254" s="108" t="str">
        <f t="shared" ref="M254:M265" si="43">IMPRODUCT(J254,K254)</f>
        <v>4.88380859816024E-06-0.00657107491254196i</v>
      </c>
      <c r="N254" s="108">
        <f t="shared" si="38"/>
        <v>-43.647269234468027</v>
      </c>
      <c r="O254" s="108">
        <f t="shared" si="39"/>
        <v>-89.957416165113756</v>
      </c>
      <c r="P254" s="108" t="str">
        <f>IMPRODUCT(42*10^-6,IMDIV((COMPLEX(1,I254*(CALCULATIONS!C267*10^3)*(CALCULATIONS!C265*10^-6))),IMPRODUCT((COMPLEX(0,data!I254*((CALCULATIONS!C265*10^-6)+(CALCULATIONS!C271*10^-6)))),(COMPLEX(1,I254*((CALCULATIONS!C267*10^3)*(CALCULATIONS!C265*10^-6)*(CALCULATIONS!C271*10^-6))/((CALCULATIONS!C265*10^-6)+(CALCULATIONS!C271*10^-6)))))))</f>
        <v>0.000257939347310282-0.0127450135095426i</v>
      </c>
      <c r="Q254" s="108">
        <f t="shared" si="40"/>
        <v>-37.89141551290426</v>
      </c>
      <c r="R254" s="108" t="str">
        <f t="shared" si="26"/>
        <v>-0.0000837471788061615-1.75718298062961E-06i</v>
      </c>
      <c r="S254" s="108">
        <f t="shared" si="41"/>
        <v>-81.538684747372287</v>
      </c>
      <c r="T254" s="108">
        <f t="shared" si="42"/>
        <v>1.2020034523747256</v>
      </c>
    </row>
    <row r="255" spans="1:20">
      <c r="A255" s="108">
        <v>6</v>
      </c>
      <c r="B255" s="108">
        <f t="shared" si="29"/>
        <v>1000000</v>
      </c>
      <c r="C255" s="108">
        <f t="shared" si="32"/>
        <v>6283185.307179586</v>
      </c>
      <c r="D255" s="108" t="str">
        <f t="shared" si="33"/>
        <v>-0.000114911692158364-1.10854581365218E-06i</v>
      </c>
      <c r="E255" s="108">
        <f t="shared" si="34"/>
        <v>-78.792311449687517</v>
      </c>
      <c r="F255" s="108">
        <f t="shared" si="35"/>
        <v>-179.44728839050811</v>
      </c>
      <c r="G255" s="108">
        <v>3</v>
      </c>
      <c r="H255" s="112">
        <f t="shared" si="30"/>
        <v>1000</v>
      </c>
      <c r="I255" s="112">
        <f t="shared" si="31"/>
        <v>6283.1853071795858</v>
      </c>
      <c r="J255" s="112">
        <f>(CALCULATIONS!$C$127*10^3)/((CALCULATIONS!$C$123*10^6)+(CALCULATIONS!$C$127*10^3))</f>
        <v>1.2782694198623401E-2</v>
      </c>
      <c r="K255" s="112" t="str">
        <f t="shared" si="36"/>
        <v>0.000241066201251211-0.408332650257791i</v>
      </c>
      <c r="L255" s="108">
        <f t="shared" si="37"/>
        <v>-7.7797163368200071</v>
      </c>
      <c r="M255" s="108" t="str">
        <f t="shared" si="43"/>
        <v>3.08147553221804E-06-0.00521959139955878i</v>
      </c>
      <c r="N255" s="108">
        <f t="shared" si="38"/>
        <v>-45.647268349138166</v>
      </c>
      <c r="O255" s="108">
        <f t="shared" si="39"/>
        <v>-89.966174455308519</v>
      </c>
      <c r="P255" s="108" t="str">
        <f>IMPRODUCT(42*10^-6,IMDIV((COMPLEX(1,I255*(CALCULATIONS!C267*10^3)*(CALCULATIONS!C265*10^-6))),IMPRODUCT((COMPLEX(0,data!I255*((CALCULATIONS!C265*10^-6)+(CALCULATIONS!C271*10^-6)))),(COMPLEX(1,I255*((CALCULATIONS!C267*10^3)*(CALCULATIONS!C265*10^-6)*(CALCULATIONS!C271*10^-6))/((CALCULATIONS!C265*10^-6)+(CALCULATIONS!C271*10^-6)))))))</f>
        <v>0.000162775391279118-0.0101253170703331i</v>
      </c>
      <c r="Q255" s="108">
        <f t="shared" si="40"/>
        <v>-39.890705115839296</v>
      </c>
      <c r="R255" s="108" t="str">
        <f t="shared" si="26"/>
        <v>-0.0000528495163097309-8.80821949188481E-07i</v>
      </c>
      <c r="S255" s="108">
        <f t="shared" si="41"/>
        <v>-85.537973464977455</v>
      </c>
      <c r="T255" s="108">
        <f t="shared" si="42"/>
        <v>0.95483765269631249</v>
      </c>
    </row>
    <row r="256" spans="1:20">
      <c r="A256" s="108">
        <v>6.1000000000000103</v>
      </c>
      <c r="B256" s="108">
        <f t="shared" si="29"/>
        <v>1258925.4117941989</v>
      </c>
      <c r="C256" s="108">
        <f t="shared" si="32"/>
        <v>7910061.6502203206</v>
      </c>
      <c r="D256" s="108" t="str">
        <f t="shared" si="33"/>
        <v>-0.0000725068661041001-5.55608089921596E-07i</v>
      </c>
      <c r="E256" s="108">
        <f t="shared" si="34"/>
        <v>-82.792162305349351</v>
      </c>
      <c r="F256" s="108">
        <f t="shared" si="35"/>
        <v>-179.56096053710368</v>
      </c>
      <c r="G256" s="108">
        <v>3.1</v>
      </c>
      <c r="H256" s="112">
        <f t="shared" si="30"/>
        <v>1258.925411794168</v>
      </c>
      <c r="I256" s="112">
        <f t="shared" si="31"/>
        <v>7910.0616502201265</v>
      </c>
      <c r="J256" s="112">
        <f>(CALCULATIONS!$C$127*10^3)/((CALCULATIONS!$C$123*10^6)+(CALCULATIONS!$C$127*10^3))</f>
        <v>1.2782694198623401E-2</v>
      </c>
      <c r="K256" s="112" t="str">
        <f t="shared" si="36"/>
        <v>0.000152102509749373-0.324350194978667i</v>
      </c>
      <c r="L256" s="108">
        <f t="shared" si="37"/>
        <v>-9.7797157782145145</v>
      </c>
      <c r="M256" s="108" t="str">
        <f t="shared" si="43"/>
        <v>1.94427986896937E-06-0.00414606935567618i</v>
      </c>
      <c r="N256" s="108">
        <f t="shared" si="38"/>
        <v>-47.647267790532659</v>
      </c>
      <c r="O256" s="108">
        <f t="shared" si="39"/>
        <v>-89.973131413644651</v>
      </c>
      <c r="P256" s="108" t="str">
        <f>IMPRODUCT(42*10^-6,IMDIV((COMPLEX(1,I256*(CALCULATIONS!C267*10^3)*(CALCULATIONS!C265*10^-6))),IMPRODUCT((COMPLEX(0,data!I256*((CALCULATIONS!C265*10^-6)+(CALCULATIONS!C271*10^-6)))),(COMPLEX(1,I256*((CALCULATIONS!C267*10^3)*(CALCULATIONS!C265*10^-6)*(CALCULATIONS!C271*10^-6))/((CALCULATIONS!C265*10^-6)+(CALCULATIONS!C271*10^-6)))))))</f>
        <v>0.000102714947257052-0.00804362383300119i</v>
      </c>
      <c r="Q256" s="108">
        <f t="shared" si="40"/>
        <v>-41.890256825607885</v>
      </c>
      <c r="R256" s="108" t="str">
        <f t="shared" si="26"/>
        <v>-0.0000333492225759886-4.41502351084425E-07i</v>
      </c>
      <c r="S256" s="108">
        <f t="shared" si="41"/>
        <v>-89.537524616140558</v>
      </c>
      <c r="T256" s="108">
        <f t="shared" si="42"/>
        <v>0.75848075962102257</v>
      </c>
    </row>
    <row r="257" spans="1:20">
      <c r="A257" s="108">
        <v>6.2000000000000099</v>
      </c>
      <c r="B257" s="108">
        <f t="shared" si="29"/>
        <v>1584893.1924611519</v>
      </c>
      <c r="C257" s="108">
        <f t="shared" si="32"/>
        <v>9958177.6203208584</v>
      </c>
      <c r="D257" s="108" t="str">
        <f t="shared" si="33"/>
        <v>-0.000045749731024113-2.78469715604633E-07i</v>
      </c>
      <c r="E257" s="108">
        <f t="shared" si="34"/>
        <v>-86.792068198998152</v>
      </c>
      <c r="F257" s="108">
        <f t="shared" si="35"/>
        <v>-179.65125603950327</v>
      </c>
      <c r="G257" s="108">
        <v>3.2</v>
      </c>
      <c r="H257" s="112">
        <f t="shared" si="30"/>
        <v>1584.8931924611156</v>
      </c>
      <c r="I257" s="112">
        <f t="shared" si="31"/>
        <v>9958.17762032063</v>
      </c>
      <c r="J257" s="112">
        <f>(CALCULATIONS!$C$127*10^3)/((CALCULATIONS!$C$123*10^6)+(CALCULATIONS!$C$127*10^3))</f>
        <v>1.2782694198623401E-2</v>
      </c>
      <c r="K257" s="112" t="str">
        <f t="shared" si="36"/>
        <v>0.0000959702034287999-0.25764053871897i</v>
      </c>
      <c r="L257" s="108">
        <f t="shared" si="37"/>
        <v>-11.779715425758239</v>
      </c>
      <c r="M257" s="108" t="str">
        <f t="shared" si="43"/>
        <v>1.22675776261003E-06-0.00329334021961319i</v>
      </c>
      <c r="N257" s="108">
        <f t="shared" si="38"/>
        <v>-49.647267438076383</v>
      </c>
      <c r="O257" s="108">
        <f t="shared" si="39"/>
        <v>-89.978657522653464</v>
      </c>
      <c r="P257" s="108" t="str">
        <f>IMPRODUCT(42*10^-6,IMDIV((COMPLEX(1,I257*(CALCULATIONS!C267*10^3)*(CALCULATIONS!C265*10^-6))),IMPRODUCT((COMPLEX(0,data!I257*((CALCULATIONS!C265*10^-6)+(CALCULATIONS!C271*10^-6)))),(COMPLEX(1,I257*((CALCULATIONS!C267*10^3)*(CALCULATIONS!C265*10^-6)*(CALCULATIONS!C271*10^-6))/((CALCULATIONS!C265*10^-6)+(CALCULATIONS!C271*10^-6)))))))</f>
        <v>0.0000648129784249055-0.00638967783492301i</v>
      </c>
      <c r="Q257" s="108">
        <f t="shared" si="40"/>
        <v>-43.889973949707979</v>
      </c>
      <c r="R257" s="108" t="str">
        <f t="shared" si="26"/>
        <v>-0.0000210433034942985-2.21289775484232E-07i</v>
      </c>
      <c r="S257" s="108">
        <f t="shared" si="41"/>
        <v>-93.537241387784348</v>
      </c>
      <c r="T257" s="108">
        <f t="shared" si="42"/>
        <v>0.60249584161448411</v>
      </c>
    </row>
    <row r="258" spans="1:20">
      <c r="A258" s="108">
        <v>6.3000000000000096</v>
      </c>
      <c r="B258" s="108">
        <f t="shared" si="29"/>
        <v>1995262.3149689261</v>
      </c>
      <c r="C258" s="108">
        <f t="shared" si="32"/>
        <v>12536602.861381885</v>
      </c>
      <c r="D258" s="108" t="str">
        <f t="shared" si="33"/>
        <v>-0.0000288665234673817-1.39567374609991E-07i</v>
      </c>
      <c r="E258" s="108">
        <f t="shared" si="34"/>
        <v>-90.792008820855358</v>
      </c>
      <c r="F258" s="108">
        <f t="shared" si="35"/>
        <v>-179.72298156299055</v>
      </c>
      <c r="G258" s="108">
        <v>3.3</v>
      </c>
      <c r="H258" s="112">
        <f t="shared" si="30"/>
        <v>1995.2623149688804</v>
      </c>
      <c r="I258" s="112">
        <f t="shared" si="31"/>
        <v>12536.602861381598</v>
      </c>
      <c r="J258" s="112">
        <f>(CALCULATIONS!$C$127*10^3)/((CALCULATIONS!$C$123*10^6)+(CALCULATIONS!$C$127*10^3))</f>
        <v>1.2782694198623401E-2</v>
      </c>
      <c r="K258" s="112" t="str">
        <f t="shared" si="36"/>
        <v>0.0000605531078053426-0.204651164793422i</v>
      </c>
      <c r="L258" s="108">
        <f t="shared" si="37"/>
        <v>-13.779715203373357</v>
      </c>
      <c r="M258" s="108" t="str">
        <f t="shared" si="43"/>
        <v>7.7403185985197E-07-0.0026159932569464i</v>
      </c>
      <c r="N258" s="108">
        <f t="shared" si="38"/>
        <v>-51.6472672156915</v>
      </c>
      <c r="O258" s="108">
        <f t="shared" si="39"/>
        <v>-89.983047067355315</v>
      </c>
      <c r="P258" s="108" t="str">
        <f>IMPRODUCT(42*10^-6,IMDIV((COMPLEX(1,I258*(CALCULATIONS!C267*10^3)*(CALCULATIONS!C265*10^-6))),IMPRODUCT((COMPLEX(0,data!I258*((CALCULATIONS!C265*10^-6)+(CALCULATIONS!C271*10^-6)))),(COMPLEX(1,I258*((CALCULATIONS!C267*10^3)*(CALCULATIONS!C265*10^-6)*(CALCULATIONS!C271*10^-6))/((CALCULATIONS!C265*10^-6)+(CALCULATIONS!C271*10^-6)))))))</f>
        <v>0.0000408959081569993-0.00507570216912175i</v>
      </c>
      <c r="Q258" s="108">
        <f t="shared" si="40"/>
        <v>-45.889795457570713</v>
      </c>
      <c r="R258" s="108" t="str">
        <f t="shared" si="26"/>
        <v>-0.0000132779709939549-1.10912175165429E-07i</v>
      </c>
      <c r="S258" s="108">
        <f t="shared" si="41"/>
        <v>-97.537062673262199</v>
      </c>
      <c r="T258" s="108">
        <f t="shared" si="42"/>
        <v>0.47858605371811791</v>
      </c>
    </row>
    <row r="259" spans="1:20">
      <c r="A259" s="108">
        <v>6.4000000000000101</v>
      </c>
      <c r="B259" s="108">
        <f t="shared" si="29"/>
        <v>2511886.4315096405</v>
      </c>
      <c r="C259" s="108">
        <f t="shared" si="32"/>
        <v>15782647.919765135</v>
      </c>
      <c r="D259" s="108" t="str">
        <f t="shared" si="33"/>
        <v>-0.0000182137021157052-6.99499898237742E-08i</v>
      </c>
      <c r="E259" s="108">
        <f t="shared" si="34"/>
        <v>-94.791971355362364</v>
      </c>
      <c r="F259" s="108">
        <f t="shared" si="35"/>
        <v>-179.77995580118818</v>
      </c>
      <c r="G259" s="108">
        <v>3.4</v>
      </c>
      <c r="H259" s="112">
        <f t="shared" si="30"/>
        <v>2511.8864315095811</v>
      </c>
      <c r="I259" s="112">
        <f t="shared" si="31"/>
        <v>15782.647919764762</v>
      </c>
      <c r="J259" s="112">
        <f>(CALCULATIONS!$C$127*10^3)/((CALCULATIONS!$C$123*10^6)+(CALCULATIONS!$C$127*10^3))</f>
        <v>1.2782694198623401E-2</v>
      </c>
      <c r="K259" s="112" t="str">
        <f t="shared" si="36"/>
        <v>0.0000382064293352862-0.162560203716754i</v>
      </c>
      <c r="L259" s="108">
        <f t="shared" si="37"/>
        <v>-15.779715063057955</v>
      </c>
      <c r="M259" s="108" t="str">
        <f t="shared" si="43"/>
        <v>4.88381102614278E-07-0.00207795737297719i</v>
      </c>
      <c r="N259" s="108">
        <f t="shared" si="38"/>
        <v>-53.647267075376107</v>
      </c>
      <c r="O259" s="108">
        <f t="shared" si="39"/>
        <v>-89.986533806793915</v>
      </c>
      <c r="P259" s="108" t="str">
        <f>IMPRODUCT(42*10^-6,IMDIV((COMPLEX(1,I259*(CALCULATIONS!C267*10^3)*(CALCULATIONS!C265*10^-6))),IMPRODUCT((COMPLEX(0,data!I259*((CALCULATIONS!C265*10^-6)+(CALCULATIONS!C271*10^-6)))),(COMPLEX(1,I259*((CALCULATIONS!C267*10^3)*(CALCULATIONS!C265*10^-6)*(CALCULATIONS!C271*10^-6))/((CALCULATIONS!C265*10^-6)+(CALCULATIONS!C271*10^-6)))))))</f>
        <v>0.0000258042438303158-0.00403187411598506i</v>
      </c>
      <c r="Q259" s="108">
        <f t="shared" si="40"/>
        <v>-47.889682832859307</v>
      </c>
      <c r="R259" s="108" t="str">
        <f t="shared" si="26"/>
        <v>-8.37804994392199E-06-5.55892098476726E-08i</v>
      </c>
      <c r="S259" s="108">
        <f t="shared" si="41"/>
        <v>-101.53694990823541</v>
      </c>
      <c r="T259" s="108">
        <f t="shared" si="42"/>
        <v>0.38015772088689914</v>
      </c>
    </row>
    <row r="260" spans="1:20">
      <c r="A260" s="108">
        <v>6.5000000000000098</v>
      </c>
      <c r="B260" s="108">
        <f t="shared" si="29"/>
        <v>3162277.6601684527</v>
      </c>
      <c r="C260" s="108">
        <f t="shared" si="32"/>
        <v>19869176.531592663</v>
      </c>
      <c r="D260" s="108" t="str">
        <f t="shared" si="33"/>
        <v>-0.0000114921316732894-3.5058232718686E-08i</v>
      </c>
      <c r="E260" s="108">
        <f t="shared" si="34"/>
        <v>-98.791947716068137</v>
      </c>
      <c r="F260" s="108">
        <f t="shared" si="35"/>
        <v>-179.82521236286456</v>
      </c>
      <c r="G260" s="108">
        <v>3.5</v>
      </c>
      <c r="H260" s="112">
        <f t="shared" si="30"/>
        <v>3162.2776601683804</v>
      </c>
      <c r="I260" s="112">
        <f t="shared" si="31"/>
        <v>19869.176531592209</v>
      </c>
      <c r="J260" s="112">
        <f>(CALCULATIONS!$C$127*10^3)/((CALCULATIONS!$C$123*10^6)+(CALCULATIONS!$C$127*10^3))</f>
        <v>1.2782694198623401E-2</v>
      </c>
      <c r="K260" s="112" t="str">
        <f t="shared" si="36"/>
        <v>0.0000241066276868875-0.129126162287047i</v>
      </c>
      <c r="L260" s="108">
        <f t="shared" si="37"/>
        <v>-17.779714974524989</v>
      </c>
      <c r="M260" s="108" t="str">
        <f t="shared" si="43"/>
        <v>3.08147649881551E-07-0.00165058024555714i</v>
      </c>
      <c r="N260" s="108">
        <f t="shared" si="38"/>
        <v>-55.647266986843142</v>
      </c>
      <c r="O260" s="108">
        <f t="shared" si="39"/>
        <v>-89.989303422449467</v>
      </c>
      <c r="P260" s="108" t="str">
        <f>IMPRODUCT(42*10^-6,IMDIV((COMPLEX(1,I260*(CALCULATIONS!C267*10^3)*(CALCULATIONS!C265*10^-6))),IMPRODUCT((COMPLEX(0,data!I260*((CALCULATIONS!C265*10^-6)+(CALCULATIONS!C271*10^-6)))),(COMPLEX(1,I260*((CALCULATIONS!C267*10^3)*(CALCULATIONS!C265*10^-6)*(CALCULATIONS!C271*10^-6))/((CALCULATIONS!C265*10^-6)+(CALCULATIONS!C271*10^-6)))))))</f>
        <v>0.0000162816439939756-0.00320268185671893i</v>
      </c>
      <c r="Q260" s="108">
        <f t="shared" si="40"/>
        <v>-49.889611769962876</v>
      </c>
      <c r="R260" s="108" t="str">
        <f t="shared" si="26"/>
        <v>-5.28627838835419E-06-2.78610588291164E-08i</v>
      </c>
      <c r="S260" s="108">
        <f t="shared" si="41"/>
        <v>-105.53687875680602</v>
      </c>
      <c r="T260" s="108">
        <f t="shared" si="42"/>
        <v>0.30197166815230503</v>
      </c>
    </row>
    <row r="261" spans="1:20">
      <c r="A261" s="108">
        <v>6.6000000000000103</v>
      </c>
      <c r="B261" s="108">
        <f t="shared" si="29"/>
        <v>3981071.7055350752</v>
      </c>
      <c r="C261" s="108">
        <f t="shared" si="32"/>
        <v>25013811.247046359</v>
      </c>
      <c r="D261" s="108" t="str">
        <f t="shared" si="33"/>
        <v>-7.25106978609822E-06-1.75707990173611E-08i</v>
      </c>
      <c r="E261" s="108">
        <f t="shared" si="34"/>
        <v>-102.79193280061564</v>
      </c>
      <c r="F261" s="108">
        <f t="shared" si="35"/>
        <v>-179.86116108579927</v>
      </c>
      <c r="G261" s="108">
        <v>3.6</v>
      </c>
      <c r="H261" s="112">
        <f t="shared" si="30"/>
        <v>3981.0717055349769</v>
      </c>
      <c r="I261" s="112">
        <f t="shared" si="31"/>
        <v>25013.811247045742</v>
      </c>
      <c r="J261" s="112">
        <f>(CALCULATIONS!$C$127*10^3)/((CALCULATIONS!$C$123*10^6)+(CALCULATIONS!$C$127*10^3))</f>
        <v>1.2782694198623401E-2</v>
      </c>
      <c r="K261" s="112" t="str">
        <f t="shared" si="36"/>
        <v>0.0000152102539853311-0.102568557865466i</v>
      </c>
      <c r="L261" s="108">
        <f t="shared" si="37"/>
        <v>-19.779714918664414</v>
      </c>
      <c r="M261" s="108" t="str">
        <f t="shared" si="43"/>
        <v>1.9442802537788E-07-0.00131110250958806i</v>
      </c>
      <c r="N261" s="108">
        <f t="shared" si="38"/>
        <v>-57.647266930982575</v>
      </c>
      <c r="O261" s="108">
        <f t="shared" si="39"/>
        <v>-89.99150340640027</v>
      </c>
      <c r="P261" s="108" t="str">
        <f>IMPRODUCT(42*10^-6,IMDIV((COMPLEX(1,I261*(CALCULATIONS!C267*10^3)*(CALCULATIONS!C265*10^-6))),IMPRODUCT((COMPLEX(0,data!I261*((CALCULATIONS!C265*10^-6)+(CALCULATIONS!C271*10^-6)))),(COMPLEX(1,I261*((CALCULATIONS!C267*10^3)*(CALCULATIONS!C265*10^-6)*(CALCULATIONS!C271*10^-6))/((CALCULATIONS!C265*10^-6)+(CALCULATIONS!C271*10^-6)))))))</f>
        <v>0.0000102731290881775-0.00254400588992083i</v>
      </c>
      <c r="Q261" s="108">
        <f t="shared" si="40"/>
        <v>-51.889566931706298</v>
      </c>
      <c r="R261" s="108" t="str">
        <f t="shared" si="26"/>
        <v>-0.0000033354505092978-1.39637513705586E-08i</v>
      </c>
      <c r="S261" s="108">
        <f t="shared" si="41"/>
        <v>-109.53683386268889</v>
      </c>
      <c r="T261" s="108">
        <f t="shared" si="42"/>
        <v>0.23986545248217794</v>
      </c>
    </row>
    <row r="262" spans="1:20">
      <c r="A262" s="108">
        <v>6.7000000000000099</v>
      </c>
      <c r="B262" s="108">
        <f t="shared" si="29"/>
        <v>5011872.3362728469</v>
      </c>
      <c r="C262" s="108">
        <f t="shared" si="32"/>
        <v>31490522.624729376</v>
      </c>
      <c r="D262" s="108" t="str">
        <f t="shared" si="33"/>
        <v>-4.57512565103648E-06-8.80627923507371E-09i</v>
      </c>
      <c r="E262" s="108">
        <f t="shared" si="34"/>
        <v>-106.7919233895749</v>
      </c>
      <c r="F262" s="108">
        <f t="shared" si="35"/>
        <v>-179.88971625071127</v>
      </c>
      <c r="G262" s="108">
        <v>3.7</v>
      </c>
      <c r="H262" s="112">
        <f t="shared" si="30"/>
        <v>5011.8723362727324</v>
      </c>
      <c r="I262" s="112">
        <f t="shared" si="31"/>
        <v>31490.522624728659</v>
      </c>
      <c r="J262" s="112">
        <f>(CALCULATIONS!$C$127*10^3)/((CALCULATIONS!$C$123*10^6)+(CALCULATIONS!$C$127*10^3))</f>
        <v>1.2782694198623401E-2</v>
      </c>
      <c r="K262" s="112" t="str">
        <f t="shared" si="36"/>
        <v>9.59702154133945E-06-0.0814731021686946i</v>
      </c>
      <c r="L262" s="108">
        <f t="shared" si="37"/>
        <v>-21.77971488341878</v>
      </c>
      <c r="M262" s="108" t="str">
        <f t="shared" si="43"/>
        <v>1.22675791580544E-07-0.00104144575043562i</v>
      </c>
      <c r="N262" s="108">
        <f t="shared" si="38"/>
        <v>-59.647266895736976</v>
      </c>
      <c r="O262" s="108">
        <f t="shared" si="39"/>
        <v>-89.993250915786504</v>
      </c>
      <c r="P262" s="108" t="str">
        <f>IMPRODUCT(42*10^-6,IMDIV((COMPLEX(1,I262*(CALCULATIONS!C267*10^3)*(CALCULATIONS!C265*10^-6))),IMPRODUCT((COMPLEX(0,data!I262*((CALCULATIONS!C265*10^-6)+(CALCULATIONS!C271*10^-6)))),(COMPLEX(1,I262*((CALCULATIONS!C267*10^3)*(CALCULATIONS!C265*10^-6)*(CALCULATIONS!C271*10^-6))/((CALCULATIONS!C265*10^-6)+(CALCULATIONS!C271*10^-6)))))))</f>
        <v>6.48194854060345E-06-0.00202078837002205i</v>
      </c>
      <c r="Q262" s="108">
        <f t="shared" si="40"/>
        <v>-53.889538640440058</v>
      </c>
      <c r="R262" s="108" t="str">
        <f t="shared" si="26"/>
        <v>-2.10454066531102E-06-6.99849957506304E-09i</v>
      </c>
      <c r="S262" s="108">
        <f t="shared" si="41"/>
        <v>-113.53680553617704</v>
      </c>
      <c r="T262" s="108">
        <f t="shared" si="42"/>
        <v>0.1905323176225977</v>
      </c>
    </row>
    <row r="263" spans="1:20">
      <c r="A263" s="108">
        <v>6.8000000000000096</v>
      </c>
      <c r="B263" s="108">
        <f t="shared" si="29"/>
        <v>6309573.4448020831</v>
      </c>
      <c r="C263" s="108">
        <f t="shared" si="32"/>
        <v>39644219.162950933</v>
      </c>
      <c r="D263" s="108" t="str">
        <f t="shared" si="33"/>
        <v>-2.88671307835307E-06-4.4136007629532E-09i</v>
      </c>
      <c r="E263" s="108">
        <f t="shared" si="34"/>
        <v>-110.79191745159918</v>
      </c>
      <c r="F263" s="108">
        <f t="shared" si="35"/>
        <v>-179.91239846418372</v>
      </c>
      <c r="G263" s="108">
        <v>3.8</v>
      </c>
      <c r="H263" s="112">
        <f t="shared" si="30"/>
        <v>6309.5734448019384</v>
      </c>
      <c r="I263" s="112">
        <f t="shared" si="31"/>
        <v>39644.21916295003</v>
      </c>
      <c r="J263" s="112">
        <f>(CALCULATIONS!$C$127*10^3)/((CALCULATIONS!$C$123*10^6)+(CALCULATIONS!$C$127*10^3))</f>
        <v>1.2782694198623401E-2</v>
      </c>
      <c r="K263" s="112" t="str">
        <f t="shared" si="36"/>
        <v>6.05531125764964E-06-0.0647163857545574i</v>
      </c>
      <c r="L263" s="108">
        <f t="shared" si="37"/>
        <v>-23.779714861180242</v>
      </c>
      <c r="M263" s="108" t="str">
        <f t="shared" si="43"/>
        <v>7.7403192084017E-08-0.000827249768740655i</v>
      </c>
      <c r="N263" s="108">
        <f t="shared" si="38"/>
        <v>-61.647266873498403</v>
      </c>
      <c r="O263" s="108">
        <f t="shared" si="39"/>
        <v>-89.994639011841528</v>
      </c>
      <c r="P263" s="108" t="str">
        <f>IMPRODUCT(42*10^-6,IMDIV((COMPLEX(1,I263*(CALCULATIONS!C267*10^3)*(CALCULATIONS!C265*10^-6))),IMPRODUCT((COMPLEX(0,data!I263*((CALCULATIONS!C265*10^-6)+(CALCULATIONS!C271*10^-6)))),(COMPLEX(1,I263*((CALCULATIONS!C267*10^3)*(CALCULATIONS!C265*10^-6)*(CALCULATIONS!C271*10^-6))/((CALCULATIONS!C265*10^-6)+(CALCULATIONS!C271*10^-6)))))))</f>
        <v>4.08984987501466E-06-0.00160517560498821i</v>
      </c>
      <c r="Q263" s="108">
        <f t="shared" si="40"/>
        <v>-55.889520789762706</v>
      </c>
      <c r="R263" s="108" t="str">
        <f t="shared" si="26"/>
        <v>-0.0000013278808314472-3.50757307897135E-09i</v>
      </c>
      <c r="S263" s="108">
        <f t="shared" si="41"/>
        <v>-117.53678766326112</v>
      </c>
      <c r="T263" s="108">
        <f t="shared" si="42"/>
        <v>0.151345408101065</v>
      </c>
    </row>
    <row r="264" spans="1:20">
      <c r="A264" s="108">
        <v>6.9000000000000101</v>
      </c>
      <c r="B264" s="108">
        <f t="shared" si="29"/>
        <v>7943282.347243011</v>
      </c>
      <c r="C264" s="108">
        <f t="shared" si="32"/>
        <v>49909114.934976265</v>
      </c>
      <c r="D264" s="108" t="str">
        <f t="shared" si="33"/>
        <v>-1.82139438949131E-06-2.21204226502488E-09i</v>
      </c>
      <c r="E264" s="108">
        <f t="shared" si="34"/>
        <v>-114.79191370498563</v>
      </c>
      <c r="F264" s="108">
        <f t="shared" si="35"/>
        <v>-179.93041560668601</v>
      </c>
      <c r="G264" s="108">
        <v>3.9</v>
      </c>
      <c r="H264" s="112">
        <f t="shared" si="30"/>
        <v>7943.2823472428154</v>
      </c>
      <c r="I264" s="112">
        <f t="shared" si="31"/>
        <v>49909.114934975034</v>
      </c>
      <c r="J264" s="112">
        <f>(CALCULATIONS!$C$127*10^3)/((CALCULATIONS!$C$123*10^6)+(CALCULATIONS!$C$127*10^3))</f>
        <v>1.2782694198623401E-2</v>
      </c>
      <c r="K264" s="112" t="str">
        <f t="shared" si="36"/>
        <v>3.82064312347163E-06-0.0514060526202397i</v>
      </c>
      <c r="L264" s="108">
        <f t="shared" si="37"/>
        <v>-25.779714847148764</v>
      </c>
      <c r="M264" s="108" t="str">
        <f t="shared" si="43"/>
        <v>4.88381126894112E-08-0.000657107850602867i</v>
      </c>
      <c r="N264" s="108">
        <f t="shared" si="38"/>
        <v>-63.647266859466924</v>
      </c>
      <c r="O264" s="108">
        <f t="shared" si="39"/>
        <v>-89.995741615735128</v>
      </c>
      <c r="P264" s="108" t="str">
        <f>IMPRODUCT(42*10^-6,IMDIV((COMPLEX(1,I264*(CALCULATIONS!C267*10^3)*(CALCULATIONS!C265*10^-6))),IMPRODUCT((COMPLEX(0,data!I264*((CALCULATIONS!C265*10^-6)+(CALCULATIONS!C271*10^-6)))),(COMPLEX(1,I264*((CALCULATIONS!C267*10^3)*(CALCULATIONS!C265*10^-6)*(CALCULATIONS!C271*10^-6))/((CALCULATIONS!C265*10^-6)+(CALCULATIONS!C271*10^-6)))))))</f>
        <v>2.58052751934906E-06-0.00127503948542725i</v>
      </c>
      <c r="Q264" s="108">
        <f t="shared" si="40"/>
        <v>-57.889509526708878</v>
      </c>
      <c r="R264" s="108" t="str">
        <f t="shared" si="26"/>
        <v>-8.37838329674792E-07-1.75795541373375E-09i</v>
      </c>
      <c r="S264" s="108">
        <f t="shared" si="41"/>
        <v>-121.5367763861758</v>
      </c>
      <c r="T264" s="108">
        <f t="shared" si="42"/>
        <v>0.12021803539158782</v>
      </c>
    </row>
    <row r="265" spans="1:20">
      <c r="A265" s="108">
        <v>7.0000000000000098</v>
      </c>
      <c r="B265" s="108">
        <f t="shared" si="29"/>
        <v>10000000.000000255</v>
      </c>
      <c r="C265" s="108">
        <f t="shared" si="32"/>
        <v>62831853.071797468</v>
      </c>
      <c r="D265" s="108" t="str">
        <f t="shared" si="33"/>
        <v>-1.14922279279021E-06-1.10864794693435E-09i</v>
      </c>
      <c r="E265" s="108">
        <f t="shared" si="34"/>
        <v>-118.79191134103064</v>
      </c>
      <c r="F265" s="108">
        <f t="shared" si="35"/>
        <v>-179.94472714166582</v>
      </c>
      <c r="G265" s="108">
        <v>4</v>
      </c>
      <c r="H265" s="112">
        <f t="shared" si="30"/>
        <v>10000</v>
      </c>
      <c r="I265" s="112">
        <f t="shared" si="31"/>
        <v>62831.853071795864</v>
      </c>
      <c r="J265" s="112">
        <f>(CALCULATIONS!$C$127*10^3)/((CALCULATIONS!$C$123*10^6)+(CALCULATIONS!$C$127*10^3))</f>
        <v>1.2782694198623401E-2</v>
      </c>
      <c r="K265" s="112" t="str">
        <f t="shared" si="36"/>
        <v>2.41066284430643E-06-0.0408332791152192i</v>
      </c>
      <c r="L265" s="108">
        <f t="shared" si="37"/>
        <v>-27.779714838295448</v>
      </c>
      <c r="M265" s="108" t="str">
        <f t="shared" si="43"/>
        <v>3.08147659547528E-08-0.000521959320056883i</v>
      </c>
      <c r="N265" s="108">
        <f t="shared" si="38"/>
        <v>-65.647266850613605</v>
      </c>
      <c r="O265" s="108">
        <f t="shared" si="39"/>
        <v>-89.996617445141808</v>
      </c>
      <c r="P265" s="108" t="str">
        <f>IMPRODUCT(42*10^-6,IMDIV((COMPLEX(1,I265*(CALCULATIONS!C267*10^3)*(CALCULATIONS!C265*10^-6))),IMPRODUCT((COMPLEX(0,data!I265*((CALCULATIONS!C265*10^-6)+(CALCULATIONS!C271*10^-6)))),(COMPLEX(1,I265*((CALCULATIONS!C267*10^3)*(CALCULATIONS!C265*10^-6)*(CALCULATIONS!C271*10^-6))/((CALCULATIONS!C265*10^-6)+(CALCULATIONS!C271*10^-6)))))))</f>
        <v>1.62820545944529E-06-0.00101280145779341i</v>
      </c>
      <c r="Q265" s="108">
        <f t="shared" si="40"/>
        <v>-59.889502420187242</v>
      </c>
      <c r="R265" s="108" t="str">
        <f t="shared" si="26"/>
        <v>-5.28641110089698E-07-8.81066254405505E-10i</v>
      </c>
      <c r="S265" s="108">
        <f t="shared" si="41"/>
        <v>-125.53676927080083</v>
      </c>
      <c r="T265" s="108">
        <f t="shared" si="42"/>
        <v>9.5492632229394303E-2</v>
      </c>
    </row>
    <row r="271" spans="1:20">
      <c r="A271" s="208" t="s">
        <v>188</v>
      </c>
      <c r="B271" s="208"/>
      <c r="C271" s="208"/>
      <c r="D271" s="208"/>
    </row>
    <row r="272" spans="1:20">
      <c r="A272" s="125" t="s">
        <v>189</v>
      </c>
      <c r="B272" s="125" t="s">
        <v>190</v>
      </c>
      <c r="C272" s="125" t="s">
        <v>370</v>
      </c>
      <c r="D272" s="125" t="s">
        <v>371</v>
      </c>
    </row>
    <row r="273" spans="1:4">
      <c r="A273" s="125">
        <v>0</v>
      </c>
      <c r="B273" s="125">
        <f t="shared" ref="B273:B282" si="44">SIN(4*PI()*A273/100)</f>
        <v>0</v>
      </c>
      <c r="C273" s="125">
        <f>ABS(CALCULATIONS!C24*B273)</f>
        <v>0</v>
      </c>
      <c r="D273" s="125">
        <f>((1/(fsw/kHz)*kHz)*M1M2_calc*data!C273)/(7*Rsense*Vout_nom)</f>
        <v>0</v>
      </c>
    </row>
    <row r="274" spans="1:4">
      <c r="A274" s="125">
        <v>0.1</v>
      </c>
      <c r="B274" s="125">
        <f t="shared" si="44"/>
        <v>1.2566039883352607E-2</v>
      </c>
      <c r="C274" s="125">
        <f>ABS(CALCULATIONS!C24*B274)</f>
        <v>2.9530193725878626</v>
      </c>
      <c r="D274" s="125">
        <f>((1/(fsw/kHz)*kHz)*M1M2_calc*data!C274)/(7*Rsense*Vout_nom)</f>
        <v>3.0347845651116791E-2</v>
      </c>
    </row>
    <row r="275" spans="1:4">
      <c r="A275" s="125">
        <v>0.2</v>
      </c>
      <c r="B275" s="125">
        <f t="shared" si="44"/>
        <v>2.5130095443337479E-2</v>
      </c>
      <c r="C275" s="125">
        <f>ABS(CALCULATIONS!C24*B275)</f>
        <v>5.9055724291843079</v>
      </c>
      <c r="D275" s="125">
        <f>((1/(fsw/kHz)*kHz)*M1M2_calc*data!C275)/(7*Rsense*Vout_nom)</f>
        <v>6.0690899025601888E-2</v>
      </c>
    </row>
    <row r="276" spans="1:4">
      <c r="A276" s="125">
        <v>0.3</v>
      </c>
      <c r="B276" s="125">
        <f t="shared" si="44"/>
        <v>3.7690182669934541E-2</v>
      </c>
      <c r="C276" s="125">
        <f>ABS(CALCULATIONS!C24*B276)</f>
        <v>8.8571929274346175</v>
      </c>
      <c r="D276" s="125">
        <f>((1/(fsw/kHz)*kHz)*M1M2_calc*data!C276)/(7*Rsense*Vout_nom)</f>
        <v>9.1024368603579611E-2</v>
      </c>
    </row>
    <row r="277" spans="1:4">
      <c r="A277" s="125">
        <v>0.4</v>
      </c>
      <c r="B277" s="125">
        <f t="shared" si="44"/>
        <v>5.0244318179769556E-2</v>
      </c>
      <c r="C277" s="125">
        <f>ABS(CALCULATIONS!C24*B277)</f>
        <v>11.807414772245846</v>
      </c>
      <c r="D277" s="125">
        <f>((1/(fsw/kHz)*kHz)*M1M2_calc*data!C277)/(7*Rsense*Vout_nom)</f>
        <v>0.12134346437856687</v>
      </c>
    </row>
    <row r="278" spans="1:4">
      <c r="A278" s="125">
        <v>0.5</v>
      </c>
      <c r="B278" s="125">
        <f t="shared" si="44"/>
        <v>6.2790519529313374E-2</v>
      </c>
      <c r="C278" s="125">
        <f>ABS(CALCULATIONS!C24*B278)</f>
        <v>14.755772089388643</v>
      </c>
      <c r="D278" s="125">
        <f>((1/(fsw/kHz)*kHz)*M1M2_calc*data!C278)/(7*Rsense*Vout_nom)</f>
        <v>0.15164339861387069</v>
      </c>
    </row>
    <row r="279" spans="1:4">
      <c r="A279" s="125">
        <v>0.6</v>
      </c>
      <c r="B279" s="125">
        <f t="shared" si="44"/>
        <v>7.5326805527932722E-2</v>
      </c>
      <c r="C279" s="125">
        <f>ABS(CALCULATIONS!C24*B279)</f>
        <v>17.701799299064188</v>
      </c>
      <c r="D279" s="125">
        <f>((1/(fsw/kHz)*kHz)*M1M2_calc*data!C279)/(7*Rsense*Vout_nom)</f>
        <v>0.18191938659862733</v>
      </c>
    </row>
    <row r="280" spans="1:4">
      <c r="A280" s="125">
        <v>0.7</v>
      </c>
      <c r="B280" s="125">
        <f t="shared" si="44"/>
        <v>8.7851196550743166E-2</v>
      </c>
      <c r="C280" s="125">
        <f>ABS(CALCULATIONS!C24*B280)</f>
        <v>20.645031189424643</v>
      </c>
      <c r="D280" s="125">
        <f>((1/(fsw/kHz)*kHz)*M1M2_calc*data!C280)/(7*Rsense*Vout_nom)</f>
        <v>0.21216664740336361</v>
      </c>
    </row>
    <row r="281" spans="1:4">
      <c r="A281" s="125">
        <v>0.8</v>
      </c>
      <c r="B281" s="125">
        <f t="shared" si="44"/>
        <v>0.10036171485121489</v>
      </c>
      <c r="C281" s="125">
        <f>ABS(CALCULATIONS!C24*B281)</f>
        <v>23.585002990035502</v>
      </c>
      <c r="D281" s="125">
        <f>((1/(fsw/kHz)*kHz)*M1M2_calc*data!C281)/(7*Rsense*Vout_nom)</f>
        <v>0.24238040463496119</v>
      </c>
    </row>
    <row r="282" spans="1:4">
      <c r="A282" s="125">
        <v>0.9</v>
      </c>
      <c r="B282" s="125">
        <f t="shared" si="44"/>
        <v>0.11285638487348168</v>
      </c>
      <c r="C282" s="125">
        <f>ABS(CALCULATIONS!C24*B282)</f>
        <v>26.521250445268194</v>
      </c>
      <c r="D282" s="125">
        <f>((1/(fsw/kHz)*kHz)*M1M2_calc*data!C282)/(7*Rsense*Vout_nom)</f>
        <v>0.27255588719090396</v>
      </c>
    </row>
    <row r="283" spans="1:4">
      <c r="A283" s="125">
        <v>1</v>
      </c>
      <c r="B283" s="125">
        <f>SIN(4*PI()*A283/100)</f>
        <v>0.12533323356430426</v>
      </c>
      <c r="C283" s="125">
        <f>ABS(CALCULATIONS!C24*B283)</f>
        <v>29.4533098876115</v>
      </c>
      <c r="D283" s="125">
        <f>((1/(fsw/kHz)*kHz)*M1M2_calc*data!C283)/(7*Rsense*Vout_nom)</f>
        <v>0.30268833001269135</v>
      </c>
    </row>
    <row r="284" spans="1:4">
      <c r="A284" s="125">
        <v>2</v>
      </c>
      <c r="B284" s="125">
        <f t="shared" ref="B284:B347" si="45">SIN(4*PI()*A284/100)</f>
        <v>0.24868988716485479</v>
      </c>
      <c r="C284" s="125">
        <f>ABS(CALCULATIONS!C24*B284)</f>
        <v>58.442123483740879</v>
      </c>
      <c r="D284" s="125">
        <f>((1/(fsw/kHz)*kHz)*M1M2_calc*data!C284)/(7*Rsense*Vout_nom)</f>
        <v>0.60060308424383879</v>
      </c>
    </row>
    <row r="285" spans="1:4">
      <c r="A285" s="125">
        <v>3</v>
      </c>
      <c r="B285" s="125">
        <f t="shared" si="45"/>
        <v>0.36812455268467792</v>
      </c>
      <c r="C285" s="125">
        <f>ABS(CALCULATIONS!C24*B285)</f>
        <v>86.509269880899311</v>
      </c>
      <c r="D285" s="125">
        <f>((1/(fsw/kHz)*kHz)*M1M2_calc*data!C285)/(7*Rsense*Vout_nom)</f>
        <v>0.88904596905356903</v>
      </c>
    </row>
    <row r="286" spans="1:4">
      <c r="A286" s="125">
        <v>4</v>
      </c>
      <c r="B286" s="125">
        <f t="shared" si="45"/>
        <v>0.48175367410171532</v>
      </c>
      <c r="C286" s="125">
        <f>ABS(CALCULATIONS!C24*B286)</f>
        <v>113.2121134139031</v>
      </c>
      <c r="D286" s="125">
        <f>((1/(fsw/kHz)*kHz)*M1M2_calc*data!C286)/(7*Rsense*Vout_nom)</f>
        <v>1.1634680678410059</v>
      </c>
    </row>
    <row r="287" spans="1:4">
      <c r="A287" s="125">
        <v>5</v>
      </c>
      <c r="B287" s="125">
        <f t="shared" si="45"/>
        <v>0.58778525229247314</v>
      </c>
      <c r="C287" s="125">
        <f>ABS(CALCULATIONS!C24*B287)</f>
        <v>138.12953428873118</v>
      </c>
      <c r="D287" s="125">
        <f>((1/(fsw/kHz)*kHz)*M1M2_calc*data!C287)/(7*Rsense*Vout_nom)</f>
        <v>1.4195415801764548</v>
      </c>
    </row>
    <row r="288" spans="1:4">
      <c r="A288" s="125">
        <v>6</v>
      </c>
      <c r="B288" s="125">
        <f t="shared" si="45"/>
        <v>0.68454710592868862</v>
      </c>
      <c r="C288" s="125">
        <f>ABS(CALCULATIONS!C24*B288)</f>
        <v>160.86856989324181</v>
      </c>
      <c r="D288" s="125">
        <f>((1/(fsw/kHz)*kHz)*M1M2_calc*data!C288)/(7*Rsense*Vout_nom)</f>
        <v>1.6532280737994847</v>
      </c>
    </row>
    <row r="289" spans="1:4">
      <c r="A289" s="125">
        <v>7</v>
      </c>
      <c r="B289" s="125">
        <f t="shared" si="45"/>
        <v>0.77051324277578925</v>
      </c>
      <c r="C289" s="125">
        <f>ABS(CALCULATIONS!C24*B289)</f>
        <v>181.07061205231048</v>
      </c>
      <c r="D289" s="125">
        <f>((1/(fsw/kHz)*kHz)*M1M2_calc*data!C289)/(7*Rsense*Vout_nom)</f>
        <v>1.8608421731081166</v>
      </c>
    </row>
    <row r="290" spans="1:4">
      <c r="A290" s="125">
        <v>8</v>
      </c>
      <c r="B290" s="125">
        <f t="shared" si="45"/>
        <v>0.84432792550201508</v>
      </c>
      <c r="C290" s="125">
        <f>ABS(CALCULATIONS!C24*B290)</f>
        <v>198.41706249297354</v>
      </c>
      <c r="D290" s="125">
        <f>((1/(fsw/kHz)*kHz)*M1M2_calc*data!C290)/(7*Rsense*Vout_nom)</f>
        <v>2.0391096797336004</v>
      </c>
    </row>
    <row r="291" spans="1:4">
      <c r="A291" s="125">
        <v>9</v>
      </c>
      <c r="B291" s="125">
        <f t="shared" si="45"/>
        <v>0.90482705246601958</v>
      </c>
      <c r="C291" s="125">
        <f>ABS(CALCULATIONS!C24*B291)</f>
        <v>212.63435732951461</v>
      </c>
      <c r="D291" s="125">
        <f>((1/(fsw/kHz)*kHz)*M1M2_calc*data!C291)/(7*Rsense*Vout_nom)</f>
        <v>2.1852192086046074</v>
      </c>
    </row>
    <row r="292" spans="1:4">
      <c r="A292" s="125">
        <v>10</v>
      </c>
      <c r="B292" s="125">
        <f t="shared" si="45"/>
        <v>0.95105651629515353</v>
      </c>
      <c r="C292" s="125">
        <f>ABS(CALCULATIONS!C24*B292)</f>
        <v>223.49828132936108</v>
      </c>
      <c r="D292" s="125">
        <f>((1/(fsw/kHz)*kHz)*M1M2_calc*data!C292)/(7*Rsense*Vout_nom)</f>
        <v>2.2968665251692379</v>
      </c>
    </row>
    <row r="293" spans="1:4">
      <c r="A293" s="125">
        <v>11</v>
      </c>
      <c r="B293" s="125">
        <f t="shared" si="45"/>
        <v>0.98228725072868861</v>
      </c>
      <c r="C293" s="125">
        <f>ABS(CALCULATIONS!C24*B293)</f>
        <v>230.83750392124182</v>
      </c>
      <c r="D293" s="125">
        <f>((1/(fsw/kHz)*kHz)*M1M2_calc*data!C293)/(7*Rsense*Vout_nom)</f>
        <v>2.3722908845503952</v>
      </c>
    </row>
    <row r="294" spans="1:4">
      <c r="A294" s="125">
        <v>12</v>
      </c>
      <c r="B294" s="125">
        <f t="shared" si="45"/>
        <v>0.99802672842827156</v>
      </c>
      <c r="C294" s="125">
        <f>ABS(CALCULATIONS!C24*B294)</f>
        <v>234.53628118064381</v>
      </c>
      <c r="D294" s="125">
        <f>((1/(fsw/kHz)*kHz)*M1M2_calc*data!C294)/(7*Rsense*Vout_nom)</f>
        <v>2.4103027995443091</v>
      </c>
    </row>
    <row r="295" spans="1:4">
      <c r="A295" s="125">
        <v>13</v>
      </c>
      <c r="B295" s="125">
        <f>SIN(4*PI()*A295/100)</f>
        <v>0.99802672842827156</v>
      </c>
      <c r="C295" s="125">
        <f>ABS(CALCULATIONS!C24*B295)</f>
        <v>234.53628118064381</v>
      </c>
      <c r="D295" s="125">
        <f>((1/(fsw/kHz)*kHz)*M1M2_calc*data!C295)/(7*Rsense*Vout_nom)</f>
        <v>2.4103027995443091</v>
      </c>
    </row>
    <row r="296" spans="1:4">
      <c r="A296" s="125">
        <v>14</v>
      </c>
      <c r="B296" s="125">
        <f t="shared" si="45"/>
        <v>0.98228725072868872</v>
      </c>
      <c r="C296" s="125">
        <f>ABS(CALCULATIONS!C24*B296)</f>
        <v>230.83750392124185</v>
      </c>
      <c r="D296" s="125">
        <f>((1/(fsw/kHz)*kHz)*M1M2_calc*data!C296)/(7*Rsense*Vout_nom)</f>
        <v>2.3722908845503952</v>
      </c>
    </row>
    <row r="297" spans="1:4">
      <c r="A297" s="125">
        <v>15</v>
      </c>
      <c r="B297" s="125">
        <f t="shared" si="45"/>
        <v>0.95105651629515364</v>
      </c>
      <c r="C297" s="125">
        <f>ABS(CALCULATIONS!C24*B297)</f>
        <v>223.49828132936111</v>
      </c>
      <c r="D297" s="125">
        <f>((1/(fsw/kHz)*kHz)*M1M2_calc*data!C297)/(7*Rsense*Vout_nom)</f>
        <v>2.2968665251692384</v>
      </c>
    </row>
    <row r="298" spans="1:4">
      <c r="A298" s="125">
        <v>16</v>
      </c>
      <c r="B298" s="125">
        <f t="shared" si="45"/>
        <v>0.90482705246601947</v>
      </c>
      <c r="C298" s="125">
        <f>ABS(CALCULATIONS!C24*B298)</f>
        <v>212.63435732951459</v>
      </c>
      <c r="D298" s="125">
        <f>((1/(fsw/kHz)*kHz)*M1M2_calc*data!C298)/(7*Rsense*Vout_nom)</f>
        <v>2.1852192086046069</v>
      </c>
    </row>
    <row r="299" spans="1:4">
      <c r="A299" s="125">
        <v>17</v>
      </c>
      <c r="B299" s="125">
        <f t="shared" si="45"/>
        <v>0.84432792550201496</v>
      </c>
      <c r="C299" s="125">
        <f>ABS(CALCULATIONS!C24*B299)</f>
        <v>198.41706249297351</v>
      </c>
      <c r="D299" s="125">
        <f>((1/(fsw/kHz)*kHz)*M1M2_calc*data!C299)/(7*Rsense*Vout_nom)</f>
        <v>2.0391096797336004</v>
      </c>
    </row>
    <row r="300" spans="1:4">
      <c r="A300" s="125">
        <v>18</v>
      </c>
      <c r="B300" s="125">
        <f t="shared" si="45"/>
        <v>0.77051324277578925</v>
      </c>
      <c r="C300" s="125">
        <f>ABS(CALCULATIONS!C24*B300)</f>
        <v>181.07061205231048</v>
      </c>
      <c r="D300" s="125">
        <f>((1/(fsw/kHz)*kHz)*M1M2_calc*data!C300)/(7*Rsense*Vout_nom)</f>
        <v>1.8608421731081166</v>
      </c>
    </row>
    <row r="301" spans="1:4">
      <c r="A301" s="125">
        <v>19</v>
      </c>
      <c r="B301" s="125">
        <f t="shared" si="45"/>
        <v>0.68454710592868884</v>
      </c>
      <c r="C301" s="125">
        <f>ABS(CALCULATIONS!C24*B301)</f>
        <v>160.86856989324187</v>
      </c>
      <c r="D301" s="125">
        <f>((1/(fsw/kHz)*kHz)*M1M2_calc*data!C301)/(7*Rsense*Vout_nom)</f>
        <v>1.6532280737994853</v>
      </c>
    </row>
    <row r="302" spans="1:4">
      <c r="A302" s="125">
        <v>20</v>
      </c>
      <c r="B302" s="125">
        <f t="shared" si="45"/>
        <v>0.58778525229247325</v>
      </c>
      <c r="C302" s="125">
        <f>ABS(CALCULATIONS!C24*B302)</f>
        <v>138.12953428873121</v>
      </c>
      <c r="D302" s="125">
        <f>((1/(fsw/kHz)*kHz)*M1M2_calc*data!C302)/(7*Rsense*Vout_nom)</f>
        <v>1.419541580176455</v>
      </c>
    </row>
    <row r="303" spans="1:4">
      <c r="A303" s="125">
        <v>21</v>
      </c>
      <c r="B303" s="125">
        <f t="shared" si="45"/>
        <v>0.48175367410171521</v>
      </c>
      <c r="C303" s="125">
        <f>ABS(CALCULATIONS!C24*B303)</f>
        <v>113.21211341390307</v>
      </c>
      <c r="D303" s="125">
        <f>((1/(fsw/kHz)*kHz)*M1M2_calc*data!C303)/(7*Rsense*Vout_nom)</f>
        <v>1.1634680678410054</v>
      </c>
    </row>
    <row r="304" spans="1:4">
      <c r="A304" s="125">
        <v>22</v>
      </c>
      <c r="B304" s="125">
        <f t="shared" si="45"/>
        <v>0.36812455268467814</v>
      </c>
      <c r="C304" s="125">
        <f>ABS(CALCULATIONS!C24*B304)</f>
        <v>86.509269880899367</v>
      </c>
      <c r="D304" s="125">
        <f>((1/(fsw/kHz)*kHz)*M1M2_calc*data!C304)/(7*Rsense*Vout_nom)</f>
        <v>0.88904596905356947</v>
      </c>
    </row>
    <row r="305" spans="1:4">
      <c r="A305" s="125">
        <v>23</v>
      </c>
      <c r="B305" s="125">
        <f t="shared" si="45"/>
        <v>0.24868988716485524</v>
      </c>
      <c r="C305" s="125">
        <f>ABS(CALCULATIONS!C24*B305)</f>
        <v>58.442123483740978</v>
      </c>
      <c r="D305" s="125">
        <f>((1/(fsw/kHz)*kHz)*M1M2_calc*data!C305)/(7*Rsense*Vout_nom)</f>
        <v>0.60060308424383979</v>
      </c>
    </row>
    <row r="306" spans="1:4">
      <c r="A306" s="125">
        <v>24</v>
      </c>
      <c r="B306" s="125">
        <f t="shared" si="45"/>
        <v>0.12533323356430454</v>
      </c>
      <c r="C306" s="125">
        <f>ABS(CALCULATIONS!C24*B306)</f>
        <v>29.453309887611567</v>
      </c>
      <c r="D306" s="125">
        <f>((1/(fsw/kHz)*kHz)*M1M2_calc*data!C306)/(7*Rsense*Vout_nom)</f>
        <v>0.30268833001269208</v>
      </c>
    </row>
    <row r="307" spans="1:4">
      <c r="A307" s="125">
        <v>25</v>
      </c>
      <c r="B307" s="125">
        <f t="shared" si="45"/>
        <v>1.22514845490862E-16</v>
      </c>
      <c r="C307" s="125">
        <f>ABS(CALCULATIONS!C24*B307)</f>
        <v>2.879098869035257E-14</v>
      </c>
      <c r="D307" s="125">
        <f>((1/(fsw/kHz)*kHz)*M1M2_calc*data!C307)/(7*Rsense*Vout_nom)</f>
        <v>2.9588173007892176E-16</v>
      </c>
    </row>
    <row r="308" spans="1:4">
      <c r="A308" s="125">
        <v>26</v>
      </c>
      <c r="B308" s="125">
        <f t="shared" si="45"/>
        <v>-0.12533323356430429</v>
      </c>
      <c r="C308" s="125">
        <f>ABS(CALCULATIONS!C24*B308)</f>
        <v>29.453309887611507</v>
      </c>
      <c r="D308" s="125">
        <f>((1/(fsw/kHz)*kHz)*M1M2_calc*data!C308)/(7*Rsense*Vout_nom)</f>
        <v>0.30268833001269141</v>
      </c>
    </row>
    <row r="309" spans="1:4">
      <c r="A309" s="125">
        <v>27</v>
      </c>
      <c r="B309" s="125">
        <f t="shared" si="45"/>
        <v>-0.24868988716485457</v>
      </c>
      <c r="C309" s="125">
        <f>ABS(CALCULATIONS!C24*B309)</f>
        <v>58.442123483740822</v>
      </c>
      <c r="D309" s="125">
        <f>((1/(fsw/kHz)*kHz)*M1M2_calc*data!C309)/(7*Rsense*Vout_nom)</f>
        <v>0.60060308424383813</v>
      </c>
    </row>
    <row r="310" spans="1:4">
      <c r="A310" s="125">
        <v>28</v>
      </c>
      <c r="B310" s="125">
        <f t="shared" si="45"/>
        <v>-0.36812455268467792</v>
      </c>
      <c r="C310" s="125">
        <f>ABS(CALCULATIONS!C24*B310)</f>
        <v>86.509269880899311</v>
      </c>
      <c r="D310" s="125">
        <f>((1/(fsw/kHz)*kHz)*M1M2_calc*data!C310)/(7*Rsense*Vout_nom)</f>
        <v>0.88904596905356903</v>
      </c>
    </row>
    <row r="311" spans="1:4">
      <c r="A311" s="125">
        <v>29</v>
      </c>
      <c r="B311" s="125">
        <f t="shared" si="45"/>
        <v>-0.48175367410171538</v>
      </c>
      <c r="C311" s="125">
        <f>ABS(CALCULATIONS!C24*B311)</f>
        <v>113.21211341390311</v>
      </c>
      <c r="D311" s="125">
        <f>((1/(fsw/kHz)*kHz)*M1M2_calc*data!C311)/(7*Rsense*Vout_nom)</f>
        <v>1.1634680678410059</v>
      </c>
    </row>
    <row r="312" spans="1:4">
      <c r="A312" s="125">
        <v>30</v>
      </c>
      <c r="B312" s="125">
        <f t="shared" si="45"/>
        <v>-0.58778525229247269</v>
      </c>
      <c r="C312" s="125">
        <f>ABS(CALCULATIONS!C24*B312)</f>
        <v>138.12953428873109</v>
      </c>
      <c r="D312" s="125">
        <f>((1/(fsw/kHz)*kHz)*M1M2_calc*data!C312)/(7*Rsense*Vout_nom)</f>
        <v>1.4195415801764539</v>
      </c>
    </row>
    <row r="313" spans="1:4">
      <c r="A313" s="125">
        <v>31</v>
      </c>
      <c r="B313" s="125">
        <f t="shared" si="45"/>
        <v>-0.68454710592868839</v>
      </c>
      <c r="C313" s="125">
        <f>ABS(CALCULATIONS!C24*B313)</f>
        <v>160.86856989324178</v>
      </c>
      <c r="D313" s="125">
        <f>((1/(fsw/kHz)*kHz)*M1M2_calc*data!C313)/(7*Rsense*Vout_nom)</f>
        <v>1.6532280737994844</v>
      </c>
    </row>
    <row r="314" spans="1:4">
      <c r="A314" s="125">
        <v>32</v>
      </c>
      <c r="B314" s="125">
        <f t="shared" si="45"/>
        <v>-0.77051324277578936</v>
      </c>
      <c r="C314" s="125">
        <f>ABS(CALCULATIONS!C24*B314)</f>
        <v>181.07061205231051</v>
      </c>
      <c r="D314" s="125">
        <f>((1/(fsw/kHz)*kHz)*M1M2_calc*data!C314)/(7*Rsense*Vout_nom)</f>
        <v>1.8608421731081168</v>
      </c>
    </row>
    <row r="315" spans="1:4">
      <c r="A315" s="125">
        <v>33</v>
      </c>
      <c r="B315" s="125">
        <f t="shared" si="45"/>
        <v>-0.8443279255020153</v>
      </c>
      <c r="C315" s="125">
        <f>ABS(CALCULATIONS!C24*B315)</f>
        <v>198.4170624929736</v>
      </c>
      <c r="D315" s="125">
        <f>((1/(fsw/kHz)*kHz)*M1M2_calc*data!C315)/(7*Rsense*Vout_nom)</f>
        <v>2.0391096797336012</v>
      </c>
    </row>
    <row r="316" spans="1:4">
      <c r="A316" s="125">
        <v>34</v>
      </c>
      <c r="B316" s="125">
        <f t="shared" si="45"/>
        <v>-0.9048270524660198</v>
      </c>
      <c r="C316" s="125">
        <f>ABS(CALCULATIONS!C24*B316)</f>
        <v>212.63435732951464</v>
      </c>
      <c r="D316" s="125">
        <f>((1/(fsw/kHz)*kHz)*M1M2_calc*data!C316)/(7*Rsense*Vout_nom)</f>
        <v>2.1852192086046074</v>
      </c>
    </row>
    <row r="317" spans="1:4">
      <c r="A317" s="125">
        <v>35</v>
      </c>
      <c r="B317" s="125">
        <f t="shared" si="45"/>
        <v>-0.95105651629515353</v>
      </c>
      <c r="C317" s="125">
        <f>ABS(CALCULATIONS!C24*B317)</f>
        <v>223.49828132936108</v>
      </c>
      <c r="D317" s="125">
        <f>((1/(fsw/kHz)*kHz)*M1M2_calc*data!C317)/(7*Rsense*Vout_nom)</f>
        <v>2.2968665251692379</v>
      </c>
    </row>
    <row r="318" spans="1:4">
      <c r="A318" s="125">
        <v>36</v>
      </c>
      <c r="B318" s="125">
        <f t="shared" si="45"/>
        <v>-0.98228725072868872</v>
      </c>
      <c r="C318" s="125">
        <f>ABS(CALCULATIONS!C24*B318)</f>
        <v>230.83750392124185</v>
      </c>
      <c r="D318" s="125">
        <f>((1/(fsw/kHz)*kHz)*M1M2_calc*data!C318)/(7*Rsense*Vout_nom)</f>
        <v>2.3722908845503952</v>
      </c>
    </row>
    <row r="319" spans="1:4">
      <c r="A319" s="125">
        <v>37</v>
      </c>
      <c r="B319" s="125">
        <f t="shared" si="45"/>
        <v>-0.99802672842827156</v>
      </c>
      <c r="C319" s="125">
        <f>ABS(CALCULATIONS!C24*B319)</f>
        <v>234.53628118064381</v>
      </c>
      <c r="D319" s="125">
        <f>((1/(fsw/kHz)*kHz)*M1M2_calc*data!C319)/(7*Rsense*Vout_nom)</f>
        <v>2.4103027995443091</v>
      </c>
    </row>
    <row r="320" spans="1:4">
      <c r="A320" s="125">
        <v>38</v>
      </c>
      <c r="B320" s="125">
        <f t="shared" si="45"/>
        <v>-0.99802672842827156</v>
      </c>
      <c r="C320" s="125">
        <f>ABS(CALCULATIONS!C24*B320)</f>
        <v>234.53628118064381</v>
      </c>
      <c r="D320" s="125">
        <f>((1/(fsw/kHz)*kHz)*M1M2_calc*data!C320)/(7*Rsense*Vout_nom)</f>
        <v>2.4103027995443091</v>
      </c>
    </row>
    <row r="321" spans="1:4">
      <c r="A321" s="125">
        <v>39</v>
      </c>
      <c r="B321" s="125">
        <f t="shared" si="45"/>
        <v>-0.98228725072868872</v>
      </c>
      <c r="C321" s="125">
        <f>ABS(CALCULATIONS!C24*B321)</f>
        <v>230.83750392124185</v>
      </c>
      <c r="D321" s="125">
        <f>((1/(fsw/kHz)*kHz)*M1M2_calc*data!C321)/(7*Rsense*Vout_nom)</f>
        <v>2.3722908845503952</v>
      </c>
    </row>
    <row r="322" spans="1:4">
      <c r="A322" s="125">
        <v>40</v>
      </c>
      <c r="B322" s="125">
        <f t="shared" si="45"/>
        <v>-0.95105651629515364</v>
      </c>
      <c r="C322" s="125">
        <f>ABS(CALCULATIONS!C24*B322)</f>
        <v>223.49828132936111</v>
      </c>
      <c r="D322" s="125">
        <f>((1/(fsw/kHz)*kHz)*M1M2_calc*data!C322)/(7*Rsense*Vout_nom)</f>
        <v>2.2968665251692384</v>
      </c>
    </row>
    <row r="323" spans="1:4">
      <c r="A323" s="125">
        <v>41</v>
      </c>
      <c r="B323" s="125">
        <f t="shared" si="45"/>
        <v>-0.90482705246601991</v>
      </c>
      <c r="C323" s="125">
        <f>ABS(CALCULATIONS!C24*B323)</f>
        <v>212.63435732951467</v>
      </c>
      <c r="D323" s="125">
        <f>((1/(fsw/kHz)*kHz)*M1M2_calc*data!C323)/(7*Rsense*Vout_nom)</f>
        <v>2.1852192086046078</v>
      </c>
    </row>
    <row r="324" spans="1:4">
      <c r="A324" s="125">
        <v>42</v>
      </c>
      <c r="B324" s="125">
        <f t="shared" si="45"/>
        <v>-0.84432792550201496</v>
      </c>
      <c r="C324" s="125">
        <f>ABS(CALCULATIONS!C24*B324)</f>
        <v>198.41706249297351</v>
      </c>
      <c r="D324" s="125">
        <f>((1/(fsw/kHz)*kHz)*M1M2_calc*data!C324)/(7*Rsense*Vout_nom)</f>
        <v>2.0391096797336004</v>
      </c>
    </row>
    <row r="325" spans="1:4">
      <c r="A325" s="125">
        <v>43</v>
      </c>
      <c r="B325" s="125">
        <f t="shared" si="45"/>
        <v>-0.77051324277578959</v>
      </c>
      <c r="C325" s="125">
        <f>ABS(CALCULATIONS!C24*B325)</f>
        <v>181.07061205231057</v>
      </c>
      <c r="D325" s="125">
        <f>((1/(fsw/kHz)*kHz)*M1M2_calc*data!C325)/(7*Rsense*Vout_nom)</f>
        <v>1.8608421731081175</v>
      </c>
    </row>
    <row r="326" spans="1:4">
      <c r="A326" s="125">
        <v>44</v>
      </c>
      <c r="B326" s="125">
        <f t="shared" si="45"/>
        <v>-0.68454710592868895</v>
      </c>
      <c r="C326" s="125">
        <f>ABS(CALCULATIONS!C24*B326)</f>
        <v>160.8685698932419</v>
      </c>
      <c r="D326" s="125">
        <f>((1/(fsw/kHz)*kHz)*M1M2_calc*data!C326)/(7*Rsense*Vout_nom)</f>
        <v>1.6532280737994858</v>
      </c>
    </row>
    <row r="327" spans="1:4">
      <c r="A327" s="125">
        <v>45</v>
      </c>
      <c r="B327" s="125">
        <f t="shared" si="45"/>
        <v>-0.58778525229247336</v>
      </c>
      <c r="C327" s="125">
        <f>ABS(CALCULATIONS!C24*B327)</f>
        <v>138.12953428873124</v>
      </c>
      <c r="D327" s="125">
        <f>((1/(fsw/kHz)*kHz)*M1M2_calc*data!C327)/(7*Rsense*Vout_nom)</f>
        <v>1.4195415801764555</v>
      </c>
    </row>
    <row r="328" spans="1:4">
      <c r="A328" s="125">
        <v>46</v>
      </c>
      <c r="B328" s="125">
        <f t="shared" si="45"/>
        <v>-0.4817536741017161</v>
      </c>
      <c r="C328" s="125">
        <f>ABS(CALCULATIONS!C24*B328)</f>
        <v>113.21211341390328</v>
      </c>
      <c r="D328" s="125">
        <f>((1/(fsw/kHz)*kHz)*M1M2_calc*data!C328)/(7*Rsense*Vout_nom)</f>
        <v>1.1634680678410076</v>
      </c>
    </row>
    <row r="329" spans="1:4">
      <c r="A329" s="125">
        <v>47</v>
      </c>
      <c r="B329" s="125">
        <f t="shared" si="45"/>
        <v>-0.36812455268467786</v>
      </c>
      <c r="C329" s="125">
        <f>ABS(CALCULATIONS!C24*B329)</f>
        <v>86.509269880899296</v>
      </c>
      <c r="D329" s="125">
        <f>((1/(fsw/kHz)*kHz)*M1M2_calc*data!C329)/(7*Rsense*Vout_nom)</f>
        <v>0.88904596905356881</v>
      </c>
    </row>
    <row r="330" spans="1:4">
      <c r="A330" s="125">
        <v>48</v>
      </c>
      <c r="B330" s="125">
        <f t="shared" si="45"/>
        <v>-0.24868988716485535</v>
      </c>
      <c r="C330" s="125">
        <f>ABS(CALCULATIONS!C24*B330)</f>
        <v>58.442123483741007</v>
      </c>
      <c r="D330" s="125">
        <f>((1/(fsw/kHz)*kHz)*M1M2_calc*data!C330)/(7*Rsense*Vout_nom)</f>
        <v>0.60060308424384001</v>
      </c>
    </row>
    <row r="331" spans="1:4">
      <c r="A331" s="125">
        <v>49</v>
      </c>
      <c r="B331" s="125">
        <f t="shared" si="45"/>
        <v>-0.12533323356430465</v>
      </c>
      <c r="C331" s="125">
        <f>ABS(CALCULATIONS!C24*B331)</f>
        <v>29.453309887611592</v>
      </c>
      <c r="D331" s="125">
        <f>((1/(fsw/kHz)*kHz)*M1M2_calc*data!C331)/(7*Rsense*Vout_nom)</f>
        <v>0.3026883300126923</v>
      </c>
    </row>
    <row r="332" spans="1:4">
      <c r="A332" s="125">
        <v>50</v>
      </c>
      <c r="B332" s="125">
        <f t="shared" si="45"/>
        <v>-2.45029690981724E-16</v>
      </c>
      <c r="C332" s="125">
        <f>ABS(CALCULATIONS!C24*B332)</f>
        <v>5.758197738070514E-14</v>
      </c>
      <c r="D332" s="125">
        <f>((1/(fsw/kHz)*kHz)*M1M2_calc*data!C332)/(7*Rsense*Vout_nom)</f>
        <v>5.9176346015784352E-16</v>
      </c>
    </row>
    <row r="333" spans="1:4">
      <c r="A333" s="125">
        <v>51</v>
      </c>
      <c r="B333" s="125">
        <f t="shared" si="45"/>
        <v>0.12533323356430418</v>
      </c>
      <c r="C333" s="125">
        <f>ABS(CALCULATIONS!C24*B333)</f>
        <v>29.453309887611482</v>
      </c>
      <c r="D333" s="125">
        <f>((1/(fsw/kHz)*kHz)*M1M2_calc*data!C333)/(7*Rsense*Vout_nom)</f>
        <v>0.30268833001269119</v>
      </c>
    </row>
    <row r="334" spans="1:4">
      <c r="A334" s="125">
        <v>52</v>
      </c>
      <c r="B334" s="125">
        <f t="shared" si="45"/>
        <v>0.24868988716485488</v>
      </c>
      <c r="C334" s="125">
        <f>ABS(CALCULATIONS!C24*B334)</f>
        <v>58.442123483740893</v>
      </c>
      <c r="D334" s="125">
        <f>((1/(fsw/kHz)*kHz)*M1M2_calc*data!C334)/(7*Rsense*Vout_nom)</f>
        <v>0.6006030842438389</v>
      </c>
    </row>
    <row r="335" spans="1:4">
      <c r="A335" s="125">
        <v>53</v>
      </c>
      <c r="B335" s="125">
        <f t="shared" si="45"/>
        <v>0.3681245526846782</v>
      </c>
      <c r="C335" s="125">
        <f>ABS(CALCULATIONS!C24*B335)</f>
        <v>86.509269880899382</v>
      </c>
      <c r="D335" s="125">
        <f>((1/(fsw/kHz)*kHz)*M1M2_calc*data!C335)/(7*Rsense*Vout_nom)</f>
        <v>0.8890459690535697</v>
      </c>
    </row>
    <row r="336" spans="1:4">
      <c r="A336" s="125">
        <v>54</v>
      </c>
      <c r="B336" s="125">
        <f t="shared" si="45"/>
        <v>0.48175367410171488</v>
      </c>
      <c r="C336" s="125">
        <f>ABS(CALCULATIONS!C24*B336)</f>
        <v>113.212113413903</v>
      </c>
      <c r="D336" s="125">
        <f>((1/(fsw/kHz)*kHz)*M1M2_calc*data!C336)/(7*Rsense*Vout_nom)</f>
        <v>1.1634680678410048</v>
      </c>
    </row>
    <row r="337" spans="1:4">
      <c r="A337" s="125">
        <v>55</v>
      </c>
      <c r="B337" s="125">
        <f t="shared" si="45"/>
        <v>0.58778525229247292</v>
      </c>
      <c r="C337" s="125">
        <f>ABS(CALCULATIONS!C24*B337)</f>
        <v>138.12953428873112</v>
      </c>
      <c r="D337" s="125">
        <f>((1/(fsw/kHz)*kHz)*M1M2_calc*data!C337)/(7*Rsense*Vout_nom)</f>
        <v>1.4195415801764542</v>
      </c>
    </row>
    <row r="338" spans="1:4">
      <c r="A338" s="125">
        <v>56</v>
      </c>
      <c r="B338" s="125">
        <f t="shared" si="45"/>
        <v>0.68454710592868862</v>
      </c>
      <c r="C338" s="125">
        <f>ABS(CALCULATIONS!C24*B338)</f>
        <v>160.86856989324181</v>
      </c>
      <c r="D338" s="125">
        <f>((1/(fsw/kHz)*kHz)*M1M2_calc*data!C338)/(7*Rsense*Vout_nom)</f>
        <v>1.6532280737994847</v>
      </c>
    </row>
    <row r="339" spans="1:4">
      <c r="A339" s="125">
        <v>57</v>
      </c>
      <c r="B339" s="125">
        <f t="shared" si="45"/>
        <v>0.7705132427757887</v>
      </c>
      <c r="C339" s="125">
        <f>ABS(CALCULATIONS!C24*B339)</f>
        <v>181.07061205231034</v>
      </c>
      <c r="D339" s="125">
        <f>((1/(fsw/kHz)*kHz)*M1M2_calc*data!C339)/(7*Rsense*Vout_nom)</f>
        <v>1.8608421731081153</v>
      </c>
    </row>
    <row r="340" spans="1:4">
      <c r="A340" s="125">
        <v>58</v>
      </c>
      <c r="B340" s="125">
        <f t="shared" si="45"/>
        <v>0.84432792550201519</v>
      </c>
      <c r="C340" s="125">
        <f>ABS(CALCULATIONS!C24*B340)</f>
        <v>198.41706249297357</v>
      </c>
      <c r="D340" s="125">
        <f>((1/(fsw/kHz)*kHz)*M1M2_calc*data!C340)/(7*Rsense*Vout_nom)</f>
        <v>2.0391096797336008</v>
      </c>
    </row>
    <row r="341" spans="1:4">
      <c r="A341" s="125">
        <v>59</v>
      </c>
      <c r="B341" s="125">
        <f t="shared" si="45"/>
        <v>0.90482705246601935</v>
      </c>
      <c r="C341" s="125">
        <f>ABS(CALCULATIONS!C24*B341)</f>
        <v>212.63435732951456</v>
      </c>
      <c r="D341" s="125">
        <f>((1/(fsw/kHz)*kHz)*M1M2_calc*data!C341)/(7*Rsense*Vout_nom)</f>
        <v>2.1852192086046065</v>
      </c>
    </row>
    <row r="342" spans="1:4">
      <c r="A342" s="125">
        <v>60</v>
      </c>
      <c r="B342" s="125">
        <f t="shared" si="45"/>
        <v>0.9510565162951532</v>
      </c>
      <c r="C342" s="125">
        <f>ABS(CALCULATIONS!C24*B342)</f>
        <v>223.49828132936099</v>
      </c>
      <c r="D342" s="125">
        <f>((1/(fsw/kHz)*kHz)*M1M2_calc*data!C342)/(7*Rsense*Vout_nom)</f>
        <v>2.2968665251692371</v>
      </c>
    </row>
    <row r="343" spans="1:4">
      <c r="A343" s="125">
        <v>61</v>
      </c>
      <c r="B343" s="125">
        <f t="shared" si="45"/>
        <v>0.98228725072868861</v>
      </c>
      <c r="C343" s="125">
        <f>ABS(CALCULATIONS!C24*B343)</f>
        <v>230.83750392124182</v>
      </c>
      <c r="D343" s="125">
        <f>((1/(fsw/kHz)*kHz)*M1M2_calc*data!C343)/(7*Rsense*Vout_nom)</f>
        <v>2.3722908845503952</v>
      </c>
    </row>
    <row r="344" spans="1:4">
      <c r="A344" s="125">
        <v>62</v>
      </c>
      <c r="B344" s="125">
        <f t="shared" si="45"/>
        <v>0.99802672842827156</v>
      </c>
      <c r="C344" s="125">
        <f>ABS(CALCULATIONS!C24*B344)</f>
        <v>234.53628118064381</v>
      </c>
      <c r="D344" s="125">
        <f>((1/(fsw/kHz)*kHz)*M1M2_calc*data!C344)/(7*Rsense*Vout_nom)</f>
        <v>2.4103027995443091</v>
      </c>
    </row>
    <row r="345" spans="1:4">
      <c r="A345" s="125">
        <v>63</v>
      </c>
      <c r="B345" s="125">
        <f t="shared" si="45"/>
        <v>0.99802672842827156</v>
      </c>
      <c r="C345" s="125">
        <f>ABS(CALCULATIONS!C24*B345)</f>
        <v>234.53628118064381</v>
      </c>
      <c r="D345" s="125">
        <f>((1/(fsw/kHz)*kHz)*M1M2_calc*data!C345)/(7*Rsense*Vout_nom)</f>
        <v>2.4103027995443091</v>
      </c>
    </row>
    <row r="346" spans="1:4">
      <c r="A346" s="125">
        <v>64</v>
      </c>
      <c r="B346" s="125">
        <f t="shared" si="45"/>
        <v>0.98228725072868861</v>
      </c>
      <c r="C346" s="125">
        <f>ABS(CALCULATIONS!C24*B346)</f>
        <v>230.83750392124182</v>
      </c>
      <c r="D346" s="125">
        <f>((1/(fsw/kHz)*kHz)*M1M2_calc*data!C346)/(7*Rsense*Vout_nom)</f>
        <v>2.3722908845503952</v>
      </c>
    </row>
    <row r="347" spans="1:4">
      <c r="A347" s="125">
        <v>65</v>
      </c>
      <c r="B347" s="125">
        <f t="shared" si="45"/>
        <v>0.95105651629515364</v>
      </c>
      <c r="C347" s="125">
        <f>ABS(CALCULATIONS!C24*B347)</f>
        <v>223.49828132936111</v>
      </c>
      <c r="D347" s="125">
        <f>((1/(fsw/kHz)*kHz)*M1M2_calc*data!C347)/(7*Rsense*Vout_nom)</f>
        <v>2.2968665251692384</v>
      </c>
    </row>
    <row r="348" spans="1:4">
      <c r="A348" s="125">
        <v>66</v>
      </c>
      <c r="B348" s="125">
        <f t="shared" ref="B348:B382" si="46">SIN(4*PI()*A348/100)</f>
        <v>0.90482705246601924</v>
      </c>
      <c r="C348" s="125">
        <f>ABS(CALCULATIONS!C24*B348)</f>
        <v>212.63435732951453</v>
      </c>
      <c r="D348" s="125">
        <f>((1/(fsw/kHz)*kHz)*M1M2_calc*data!C348)/(7*Rsense*Vout_nom)</f>
        <v>2.1852192086046065</v>
      </c>
    </row>
    <row r="349" spans="1:4">
      <c r="A349" s="125">
        <v>67</v>
      </c>
      <c r="B349" s="125">
        <f t="shared" si="46"/>
        <v>0.84432792550201508</v>
      </c>
      <c r="C349" s="125">
        <f>ABS(CALCULATIONS!C24*B349)</f>
        <v>198.41706249297354</v>
      </c>
      <c r="D349" s="125">
        <f>((1/(fsw/kHz)*kHz)*M1M2_calc*data!C349)/(7*Rsense*Vout_nom)</f>
        <v>2.0391096797336004</v>
      </c>
    </row>
    <row r="350" spans="1:4">
      <c r="A350" s="125">
        <v>68</v>
      </c>
      <c r="B350" s="125">
        <f t="shared" si="46"/>
        <v>0.77051324277578859</v>
      </c>
      <c r="C350" s="125">
        <f>ABS(CALCULATIONS!C24*B350)</f>
        <v>181.07061205231031</v>
      </c>
      <c r="D350" s="125">
        <f>((1/(fsw/kHz)*kHz)*M1M2_calc*data!C350)/(7*Rsense*Vout_nom)</f>
        <v>1.8608421731081148</v>
      </c>
    </row>
    <row r="351" spans="1:4">
      <c r="A351" s="125">
        <v>69</v>
      </c>
      <c r="B351" s="125">
        <f t="shared" si="46"/>
        <v>0.68454710592868839</v>
      </c>
      <c r="C351" s="125">
        <f>ABS(CALCULATIONS!C24*B351)</f>
        <v>160.86856989324178</v>
      </c>
      <c r="D351" s="125">
        <f>((1/(fsw/kHz)*kHz)*M1M2_calc*data!C351)/(7*Rsense*Vout_nom)</f>
        <v>1.6532280737994844</v>
      </c>
    </row>
    <row r="352" spans="1:4">
      <c r="A352" s="125">
        <v>70</v>
      </c>
      <c r="B352" s="125">
        <f t="shared" si="46"/>
        <v>0.58778525229247336</v>
      </c>
      <c r="C352" s="125">
        <f>ABS(CALCULATIONS!C24*B352)</f>
        <v>138.12953428873124</v>
      </c>
      <c r="D352" s="125">
        <f>((1/(fsw/kHz)*kHz)*M1M2_calc*data!C352)/(7*Rsense*Vout_nom)</f>
        <v>1.4195415801764555</v>
      </c>
    </row>
    <row r="353" spans="1:4">
      <c r="A353" s="125">
        <v>71</v>
      </c>
      <c r="B353" s="125">
        <f t="shared" si="46"/>
        <v>0.48175367410171466</v>
      </c>
      <c r="C353" s="125">
        <f>ABS(CALCULATIONS!C24*B353)</f>
        <v>113.21211341390294</v>
      </c>
      <c r="D353" s="125">
        <f>((1/(fsw/kHz)*kHz)*M1M2_calc*data!C353)/(7*Rsense*Vout_nom)</f>
        <v>1.1634680678410041</v>
      </c>
    </row>
    <row r="354" spans="1:4">
      <c r="A354" s="125">
        <v>72</v>
      </c>
      <c r="B354" s="125">
        <f t="shared" si="46"/>
        <v>0.36812455268467797</v>
      </c>
      <c r="C354" s="125">
        <f>ABS(CALCULATIONS!C24*B354)</f>
        <v>86.509269880899325</v>
      </c>
      <c r="D354" s="125">
        <f>((1/(fsw/kHz)*kHz)*M1M2_calc*data!C354)/(7*Rsense*Vout_nom)</f>
        <v>0.88904596905356914</v>
      </c>
    </row>
    <row r="355" spans="1:4">
      <c r="A355" s="125">
        <v>73</v>
      </c>
      <c r="B355" s="125">
        <f t="shared" si="46"/>
        <v>0.24868988716485549</v>
      </c>
      <c r="C355" s="125">
        <f>ABS(CALCULATIONS!C24*B355)</f>
        <v>58.442123483741042</v>
      </c>
      <c r="D355" s="125">
        <f>((1/(fsw/kHz)*kHz)*M1M2_calc*data!C355)/(7*Rsense*Vout_nom)</f>
        <v>0.60060308424384046</v>
      </c>
    </row>
    <row r="356" spans="1:4">
      <c r="A356" s="125">
        <v>74</v>
      </c>
      <c r="B356" s="125">
        <f t="shared" si="46"/>
        <v>0.1253332335643039</v>
      </c>
      <c r="C356" s="125">
        <f>ABS(CALCULATIONS!C24*B356)</f>
        <v>29.453309887611415</v>
      </c>
      <c r="D356" s="125">
        <f>((1/(fsw/kHz)*kHz)*M1M2_calc*data!C356)/(7*Rsense*Vout_nom)</f>
        <v>0.30268833001269047</v>
      </c>
    </row>
    <row r="357" spans="1:4">
      <c r="A357" s="125">
        <v>75</v>
      </c>
      <c r="B357" s="125">
        <f t="shared" si="46"/>
        <v>3.67544536472586E-16</v>
      </c>
      <c r="C357" s="125">
        <f>ABS(CALCULATIONS!C24*B357)</f>
        <v>8.6372966071057711E-14</v>
      </c>
      <c r="D357" s="125">
        <f>((1/(fsw/kHz)*kHz)*M1M2_calc*data!C357)/(7*Rsense*Vout_nom)</f>
        <v>8.8764519023676518E-16</v>
      </c>
    </row>
    <row r="358" spans="1:4">
      <c r="A358" s="125">
        <v>76</v>
      </c>
      <c r="B358" s="125">
        <f t="shared" si="46"/>
        <v>-0.12533323356430318</v>
      </c>
      <c r="C358" s="125">
        <f>ABS(CALCULATIONS!C24*B358)</f>
        <v>29.453309887611248</v>
      </c>
      <c r="D358" s="125">
        <f>((1/(fsw/kHz)*kHz)*M1M2_calc*data!C358)/(7*Rsense*Vout_nom)</f>
        <v>0.3026883300126888</v>
      </c>
    </row>
    <row r="359" spans="1:4">
      <c r="A359" s="125">
        <v>77</v>
      </c>
      <c r="B359" s="125">
        <f t="shared" si="46"/>
        <v>-0.24868988716485477</v>
      </c>
      <c r="C359" s="125">
        <f>ABS(CALCULATIONS!C24*B359)</f>
        <v>58.442123483740872</v>
      </c>
      <c r="D359" s="125">
        <f>((1/(fsw/kHz)*kHz)*M1M2_calc*data!C359)/(7*Rsense*Vout_nom)</f>
        <v>0.60060308424383868</v>
      </c>
    </row>
    <row r="360" spans="1:4">
      <c r="A360" s="125">
        <v>78</v>
      </c>
      <c r="B360" s="125">
        <f t="shared" si="46"/>
        <v>-0.36812455268467725</v>
      </c>
      <c r="C360" s="125">
        <f>ABS(CALCULATIONS!C24*B360)</f>
        <v>86.509269880899154</v>
      </c>
      <c r="D360" s="125">
        <f>((1/(fsw/kHz)*kHz)*M1M2_calc*data!C360)/(7*Rsense*Vout_nom)</f>
        <v>0.88904596905356736</v>
      </c>
    </row>
    <row r="361" spans="1:4">
      <c r="A361" s="125">
        <v>79</v>
      </c>
      <c r="B361" s="125">
        <f t="shared" si="46"/>
        <v>-0.48175367410171555</v>
      </c>
      <c r="C361" s="125">
        <f>ABS(CALCULATIONS!C24*B361)</f>
        <v>113.21211341390315</v>
      </c>
      <c r="D361" s="125">
        <f>((1/(fsw/kHz)*kHz)*M1M2_calc*data!C361)/(7*Rsense*Vout_nom)</f>
        <v>1.1634680678410063</v>
      </c>
    </row>
    <row r="362" spans="1:4">
      <c r="A362" s="125">
        <v>80</v>
      </c>
      <c r="B362" s="125">
        <f t="shared" si="46"/>
        <v>-0.5877852522924728</v>
      </c>
      <c r="C362" s="125">
        <f>ABS(CALCULATIONS!C24*B362)</f>
        <v>138.12953428873112</v>
      </c>
      <c r="D362" s="125">
        <f>((1/(fsw/kHz)*kHz)*M1M2_calc*data!C362)/(7*Rsense*Vout_nom)</f>
        <v>1.4195415801764542</v>
      </c>
    </row>
    <row r="363" spans="1:4">
      <c r="A363" s="125">
        <v>81</v>
      </c>
      <c r="B363" s="125">
        <f t="shared" si="46"/>
        <v>-0.68454710592868784</v>
      </c>
      <c r="C363" s="125">
        <f>ABS(CALCULATIONS!C24*B363)</f>
        <v>160.86856989324164</v>
      </c>
      <c r="D363" s="125">
        <f>((1/(fsw/kHz)*kHz)*M1M2_calc*data!C363)/(7*Rsense*Vout_nom)</f>
        <v>1.6532280737994831</v>
      </c>
    </row>
    <row r="364" spans="1:4">
      <c r="A364" s="125">
        <v>82</v>
      </c>
      <c r="B364" s="125">
        <f t="shared" si="46"/>
        <v>-0.77051324277578803</v>
      </c>
      <c r="C364" s="125">
        <f>ABS(CALCULATIONS!C24*B364)</f>
        <v>181.0706120523102</v>
      </c>
      <c r="D364" s="125">
        <f>((1/(fsw/kHz)*kHz)*M1M2_calc*data!C364)/(7*Rsense*Vout_nom)</f>
        <v>1.8608421731081137</v>
      </c>
    </row>
    <row r="365" spans="1:4">
      <c r="A365" s="125">
        <v>83</v>
      </c>
      <c r="B365" s="125">
        <f t="shared" si="46"/>
        <v>-0.84432792550201563</v>
      </c>
      <c r="C365" s="125">
        <f>ABS(CALCULATIONS!C24*B365)</f>
        <v>198.41706249297368</v>
      </c>
      <c r="D365" s="125">
        <f>((1/(fsw/kHz)*kHz)*M1M2_calc*data!C365)/(7*Rsense*Vout_nom)</f>
        <v>2.0391096797336021</v>
      </c>
    </row>
    <row r="366" spans="1:4">
      <c r="A366" s="125">
        <v>84</v>
      </c>
      <c r="B366" s="125">
        <f t="shared" si="46"/>
        <v>-0.90482705246601969</v>
      </c>
      <c r="C366" s="125">
        <f>ABS(CALCULATIONS!C24*B366)</f>
        <v>212.63435732951461</v>
      </c>
      <c r="D366" s="125">
        <f>((1/(fsw/kHz)*kHz)*M1M2_calc*data!C366)/(7*Rsense*Vout_nom)</f>
        <v>2.1852192086046074</v>
      </c>
    </row>
    <row r="367" spans="1:4">
      <c r="A367" s="125">
        <v>85</v>
      </c>
      <c r="B367" s="125">
        <f t="shared" si="46"/>
        <v>-0.95105651629515342</v>
      </c>
      <c r="C367" s="125">
        <f>ABS(CALCULATIONS!C24*B367)</f>
        <v>223.49828132936105</v>
      </c>
      <c r="D367" s="125">
        <f>((1/(fsw/kHz)*kHz)*M1M2_calc*data!C367)/(7*Rsense*Vout_nom)</f>
        <v>2.2968665251692375</v>
      </c>
    </row>
    <row r="368" spans="1:4">
      <c r="A368" s="125">
        <v>86</v>
      </c>
      <c r="B368" s="125">
        <f t="shared" si="46"/>
        <v>-0.9822872507286885</v>
      </c>
      <c r="C368" s="125">
        <f>ABS(CALCULATIONS!C24*B368)</f>
        <v>230.83750392124179</v>
      </c>
      <c r="D368" s="125">
        <f>((1/(fsw/kHz)*kHz)*M1M2_calc*data!C368)/(7*Rsense*Vout_nom)</f>
        <v>2.3722908845503947</v>
      </c>
    </row>
    <row r="369" spans="1:4">
      <c r="A369" s="125">
        <v>87</v>
      </c>
      <c r="B369" s="125">
        <f t="shared" si="46"/>
        <v>-0.99802672842827145</v>
      </c>
      <c r="C369" s="125">
        <f>ABS(CALCULATIONS!C24*B369)</f>
        <v>234.53628118064378</v>
      </c>
      <c r="D369" s="125">
        <f>((1/(fsw/kHz)*kHz)*M1M2_calc*data!C369)/(7*Rsense*Vout_nom)</f>
        <v>2.4103027995443091</v>
      </c>
    </row>
    <row r="370" spans="1:4">
      <c r="A370" s="125">
        <v>88</v>
      </c>
      <c r="B370" s="125">
        <f t="shared" si="46"/>
        <v>-0.99802672842827156</v>
      </c>
      <c r="C370" s="125">
        <f>ABS(CALCULATIONS!C24*B370)</f>
        <v>234.53628118064381</v>
      </c>
      <c r="D370" s="125">
        <f>((1/(fsw/kHz)*kHz)*M1M2_calc*data!C370)/(7*Rsense*Vout_nom)</f>
        <v>2.4103027995443091</v>
      </c>
    </row>
    <row r="371" spans="1:4">
      <c r="A371" s="125">
        <v>89</v>
      </c>
      <c r="B371" s="125">
        <f t="shared" si="46"/>
        <v>-0.98228725072868861</v>
      </c>
      <c r="C371" s="125">
        <f>ABS(CALCULATIONS!C24*B371)</f>
        <v>230.83750392124182</v>
      </c>
      <c r="D371" s="125">
        <f>((1/(fsw/kHz)*kHz)*M1M2_calc*data!C371)/(7*Rsense*Vout_nom)</f>
        <v>2.3722908845503952</v>
      </c>
    </row>
    <row r="372" spans="1:4">
      <c r="A372" s="125">
        <v>90</v>
      </c>
      <c r="B372" s="125">
        <f t="shared" si="46"/>
        <v>-0.95105651629515375</v>
      </c>
      <c r="C372" s="125">
        <f>ABS(CALCULATIONS!C24*B372)</f>
        <v>223.49828132936113</v>
      </c>
      <c r="D372" s="125">
        <f>((1/(fsw/kHz)*kHz)*M1M2_calc*data!C372)/(7*Rsense*Vout_nom)</f>
        <v>2.2968665251692384</v>
      </c>
    </row>
    <row r="373" spans="1:4">
      <c r="A373" s="125">
        <v>91</v>
      </c>
      <c r="B373" s="125">
        <f t="shared" si="46"/>
        <v>-0.90482705246602002</v>
      </c>
      <c r="C373" s="125">
        <f>ABS(CALCULATIONS!C24*B373)</f>
        <v>212.6343573295147</v>
      </c>
      <c r="D373" s="125">
        <f>((1/(fsw/kHz)*kHz)*M1M2_calc*data!C373)/(7*Rsense*Vout_nom)</f>
        <v>2.1852192086046083</v>
      </c>
    </row>
    <row r="374" spans="1:4">
      <c r="A374" s="125">
        <v>92</v>
      </c>
      <c r="B374" s="125">
        <f t="shared" si="46"/>
        <v>-0.84432792550201607</v>
      </c>
      <c r="C374" s="125">
        <f>ABS(CALCULATIONS!C24*B374)</f>
        <v>198.41706249297377</v>
      </c>
      <c r="D374" s="125">
        <f>((1/(fsw/kHz)*kHz)*M1M2_calc*data!C374)/(7*Rsense*Vout_nom)</f>
        <v>2.039109679733603</v>
      </c>
    </row>
    <row r="375" spans="1:4">
      <c r="A375" s="125">
        <v>93</v>
      </c>
      <c r="B375" s="125">
        <f t="shared" si="46"/>
        <v>-0.7705132427757897</v>
      </c>
      <c r="C375" s="125">
        <f>ABS(CALCULATIONS!C24*B375)</f>
        <v>181.07061205231057</v>
      </c>
      <c r="D375" s="125">
        <f>((1/(fsw/kHz)*kHz)*M1M2_calc*data!C375)/(7*Rsense*Vout_nom)</f>
        <v>1.8608421731081175</v>
      </c>
    </row>
    <row r="376" spans="1:4">
      <c r="A376" s="125">
        <v>94</v>
      </c>
      <c r="B376" s="125">
        <f t="shared" si="46"/>
        <v>-0.6845471059286885</v>
      </c>
      <c r="C376" s="125">
        <f>ABS(CALCULATIONS!C24*B376)</f>
        <v>160.86856989324181</v>
      </c>
      <c r="D376" s="125">
        <f>((1/(fsw/kHz)*kHz)*M1M2_calc*data!C376)/(7*Rsense*Vout_nom)</f>
        <v>1.6532280737994847</v>
      </c>
    </row>
    <row r="377" spans="1:4">
      <c r="A377" s="125">
        <v>95</v>
      </c>
      <c r="B377" s="125">
        <f t="shared" si="46"/>
        <v>-0.58778525229247347</v>
      </c>
      <c r="C377" s="125">
        <f>ABS(CALCULATIONS!C24*B377)</f>
        <v>138.12953428873126</v>
      </c>
      <c r="D377" s="125">
        <f>((1/(fsw/kHz)*kHz)*M1M2_calc*data!C377)/(7*Rsense*Vout_nom)</f>
        <v>1.4195415801764557</v>
      </c>
    </row>
    <row r="378" spans="1:4">
      <c r="A378" s="125">
        <v>96</v>
      </c>
      <c r="B378" s="125">
        <f t="shared" si="46"/>
        <v>-0.48175367410171632</v>
      </c>
      <c r="C378" s="125">
        <f>ABS(CALCULATIONS!C24*B378)</f>
        <v>113.21211341390334</v>
      </c>
      <c r="D378" s="125">
        <f>((1/(fsw/kHz)*kHz)*M1M2_calc*data!C378)/(7*Rsense*Vout_nom)</f>
        <v>1.1634680678410083</v>
      </c>
    </row>
    <row r="379" spans="1:4">
      <c r="A379" s="125">
        <v>97</v>
      </c>
      <c r="B379" s="125">
        <f t="shared" si="46"/>
        <v>-0.36812455268467809</v>
      </c>
      <c r="C379" s="125">
        <f>ABS(CALCULATIONS!C24*B379)</f>
        <v>86.509269880899353</v>
      </c>
      <c r="D379" s="125">
        <f>((1/(fsw/kHz)*kHz)*M1M2_calc*data!C379)/(7*Rsense*Vout_nom)</f>
        <v>0.88904596905356936</v>
      </c>
    </row>
    <row r="380" spans="1:4">
      <c r="A380" s="125">
        <v>98</v>
      </c>
      <c r="B380" s="125">
        <f t="shared" si="46"/>
        <v>-0.2486898871648556</v>
      </c>
      <c r="C380" s="125">
        <f>ABS(CALCULATIONS!C24*B380)</f>
        <v>58.442123483741064</v>
      </c>
      <c r="D380" s="125">
        <f>((1/(fsw/kHz)*kHz)*M1M2_calc*data!C380)/(7*Rsense*Vout_nom)</f>
        <v>0.60060308424384068</v>
      </c>
    </row>
    <row r="381" spans="1:4">
      <c r="A381" s="125">
        <v>99</v>
      </c>
      <c r="B381" s="125">
        <f t="shared" si="46"/>
        <v>-0.12533323356430401</v>
      </c>
      <c r="C381" s="125">
        <f>ABS(CALCULATIONS!C24*B381)</f>
        <v>29.453309887611443</v>
      </c>
      <c r="D381" s="125">
        <f>((1/(fsw/kHz)*kHz)*M1M2_calc*data!C381)/(7*Rsense*Vout_nom)</f>
        <v>0.30268833001269074</v>
      </c>
    </row>
    <row r="382" spans="1:4">
      <c r="A382" s="125">
        <v>100</v>
      </c>
      <c r="B382" s="125">
        <f t="shared" si="46"/>
        <v>-4.90059381963448E-16</v>
      </c>
      <c r="C382" s="125">
        <f>ABS(CALCULATIONS!C24*B382)</f>
        <v>1.1516395476141028E-13</v>
      </c>
      <c r="D382" s="125">
        <f>((1/(fsw/kHz)*kHz)*M1M2_calc*data!C382)/(7*Rsense*Vout_nom)</f>
        <v>1.183526920315687E-15</v>
      </c>
    </row>
  </sheetData>
  <sheetProtection password="E59D" sheet="1" objects="1" scenarios="1"/>
  <mergeCells count="13">
    <mergeCell ref="P202:Q202"/>
    <mergeCell ref="R202:T202"/>
    <mergeCell ref="M203:N203"/>
    <mergeCell ref="A271:D271"/>
    <mergeCell ref="A201:F201"/>
    <mergeCell ref="A30:D30"/>
    <mergeCell ref="K203:L203"/>
    <mergeCell ref="G201:O201"/>
    <mergeCell ref="A202:A204"/>
    <mergeCell ref="D203:E203"/>
    <mergeCell ref="G202:G204"/>
    <mergeCell ref="O202:O203"/>
    <mergeCell ref="G75:H75"/>
  </mergeCells>
  <phoneticPr fontId="6" type="noConversion"/>
  <pageMargins left="0.75" right="0.75" top="1" bottom="1" header="0.5" footer="0.5"/>
  <pageSetup orientation="portrait" r:id="rId1"/>
  <headerFooter alignWithMargins="0"/>
  <ignoredErrors>
    <ignoredError sqref="R205 C22 M205:M206 M207:M223 M224:M253 M254:M265 R206:R2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189</vt:i4>
      </vt:variant>
    </vt:vector>
  </HeadingPairs>
  <TitlesOfParts>
    <vt:vector size="193" baseType="lpstr">
      <vt:lpstr>INSTRUCTIONS READ ME FIRST!</vt:lpstr>
      <vt:lpstr>CALCULATIONS</vt:lpstr>
      <vt:lpstr>SCHEMATIC</vt:lpstr>
      <vt:lpstr>data</vt:lpstr>
      <vt:lpstr>_Rfb1</vt:lpstr>
      <vt:lpstr>_Rfb2</vt:lpstr>
      <vt:lpstr>a_1</vt:lpstr>
      <vt:lpstr>a_2</vt:lpstr>
      <vt:lpstr>a_3</vt:lpstr>
      <vt:lpstr>b_1</vt:lpstr>
      <vt:lpstr>b_2</vt:lpstr>
      <vt:lpstr>b_3</vt:lpstr>
      <vt:lpstr>c_1</vt:lpstr>
      <vt:lpstr>c_2</vt:lpstr>
      <vt:lpstr>Cicomp</vt:lpstr>
      <vt:lpstr>Cin</vt:lpstr>
      <vt:lpstr>Cisense</vt:lpstr>
      <vt:lpstr>Coss</vt:lpstr>
      <vt:lpstr>Cout</vt:lpstr>
      <vt:lpstr>Cvcomp</vt:lpstr>
      <vt:lpstr>Cvcomp_p</vt:lpstr>
      <vt:lpstr>Cvins</vt:lpstr>
      <vt:lpstr>Cvins_hu</vt:lpstr>
      <vt:lpstr>Cvsense</vt:lpstr>
      <vt:lpstr>d_1</vt:lpstr>
      <vt:lpstr>d_2</vt:lpstr>
      <vt:lpstr>delta_Rfb1</vt:lpstr>
      <vt:lpstr>delta_Rfb2</vt:lpstr>
      <vt:lpstr>Dmax</vt:lpstr>
      <vt:lpstr>e_1</vt:lpstr>
      <vt:lpstr>e_2</vt:lpstr>
      <vt:lpstr>eff</vt:lpstr>
      <vt:lpstr>f_1</vt:lpstr>
      <vt:lpstr>f_2</vt:lpstr>
      <vt:lpstr>f_Iavg</vt:lpstr>
      <vt:lpstr>f_iavgactual</vt:lpstr>
      <vt:lpstr>fline_max</vt:lpstr>
      <vt:lpstr>fline_min</vt:lpstr>
      <vt:lpstr>fline_nom</vt:lpstr>
      <vt:lpstr>fpole</vt:lpstr>
      <vt:lpstr>fPWM_PSpole</vt:lpstr>
      <vt:lpstr>fsw</vt:lpstr>
      <vt:lpstr>fv</vt:lpstr>
      <vt:lpstr>fzero</vt:lpstr>
      <vt:lpstr>g_1</vt:lpstr>
      <vt:lpstr>g_2</vt:lpstr>
      <vt:lpstr>g_mi</vt:lpstr>
      <vt:lpstr>g_mv</vt:lpstr>
      <vt:lpstr>GVL_dB</vt:lpstr>
      <vt:lpstr>HU_rqment</vt:lpstr>
      <vt:lpstr>I_Lpeak</vt:lpstr>
      <vt:lpstr>Ibridge</vt:lpstr>
      <vt:lpstr>Icout_2fline</vt:lpstr>
      <vt:lpstr>Icout_HF</vt:lpstr>
      <vt:lpstr>Icout_rms</vt:lpstr>
      <vt:lpstr>Ids_rms</vt:lpstr>
      <vt:lpstr>Ifuse</vt:lpstr>
      <vt:lpstr>Iin_avg_max</vt:lpstr>
      <vt:lpstr>Iin_peak_max</vt:lpstr>
      <vt:lpstr>Iin_rms_max</vt:lpstr>
      <vt:lpstr>Iinrush</vt:lpstr>
      <vt:lpstr>IISENSE</vt:lpstr>
      <vt:lpstr>Il_peak_actual</vt:lpstr>
      <vt:lpstr>Iout</vt:lpstr>
      <vt:lpstr>Iout_OC</vt:lpstr>
      <vt:lpstr>Ipcl</vt:lpstr>
      <vt:lpstr>Iripple</vt:lpstr>
      <vt:lpstr>Iripple_actual</vt:lpstr>
      <vt:lpstr>Isoc</vt:lpstr>
      <vt:lpstr>Ivins</vt:lpstr>
      <vt:lpstr>K_1</vt:lpstr>
      <vt:lpstr>K_fq</vt:lpstr>
      <vt:lpstr>kHz</vt:lpstr>
      <vt:lpstr>kOhm</vt:lpstr>
      <vt:lpstr>L_I_ripple_factor</vt:lpstr>
      <vt:lpstr>Lbst</vt:lpstr>
      <vt:lpstr>M_1</vt:lpstr>
      <vt:lpstr>M_2</vt:lpstr>
      <vt:lpstr>M_3</vt:lpstr>
      <vt:lpstr>M1M2_calc</vt:lpstr>
      <vt:lpstr>mA</vt:lpstr>
      <vt:lpstr>MegOhm</vt:lpstr>
      <vt:lpstr>mH</vt:lpstr>
      <vt:lpstr>MHz</vt:lpstr>
      <vt:lpstr>mOhm</vt:lpstr>
      <vt:lpstr>ms</vt:lpstr>
      <vt:lpstr>mSiemens</vt:lpstr>
      <vt:lpstr>mV</vt:lpstr>
      <vt:lpstr>mW</vt:lpstr>
      <vt:lpstr>nC</vt:lpstr>
      <vt:lpstr>Ndropout</vt:lpstr>
      <vt:lpstr>nF</vt:lpstr>
      <vt:lpstr>Nibop</vt:lpstr>
      <vt:lpstr>Ninput_hup</vt:lpstr>
      <vt:lpstr>ns</vt:lpstr>
      <vt:lpstr>P_FET</vt:lpstr>
      <vt:lpstr>P_FETcond</vt:lpstr>
      <vt:lpstr>P_FETgate</vt:lpstr>
      <vt:lpstr>P_FETsw</vt:lpstr>
      <vt:lpstr>P_Rsense</vt:lpstr>
      <vt:lpstr>P_rvins</vt:lpstr>
      <vt:lpstr>P_rvins1</vt:lpstr>
      <vt:lpstr>Pbridge</vt:lpstr>
      <vt:lpstr>Pdiode</vt:lpstr>
      <vt:lpstr>Pdiode_cond</vt:lpstr>
      <vt:lpstr>Pdiode_reverse</vt:lpstr>
      <vt:lpstr>Pdivider</vt:lpstr>
      <vt:lpstr>PF</vt:lpstr>
      <vt:lpstr>picoF</vt:lpstr>
      <vt:lpstr>Pin_max</vt:lpstr>
      <vt:lpstr>Pout</vt:lpstr>
      <vt:lpstr>CALCULATIONS!Print_Area</vt:lpstr>
      <vt:lpstr>Prsense</vt:lpstr>
      <vt:lpstr>Pvins</vt:lpstr>
      <vt:lpstr>Qg</vt:lpstr>
      <vt:lpstr>Qrr</vt:lpstr>
      <vt:lpstr>Rds_on</vt:lpstr>
      <vt:lpstr>Rfb1_tempco</vt:lpstr>
      <vt:lpstr>Rfb2_tempco</vt:lpstr>
      <vt:lpstr>Risense</vt:lpstr>
      <vt:lpstr>Risense_actual</vt:lpstr>
      <vt:lpstr>Rjc_bridge</vt:lpstr>
      <vt:lpstr>Rsense</vt:lpstr>
      <vt:lpstr>Rth_case_hs</vt:lpstr>
      <vt:lpstr>Rth_diode</vt:lpstr>
      <vt:lpstr>Rth_hs_bridge</vt:lpstr>
      <vt:lpstr>Rth_hs_diode</vt:lpstr>
      <vt:lpstr>Rth_hs_FET</vt:lpstr>
      <vt:lpstr>Rth_jc_FET</vt:lpstr>
      <vt:lpstr>Rtherm</vt:lpstr>
      <vt:lpstr>Rvcomp</vt:lpstr>
      <vt:lpstr>Rvins1</vt:lpstr>
      <vt:lpstr>Rvins2</vt:lpstr>
      <vt:lpstr>t_dropout_hu</vt:lpstr>
      <vt:lpstr>t_RFB2Cvsense</vt:lpstr>
      <vt:lpstr>Tamb</vt:lpstr>
      <vt:lpstr>tf_FET</vt:lpstr>
      <vt:lpstr>tinput_hu</vt:lpstr>
      <vt:lpstr>Tj_bridge</vt:lpstr>
      <vt:lpstr>Tj_diode</vt:lpstr>
      <vt:lpstr>Tj_FET</vt:lpstr>
      <vt:lpstr>tr_FET</vt:lpstr>
      <vt:lpstr>uA</vt:lpstr>
      <vt:lpstr>uC</vt:lpstr>
      <vt:lpstr>uF</vt:lpstr>
      <vt:lpstr>uH</vt:lpstr>
      <vt:lpstr>us</vt:lpstr>
      <vt:lpstr>uSiemens</vt:lpstr>
      <vt:lpstr>V_ripplefactor</vt:lpstr>
      <vt:lpstr>Vac_off</vt:lpstr>
      <vt:lpstr>Vac_on</vt:lpstr>
      <vt:lpstr>Vacin_max</vt:lpstr>
      <vt:lpstr>Vacin_min</vt:lpstr>
      <vt:lpstr>Vacoff_desired</vt:lpstr>
      <vt:lpstr>VCC</vt:lpstr>
      <vt:lpstr>Vcomp</vt:lpstr>
      <vt:lpstr>VCOMP1</vt:lpstr>
      <vt:lpstr>VCOMP2</vt:lpstr>
      <vt:lpstr>VCOMP3</vt:lpstr>
      <vt:lpstr>VCOMP4</vt:lpstr>
      <vt:lpstr>Vf</vt:lpstr>
      <vt:lpstr>Vf_bridge</vt:lpstr>
      <vt:lpstr>Vgs</vt:lpstr>
      <vt:lpstr>Vin_max</vt:lpstr>
      <vt:lpstr>Vin_min</vt:lpstr>
      <vt:lpstr>Vin_nom</vt:lpstr>
      <vt:lpstr>Vin_rect_max</vt:lpstr>
      <vt:lpstr>Vin_rect_min</vt:lpstr>
      <vt:lpstr>Vin_ripple</vt:lpstr>
      <vt:lpstr>VINnom</vt:lpstr>
      <vt:lpstr>Vins_brnmax</vt:lpstr>
      <vt:lpstr>Vins_brnmin</vt:lpstr>
      <vt:lpstr>Vins_brnnom</vt:lpstr>
      <vt:lpstr>Vins_enmax</vt:lpstr>
      <vt:lpstr>Vins_enmin</vt:lpstr>
      <vt:lpstr>Vins_ennom</vt:lpstr>
      <vt:lpstr>Visense_soc</vt:lpstr>
      <vt:lpstr>Vout</vt:lpstr>
      <vt:lpstr>Vout_holdup</vt:lpstr>
      <vt:lpstr>Vout_max</vt:lpstr>
      <vt:lpstr>Vout_min</vt:lpstr>
      <vt:lpstr>Vout_nom</vt:lpstr>
      <vt:lpstr>Vout_ripplepp</vt:lpstr>
      <vt:lpstr>Vovp</vt:lpstr>
      <vt:lpstr>Vpcl_max</vt:lpstr>
      <vt:lpstr>Vref</vt:lpstr>
      <vt:lpstr>Vref_ovp</vt:lpstr>
      <vt:lpstr>Vref_ovpmax</vt:lpstr>
      <vt:lpstr>Vref_ovpmin</vt:lpstr>
      <vt:lpstr>Vref_uvd</vt:lpstr>
      <vt:lpstr>Vref_uvdmax</vt:lpstr>
      <vt:lpstr>Vref_uvdmin</vt:lpstr>
      <vt:lpstr>Vuvd</vt:lpstr>
    </vt:vector>
  </TitlesOfParts>
  <Company>Texas Instruments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 User</dc:creator>
  <cp:lastModifiedBy>LENOVO</cp:lastModifiedBy>
  <cp:lastPrinted>2008-11-18T20:12:00Z</cp:lastPrinted>
  <dcterms:created xsi:type="dcterms:W3CDTF">2006-09-26T18:05:02Z</dcterms:created>
  <dcterms:modified xsi:type="dcterms:W3CDTF">2022-07-13T12:03:39Z</dcterms:modified>
</cp:coreProperties>
</file>