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6" yWindow="0" windowWidth="15696" windowHeight="7620"/>
  </bookViews>
  <sheets>
    <sheet name="Sheet1" sheetId="1" r:id="rId1"/>
    <sheet name="Limits" sheetId="2" r:id="rId2"/>
    <sheet name="Note!" sheetId="3" r:id="rId3"/>
  </sheets>
  <definedNames>
    <definedName name="Class">Limits!$E$2</definedName>
    <definedName name="Maximum">Sheet1!#REF!</definedName>
    <definedName name="Minimum">Sheet1!#REF!</definedName>
    <definedName name="PD_Class">Sheet1!$B$13</definedName>
    <definedName name="PD_Class_AMDI">Sheet1!$B$36</definedName>
    <definedName name="PD_Class_BMDI">Sheet1!$B$59</definedName>
    <definedName name="PD_Class_BMDIX">Sheet1!$B$82</definedName>
    <definedName name="_xlnm.Print_Area" localSheetId="2">'Note!'!$A$1:$D$27</definedName>
    <definedName name="_xlnm.Print_Area" localSheetId="0">Sheet1!$A$1:$H$124</definedName>
    <definedName name="Quadrants">Sheet1!$B$4</definedName>
    <definedName name="Test_Limits">Limits!$B$5:$F$27</definedName>
    <definedName name="TestCycles">Sheet1!$B$3</definedName>
    <definedName name="Time">Sheet1!$B$2</definedName>
    <definedName name="Vport_1">Limits!$C$30</definedName>
    <definedName name="Vport_2">Limits!$D$30</definedName>
  </definedNames>
  <calcPr calcId="145621"/>
</workbook>
</file>

<file path=xl/calcChain.xml><?xml version="1.0" encoding="utf-8"?>
<calcChain xmlns="http://schemas.openxmlformats.org/spreadsheetml/2006/main">
  <c r="D13" i="2" l="1"/>
  <c r="E2" i="2"/>
  <c r="C21" i="2"/>
  <c r="B7" i="1"/>
  <c r="C10" i="1"/>
  <c r="D10" i="1"/>
  <c r="F10" i="1"/>
  <c r="G10" i="1" s="1"/>
  <c r="C11" i="1"/>
  <c r="D11" i="1"/>
  <c r="E11" i="1" s="1"/>
  <c r="F11" i="1"/>
  <c r="G11" i="1" s="1"/>
  <c r="C12" i="1"/>
  <c r="C13" i="1"/>
  <c r="D13" i="1"/>
  <c r="E13" i="1" s="1"/>
  <c r="F13" i="1"/>
  <c r="G13" i="1" s="1"/>
  <c r="C14" i="1"/>
  <c r="D14" i="1"/>
  <c r="E14" i="1" s="1"/>
  <c r="F14" i="1"/>
  <c r="G14" i="1" s="1"/>
  <c r="C15" i="1"/>
  <c r="D15" i="1"/>
  <c r="E15" i="1" s="1"/>
  <c r="F15" i="1"/>
  <c r="G15" i="1" s="1"/>
  <c r="C16" i="1"/>
  <c r="D16" i="1"/>
  <c r="E16" i="1" s="1"/>
  <c r="C17" i="1"/>
  <c r="D17" i="1"/>
  <c r="E17" i="1" s="1"/>
  <c r="F17" i="1"/>
  <c r="G17" i="1" s="1"/>
  <c r="C19" i="1"/>
  <c r="D19" i="1"/>
  <c r="E19" i="1" s="1"/>
  <c r="C20" i="1"/>
  <c r="D20" i="1"/>
  <c r="E20" i="1" s="1"/>
  <c r="C21" i="1"/>
  <c r="D21" i="1"/>
  <c r="E21" i="1" s="1"/>
  <c r="C22" i="1"/>
  <c r="D22" i="1"/>
  <c r="E22" i="1" s="1"/>
  <c r="C23" i="1"/>
  <c r="D23" i="1"/>
  <c r="E23" i="1" s="1"/>
  <c r="C25" i="1"/>
  <c r="D25" i="1"/>
  <c r="E25" i="1" s="1"/>
  <c r="F25" i="1"/>
  <c r="G25" i="1" s="1"/>
  <c r="C26" i="1"/>
  <c r="D26" i="1"/>
  <c r="E26" i="1" s="1"/>
  <c r="C27" i="1"/>
  <c r="D27" i="1"/>
  <c r="E27" i="1" s="1"/>
  <c r="C28" i="1"/>
  <c r="D28" i="1"/>
  <c r="E28" i="1" s="1"/>
  <c r="C29" i="1"/>
  <c r="D29" i="1"/>
  <c r="E29" i="1" s="1"/>
  <c r="C30" i="1"/>
  <c r="D30" i="1"/>
  <c r="E30" i="1" s="1"/>
  <c r="C31" i="1"/>
  <c r="D31" i="1"/>
  <c r="E31" i="1" s="1"/>
  <c r="C33" i="1"/>
  <c r="D33" i="1"/>
  <c r="E33" i="1" s="1"/>
  <c r="F33" i="1"/>
  <c r="G33" i="1" s="1"/>
  <c r="C34" i="1"/>
  <c r="D34" i="1"/>
  <c r="E34" i="1" s="1"/>
  <c r="F34" i="1"/>
  <c r="G34" i="1" s="1"/>
  <c r="C35" i="1"/>
  <c r="C36" i="1"/>
  <c r="D36" i="1"/>
  <c r="E36" i="1" s="1"/>
  <c r="F36" i="1"/>
  <c r="G36" i="1" s="1"/>
  <c r="C37" i="1"/>
  <c r="D37" i="1"/>
  <c r="E37" i="1" s="1"/>
  <c r="F37" i="1"/>
  <c r="G37" i="1" s="1"/>
  <c r="C38" i="1"/>
  <c r="D38" i="1"/>
  <c r="E38" i="1" s="1"/>
  <c r="F38" i="1"/>
  <c r="G38" i="1" s="1"/>
  <c r="C39" i="1"/>
  <c r="D39" i="1"/>
  <c r="E39" i="1" s="1"/>
  <c r="C40" i="1"/>
  <c r="D40" i="1"/>
  <c r="E40" i="1" s="1"/>
  <c r="F40" i="1"/>
  <c r="G40" i="1" s="1"/>
  <c r="C42" i="1"/>
  <c r="D42" i="1"/>
  <c r="E42" i="1" s="1"/>
  <c r="C43" i="1"/>
  <c r="D43" i="1"/>
  <c r="E43" i="1" s="1"/>
  <c r="C44" i="1"/>
  <c r="D44" i="1"/>
  <c r="E44" i="1" s="1"/>
  <c r="C45" i="1"/>
  <c r="D45" i="1"/>
  <c r="E45" i="1" s="1"/>
  <c r="C46" i="1"/>
  <c r="D46" i="1"/>
  <c r="E46" i="1" s="1"/>
  <c r="C48" i="1"/>
  <c r="D48" i="1"/>
  <c r="E48" i="1" s="1"/>
  <c r="F48" i="1"/>
  <c r="G48" i="1" s="1"/>
  <c r="C49" i="1"/>
  <c r="D49" i="1"/>
  <c r="E49" i="1" s="1"/>
  <c r="C50" i="1"/>
  <c r="D50" i="1"/>
  <c r="E50" i="1" s="1"/>
  <c r="C51" i="1"/>
  <c r="D51" i="1"/>
  <c r="E51" i="1" s="1"/>
  <c r="C52" i="1"/>
  <c r="D52" i="1"/>
  <c r="E52" i="1" s="1"/>
  <c r="C53" i="1"/>
  <c r="D53" i="1"/>
  <c r="E53" i="1" s="1"/>
  <c r="C54" i="1"/>
  <c r="D54" i="1"/>
  <c r="E54" i="1" s="1"/>
  <c r="C56" i="1"/>
  <c r="D56" i="1"/>
  <c r="E56" i="1" s="1"/>
  <c r="F56" i="1"/>
  <c r="G56" i="1" s="1"/>
  <c r="C57" i="1"/>
  <c r="D57" i="1"/>
  <c r="E57" i="1" s="1"/>
  <c r="F57" i="1"/>
  <c r="G57" i="1" s="1"/>
  <c r="C58" i="1"/>
  <c r="C59" i="1"/>
  <c r="D59" i="1"/>
  <c r="E59" i="1" s="1"/>
  <c r="F59" i="1"/>
  <c r="G59" i="1" s="1"/>
  <c r="C60" i="1"/>
  <c r="D60" i="1"/>
  <c r="E60" i="1" s="1"/>
  <c r="F60" i="1"/>
  <c r="G60" i="1" s="1"/>
  <c r="C61" i="1"/>
  <c r="D61" i="1"/>
  <c r="E61" i="1" s="1"/>
  <c r="F61" i="1"/>
  <c r="G61" i="1" s="1"/>
  <c r="C62" i="1"/>
  <c r="D62" i="1"/>
  <c r="E62" i="1" s="1"/>
  <c r="C63" i="1"/>
  <c r="D63" i="1"/>
  <c r="E63" i="1" s="1"/>
  <c r="F63" i="1"/>
  <c r="G63" i="1" s="1"/>
  <c r="C65" i="1"/>
  <c r="D65" i="1"/>
  <c r="E65" i="1" s="1"/>
  <c r="C66" i="1"/>
  <c r="D66" i="1"/>
  <c r="E66" i="1" s="1"/>
  <c r="F66" i="1"/>
  <c r="G66" i="1" s="1"/>
  <c r="C67" i="1"/>
  <c r="D67" i="1"/>
  <c r="E67" i="1" s="1"/>
  <c r="C68" i="1"/>
  <c r="D68" i="1"/>
  <c r="E68" i="1" s="1"/>
  <c r="C69" i="1"/>
  <c r="D69" i="1"/>
  <c r="E69" i="1" s="1"/>
  <c r="C71" i="1"/>
  <c r="D71" i="1"/>
  <c r="E71" i="1" s="1"/>
  <c r="F71" i="1"/>
  <c r="G71" i="1" s="1"/>
  <c r="C72" i="1"/>
  <c r="D72" i="1"/>
  <c r="E72" i="1" s="1"/>
  <c r="C73" i="1"/>
  <c r="D73" i="1"/>
  <c r="E73" i="1" s="1"/>
  <c r="C74" i="1"/>
  <c r="D74" i="1"/>
  <c r="E74" i="1" s="1"/>
  <c r="C75" i="1"/>
  <c r="D75" i="1"/>
  <c r="E75" i="1" s="1"/>
  <c r="C76" i="1"/>
  <c r="D76" i="1"/>
  <c r="E76" i="1" s="1"/>
  <c r="C77" i="1"/>
  <c r="D77" i="1"/>
  <c r="E77" i="1" s="1"/>
  <c r="C79" i="1"/>
  <c r="D79" i="1"/>
  <c r="E79" i="1" s="1"/>
  <c r="F79" i="1"/>
  <c r="G79" i="1" s="1"/>
  <c r="C80" i="1"/>
  <c r="D80" i="1"/>
  <c r="E80" i="1" s="1"/>
  <c r="F80" i="1"/>
  <c r="G80" i="1" s="1"/>
  <c r="C81" i="1"/>
  <c r="C82" i="1"/>
  <c r="D82" i="1"/>
  <c r="E82" i="1" s="1"/>
  <c r="F82" i="1"/>
  <c r="G82" i="1" s="1"/>
  <c r="C83" i="1"/>
  <c r="D83" i="1"/>
  <c r="E83" i="1" s="1"/>
  <c r="F83" i="1"/>
  <c r="G83" i="1" s="1"/>
  <c r="C84" i="1"/>
  <c r="D84" i="1"/>
  <c r="E84" i="1" s="1"/>
  <c r="F84" i="1"/>
  <c r="G84" i="1" s="1"/>
  <c r="C85" i="1"/>
  <c r="D85" i="1"/>
  <c r="E85" i="1" s="1"/>
  <c r="C86" i="1"/>
  <c r="D86" i="1"/>
  <c r="E86" i="1" s="1"/>
  <c r="F86" i="1"/>
  <c r="G86" i="1" s="1"/>
  <c r="C88" i="1"/>
  <c r="D88" i="1"/>
  <c r="E88" i="1" s="1"/>
  <c r="F88" i="1"/>
  <c r="G88" i="1" s="1"/>
  <c r="C89" i="1"/>
  <c r="D89" i="1"/>
  <c r="E89" i="1" s="1"/>
  <c r="F89" i="1"/>
  <c r="G89" i="1" s="1"/>
  <c r="C90" i="1"/>
  <c r="D90" i="1"/>
  <c r="E90" i="1" s="1"/>
  <c r="F90" i="1"/>
  <c r="G90" i="1" s="1"/>
  <c r="C91" i="1"/>
  <c r="D91" i="1"/>
  <c r="E91" i="1" s="1"/>
  <c r="F91" i="1"/>
  <c r="G91" i="1" s="1"/>
  <c r="C92" i="1"/>
  <c r="D92" i="1"/>
  <c r="E92" i="1" s="1"/>
  <c r="F92" i="1"/>
  <c r="G92" i="1" s="1"/>
  <c r="C94" i="1"/>
  <c r="D94" i="1"/>
  <c r="E94" i="1" s="1"/>
  <c r="F94" i="1"/>
  <c r="G94" i="1" s="1"/>
  <c r="C95" i="1"/>
  <c r="D95" i="1"/>
  <c r="E95" i="1" s="1"/>
  <c r="F95" i="1"/>
  <c r="G95" i="1" s="1"/>
  <c r="C96" i="1"/>
  <c r="D96" i="1"/>
  <c r="E96" i="1" s="1"/>
  <c r="F96" i="1"/>
  <c r="G96" i="1" s="1"/>
  <c r="C97" i="1"/>
  <c r="D97" i="1"/>
  <c r="E97" i="1" s="1"/>
  <c r="F97" i="1"/>
  <c r="G97" i="1" s="1"/>
  <c r="C98" i="1"/>
  <c r="D98" i="1"/>
  <c r="E98" i="1" s="1"/>
  <c r="F98" i="1"/>
  <c r="G98" i="1" s="1"/>
  <c r="C99" i="1"/>
  <c r="D99" i="1"/>
  <c r="E99" i="1" s="1"/>
  <c r="F99" i="1"/>
  <c r="G99" i="1" s="1"/>
  <c r="C100" i="1"/>
  <c r="D100" i="1"/>
  <c r="E100" i="1" s="1"/>
  <c r="F100" i="1"/>
  <c r="G100" i="1" s="1"/>
  <c r="B102" i="1"/>
  <c r="B103" i="1"/>
  <c r="F103" i="1" s="1"/>
  <c r="G103" i="1" s="1"/>
  <c r="B104" i="1"/>
  <c r="B105" i="1"/>
  <c r="F105" i="1" s="1"/>
  <c r="G105" i="1" s="1"/>
  <c r="B106" i="1"/>
  <c r="C106" i="1" s="1"/>
  <c r="B107" i="1"/>
  <c r="C107" i="1" s="1"/>
  <c r="B108" i="1"/>
  <c r="D108" i="1" s="1"/>
  <c r="E108" i="1" s="1"/>
  <c r="B109" i="1"/>
  <c r="F109" i="1" s="1"/>
  <c r="G109" i="1" s="1"/>
  <c r="B111" i="1"/>
  <c r="F111" i="1" s="1"/>
  <c r="G111" i="1" s="1"/>
  <c r="B112" i="1"/>
  <c r="F112" i="1" s="1"/>
  <c r="G112" i="1" s="1"/>
  <c r="B113" i="1"/>
  <c r="C113" i="1" s="1"/>
  <c r="B114" i="1"/>
  <c r="D114" i="1" s="1"/>
  <c r="E114" i="1" s="1"/>
  <c r="B115" i="1"/>
  <c r="F115" i="1" s="1"/>
  <c r="G115" i="1" s="1"/>
  <c r="B117" i="1"/>
  <c r="B118" i="1"/>
  <c r="C118" i="1" s="1"/>
  <c r="B119" i="1"/>
  <c r="D119" i="1" s="1"/>
  <c r="E119" i="1" s="1"/>
  <c r="C119" i="1"/>
  <c r="B120" i="1"/>
  <c r="C120" i="1" s="1"/>
  <c r="B121" i="1"/>
  <c r="C121" i="1" s="1"/>
  <c r="B122" i="1"/>
  <c r="F122" i="1" s="1"/>
  <c r="G122" i="1" s="1"/>
  <c r="B123" i="1"/>
  <c r="C123" i="1" s="1"/>
  <c r="E10" i="1"/>
  <c r="D17" i="2"/>
  <c r="F21" i="1" s="1"/>
  <c r="G21" i="1" s="1"/>
  <c r="D16" i="2"/>
  <c r="F20" i="1" s="1"/>
  <c r="G20" i="1" s="1"/>
  <c r="C8" i="2"/>
  <c r="D12" i="1" s="1"/>
  <c r="E12" i="1" s="1"/>
  <c r="D81" i="1" l="1"/>
  <c r="E81" i="1" s="1"/>
  <c r="D109" i="1"/>
  <c r="E109" i="1" s="1"/>
  <c r="F67" i="1"/>
  <c r="G67" i="1" s="1"/>
  <c r="F44" i="1"/>
  <c r="G44" i="1" s="1"/>
  <c r="D58" i="1"/>
  <c r="E58" i="1" s="1"/>
  <c r="F43" i="1"/>
  <c r="G43" i="1" s="1"/>
  <c r="F113" i="1"/>
  <c r="G113" i="1" s="1"/>
  <c r="D104" i="1"/>
  <c r="E104" i="1" s="1"/>
  <c r="C109" i="1"/>
  <c r="D35" i="1"/>
  <c r="E35" i="1" s="1"/>
  <c r="D113" i="1"/>
  <c r="E113" i="1" s="1"/>
  <c r="D103" i="1"/>
  <c r="E103" i="1" s="1"/>
  <c r="C103" i="1"/>
  <c r="D122" i="1"/>
  <c r="E122" i="1" s="1"/>
  <c r="F119" i="1"/>
  <c r="G119" i="1" s="1"/>
  <c r="C115" i="1"/>
  <c r="F107" i="1"/>
  <c r="G107" i="1" s="1"/>
  <c r="F106" i="1"/>
  <c r="G106" i="1" s="1"/>
  <c r="D105" i="1"/>
  <c r="E105" i="1" s="1"/>
  <c r="C104" i="1"/>
  <c r="D107" i="1"/>
  <c r="E107" i="1" s="1"/>
  <c r="D106" i="1"/>
  <c r="E106" i="1" s="1"/>
  <c r="C108" i="1"/>
  <c r="F121" i="1"/>
  <c r="G121" i="1" s="1"/>
  <c r="F117" i="1"/>
  <c r="G117" i="1" s="1"/>
  <c r="D117" i="1"/>
  <c r="E117" i="1" s="1"/>
  <c r="C102" i="1"/>
  <c r="D102" i="1"/>
  <c r="E102" i="1" s="1"/>
  <c r="D24" i="2"/>
  <c r="F74" i="1" s="1"/>
  <c r="G74" i="1" s="1"/>
  <c r="D22" i="2"/>
  <c r="F72" i="1" s="1"/>
  <c r="G72" i="1" s="1"/>
  <c r="D15" i="2"/>
  <c r="F65" i="1" s="1"/>
  <c r="G65" i="1" s="1"/>
  <c r="D18" i="2"/>
  <c r="D26" i="2"/>
  <c r="D121" i="1"/>
  <c r="E121" i="1" s="1"/>
  <c r="D25" i="2"/>
  <c r="F75" i="1" s="1"/>
  <c r="G75" i="1" s="1"/>
  <c r="D8" i="2"/>
  <c r="F104" i="1" s="1"/>
  <c r="G104" i="1" s="1"/>
  <c r="D12" i="2"/>
  <c r="F123" i="1"/>
  <c r="G123" i="1" s="1"/>
  <c r="D123" i="1"/>
  <c r="E123" i="1" s="1"/>
  <c r="C122" i="1"/>
  <c r="D115" i="1"/>
  <c r="E115" i="1" s="1"/>
  <c r="C114" i="1"/>
  <c r="D112" i="1"/>
  <c r="E112" i="1" s="1"/>
  <c r="D111" i="1"/>
  <c r="E111" i="1" s="1"/>
  <c r="D23" i="2"/>
  <c r="F73" i="1" s="1"/>
  <c r="G73" i="1" s="1"/>
  <c r="D118" i="1"/>
  <c r="E118" i="1" s="1"/>
  <c r="F118" i="1"/>
  <c r="G118" i="1" s="1"/>
  <c r="C117" i="1"/>
  <c r="F114" i="1"/>
  <c r="G114" i="1" s="1"/>
  <c r="C112" i="1"/>
  <c r="C111" i="1"/>
  <c r="C105" i="1"/>
  <c r="F102" i="1"/>
  <c r="G102" i="1" s="1"/>
  <c r="F120" i="1"/>
  <c r="G120" i="1" s="1"/>
  <c r="D120" i="1"/>
  <c r="E120" i="1" s="1"/>
  <c r="F62" i="1" l="1"/>
  <c r="G62" i="1" s="1"/>
  <c r="F85" i="1"/>
  <c r="G85" i="1" s="1"/>
  <c r="F53" i="1"/>
  <c r="G53" i="1" s="1"/>
  <c r="F76" i="1"/>
  <c r="G76" i="1" s="1"/>
  <c r="F58" i="1"/>
  <c r="G58" i="1" s="1"/>
  <c r="F81" i="1"/>
  <c r="G81" i="1" s="1"/>
  <c r="F45" i="1"/>
  <c r="G45" i="1" s="1"/>
  <c r="F68" i="1"/>
  <c r="G68" i="1" s="1"/>
  <c r="F108" i="1"/>
  <c r="G108" i="1" s="1"/>
  <c r="F19" i="1"/>
  <c r="G19" i="1" s="1"/>
  <c r="F42" i="1"/>
  <c r="G42" i="1" s="1"/>
  <c r="F26" i="1"/>
  <c r="G26" i="1" s="1"/>
  <c r="F49" i="1"/>
  <c r="G49" i="1" s="1"/>
  <c r="F28" i="1"/>
  <c r="G28" i="1" s="1"/>
  <c r="F51" i="1"/>
  <c r="G51" i="1" s="1"/>
  <c r="F27" i="1"/>
  <c r="G27" i="1" s="1"/>
  <c r="F50" i="1"/>
  <c r="G50" i="1" s="1"/>
  <c r="F29" i="1"/>
  <c r="G29" i="1" s="1"/>
  <c r="F52" i="1"/>
  <c r="G52" i="1" s="1"/>
  <c r="F16" i="1"/>
  <c r="G16" i="1" s="1"/>
  <c r="F39" i="1"/>
  <c r="G39" i="1" s="1"/>
  <c r="D27" i="2"/>
  <c r="F77" i="1" s="1"/>
  <c r="G77" i="1" s="1"/>
  <c r="F30" i="1"/>
  <c r="G30" i="1" s="1"/>
  <c r="F12" i="1"/>
  <c r="G12" i="1" s="1"/>
  <c r="F35" i="1"/>
  <c r="G35" i="1" s="1"/>
  <c r="D19" i="2"/>
  <c r="F69" i="1" s="1"/>
  <c r="G69" i="1" s="1"/>
  <c r="F22" i="1"/>
  <c r="G22" i="1" s="1"/>
  <c r="F23" i="1" l="1"/>
  <c r="G23" i="1" s="1"/>
  <c r="F46" i="1"/>
  <c r="G46" i="1" s="1"/>
  <c r="F31" i="1"/>
  <c r="G31" i="1" s="1"/>
  <c r="F54" i="1"/>
  <c r="G54" i="1" s="1"/>
</calcChain>
</file>

<file path=xl/sharedStrings.xml><?xml version="1.0" encoding="utf-8"?>
<sst xmlns="http://schemas.openxmlformats.org/spreadsheetml/2006/main" count="276" uniqueCount="132">
  <si>
    <t>Test Cycles………………………………</t>
  </si>
  <si>
    <t>802.3at PD Test Report</t>
  </si>
  <si>
    <t>Quadrants Tested……….………………</t>
  </si>
  <si>
    <t xml:space="preserve">                      Class=</t>
  </si>
  <si>
    <t xml:space="preserve">                       Type=</t>
  </si>
  <si>
    <t xml:space="preserve">                       V_on=</t>
  </si>
  <si>
    <t xml:space="preserve">                      V_off=</t>
  </si>
  <si>
    <t>ALT-A, MDI Type-1 Grant</t>
  </si>
  <si>
    <t>ALT-A, MDI Type-2 Grant</t>
  </si>
  <si>
    <t xml:space="preserve">                 Ppeak_PD_1=</t>
  </si>
  <si>
    <t xml:space="preserve">                Pclass_PD_1=</t>
  </si>
  <si>
    <t xml:space="preserve">                Pclass_PD_2=</t>
  </si>
  <si>
    <t xml:space="preserve">                 Ppeak_PD_2=</t>
  </si>
  <si>
    <t xml:space="preserve">                     I_Mark=</t>
  </si>
  <si>
    <t xml:space="preserve">                    I_Class=</t>
  </si>
  <si>
    <t xml:space="preserve">                   R_detect=</t>
  </si>
  <si>
    <t xml:space="preserve">                   C_detect=</t>
  </si>
  <si>
    <t xml:space="preserve">                   P_type-1=</t>
  </si>
  <si>
    <t>ALT-A, MDI-X Type-1 Grant</t>
  </si>
  <si>
    <t>ALT-A, MDI-X Type-2 Grant</t>
  </si>
  <si>
    <t>ALT-B, MDI Type-1 Grant</t>
  </si>
  <si>
    <t>ALT-B, MDI Type-2 Grant</t>
  </si>
  <si>
    <t>ALT-B, MDI-X Type-1 Grant</t>
  </si>
  <si>
    <t>ALT-B, MDI-X Type-2 Grant</t>
  </si>
  <si>
    <t>ALT-A, MDI Unpowered PD</t>
  </si>
  <si>
    <t>Average-Over-Pairs Unpowered PD</t>
  </si>
  <si>
    <t>ALT-A, MDI-X Unpowered PD</t>
  </si>
  <si>
    <t>ALT-B, MDI Unpowered PD</t>
  </si>
  <si>
    <t>ALT-B, MDI-X Unpowered PD</t>
  </si>
  <si>
    <t>Average-Over-Pairs Type-1 Grant</t>
  </si>
  <si>
    <t>Average-Over-Pairs Type-2 Grant</t>
  </si>
  <si>
    <t>Avg. PD Class:</t>
  </si>
  <si>
    <t>Test Voltages:</t>
  </si>
  <si>
    <t>Type-1 Grant</t>
  </si>
  <si>
    <t>Type-2 Grant</t>
  </si>
  <si>
    <t>****</t>
  </si>
  <si>
    <t>802.3at Test Limits</t>
  </si>
  <si>
    <t>UNITS</t>
  </si>
  <si>
    <t>Low</t>
  </si>
  <si>
    <t>Limit</t>
  </si>
  <si>
    <t>High</t>
  </si>
  <si>
    <t>Low Limit</t>
  </si>
  <si>
    <t>High Limit</t>
  </si>
  <si>
    <t>Parameter</t>
  </si>
  <si>
    <t>P/F</t>
  </si>
  <si>
    <t>Units</t>
  </si>
  <si>
    <t>Volts</t>
  </si>
  <si>
    <t>mA</t>
  </si>
  <si>
    <r>
      <t>K</t>
    </r>
    <r>
      <rPr>
        <sz val="10"/>
        <rFont val="Symbol"/>
        <family val="1"/>
        <charset val="2"/>
      </rPr>
      <t>W</t>
    </r>
  </si>
  <si>
    <r>
      <t>m</t>
    </r>
    <r>
      <rPr>
        <sz val="10"/>
        <rFont val="Arial"/>
      </rPr>
      <t>F</t>
    </r>
  </si>
  <si>
    <t>Watts</t>
  </si>
  <si>
    <t>Steps</t>
  </si>
  <si>
    <t>Type</t>
  </si>
  <si>
    <t>PF</t>
  </si>
  <si>
    <t>Description</t>
  </si>
  <si>
    <t>Parameters              Test Cycles:</t>
  </si>
  <si>
    <t xml:space="preserve">                 Max_Load_1=</t>
  </si>
  <si>
    <t xml:space="preserve">             Average_Load_1=</t>
  </si>
  <si>
    <t xml:space="preserve">                 Max_Load_2=</t>
  </si>
  <si>
    <t xml:space="preserve">             Average_Load_2=</t>
  </si>
  <si>
    <t xml:space="preserve"> report version</t>
  </si>
  <si>
    <t xml:space="preserve"> firmware ver.</t>
  </si>
  <si>
    <t xml:space="preserve">                 MPS_Load_1=</t>
  </si>
  <si>
    <t xml:space="preserve">                 MPS_Load_2=</t>
  </si>
  <si>
    <t xml:space="preserve">PD Tested:  </t>
  </si>
  <si>
    <t xml:space="preserve">                   Inrush_E=</t>
  </si>
  <si>
    <t>W-s</t>
  </si>
  <si>
    <t>PDA Test Suite Notes</t>
  </si>
  <si>
    <t xml:space="preserve">Unpowered PD                         </t>
  </si>
  <si>
    <t xml:space="preserve">Type-1 Grant                  </t>
  </si>
  <si>
    <t xml:space="preserve">Type-2 Grant                  </t>
  </si>
  <si>
    <t>Detection resistance (2.7 to 10.1 V band)</t>
  </si>
  <si>
    <t xml:space="preserve">                   R_detect</t>
  </si>
  <si>
    <t xml:space="preserve">                   C_detect</t>
  </si>
  <si>
    <t xml:space="preserve">                    I_Class</t>
  </si>
  <si>
    <t xml:space="preserve">                      Class</t>
  </si>
  <si>
    <t xml:space="preserve">                       Type</t>
  </si>
  <si>
    <t xml:space="preserve">                       V_on</t>
  </si>
  <si>
    <t xml:space="preserve">                      V_off</t>
  </si>
  <si>
    <t xml:space="preserve">                   Inrush_E</t>
  </si>
  <si>
    <t xml:space="preserve">                Pclass_PD_1</t>
  </si>
  <si>
    <t xml:space="preserve">                 Ppeak_PD_1</t>
  </si>
  <si>
    <t xml:space="preserve">                 Max_Load_1</t>
  </si>
  <si>
    <t xml:space="preserve">                 MPS_Load_1</t>
  </si>
  <si>
    <t xml:space="preserve">             Average_Load_1</t>
  </si>
  <si>
    <t xml:space="preserve">                     I_Mark</t>
  </si>
  <si>
    <t xml:space="preserve">                Pclass_PD_2</t>
  </si>
  <si>
    <t xml:space="preserve">                 Ppeak_PD_2</t>
  </si>
  <si>
    <t xml:space="preserve">                   P_type-1</t>
  </si>
  <si>
    <t xml:space="preserve">                 Max_Load_2</t>
  </si>
  <si>
    <t xml:space="preserve">                 MPS_Load_2</t>
  </si>
  <si>
    <t xml:space="preserve">             Average_Load_2</t>
  </si>
  <si>
    <r>
      <t>23.7 to 26.3 k</t>
    </r>
    <r>
      <rPr>
        <sz val="10"/>
        <rFont val="Times New Roman"/>
        <family val="1"/>
      </rPr>
      <t>Ω</t>
    </r>
  </si>
  <si>
    <t>0.05 to 0.12 uF</t>
  </si>
  <si>
    <t>Classification current signature (15 - 20 V band)</t>
  </si>
  <si>
    <t>0-4, 9-12, 17-20, 26-30, or 36-44 mA</t>
  </si>
  <si>
    <t>PD Class determined from Iclass</t>
  </si>
  <si>
    <t>0, 1, 2, 3, or 4</t>
  </si>
  <si>
    <t>PD Type determined from Iclass</t>
  </si>
  <si>
    <t>1 or 2</t>
  </si>
  <si>
    <t>30 to 42 VDC</t>
  </si>
  <si>
    <t>Voltage at which PD stops drawing load current</t>
  </si>
  <si>
    <t>Voltage at which PD starts to draw load current</t>
  </si>
  <si>
    <r>
      <rPr>
        <u/>
        <sz val="10"/>
        <rFont val="Arial"/>
        <family val="2"/>
      </rPr>
      <t>&gt;</t>
    </r>
    <r>
      <rPr>
        <sz val="10"/>
        <rFont val="Arial"/>
        <family val="2"/>
      </rPr>
      <t xml:space="preserve"> 30 VDC</t>
    </r>
  </si>
  <si>
    <r>
      <rPr>
        <u/>
        <sz val="10"/>
        <rFont val="Arial"/>
        <family val="2"/>
      </rPr>
      <t>&lt;</t>
    </r>
    <r>
      <rPr>
        <sz val="10"/>
        <rFont val="Arial"/>
        <family val="2"/>
      </rPr>
      <t xml:space="preserve"> 0.38 Watt-sec</t>
    </r>
  </si>
  <si>
    <t>Average PD power draw following the inrush interval (after 50msec)</t>
  </si>
  <si>
    <t>Maximum PD transient load following the inrush interval (after 50msec) See NOTE 1</t>
  </si>
  <si>
    <t>NOTE 1</t>
  </si>
  <si>
    <t>Minimum load current sampled after power-up. (NOTE: PDs meeting DC MPS signature criteria of drawing &gt; 10mA for 75 msec out of every 325 msec will report 10mA)</t>
  </si>
  <si>
    <t>Average load current following the Iinrush interval (after 50 msec).</t>
  </si>
  <si>
    <t>10 to 300 mA</t>
  </si>
  <si>
    <t>10 to 270.8 mA</t>
  </si>
  <si>
    <t>Pclass and Ppeak maximums as defined by the 802.3at spec, exception being class 4 limited to class 0 levels until an LLDP negotiation for power is completed.</t>
  </si>
  <si>
    <t>Class pulse discharge current measured between class pulses.</t>
  </si>
  <si>
    <t>Power load measured between end of Iinrush interval (50 msec) and Tdelay (80 msec)</t>
  </si>
  <si>
    <t>Maximum PD transient load sampled following the inrush interval (after 50msec) See NOTE 1</t>
  </si>
  <si>
    <t>0 to 25.5W</t>
  </si>
  <si>
    <t>10 to 524.1 mA</t>
  </si>
  <si>
    <t>10 to 472.2 mA</t>
  </si>
  <si>
    <t>0 to 4.0 mA</t>
  </si>
  <si>
    <t>0 to 28.3W</t>
  </si>
  <si>
    <t>Acceptance Criteria</t>
  </si>
  <si>
    <t>Detection capacitance (2.7 to 10.1 V band)</t>
  </si>
  <si>
    <t>Capacitive charging energy (Watt-sec) over worst 20ms sub-interval of Iinrush interval. A failure indicates an Iinrush_pd violation, while a pass indicates a very low Iinrush interoperability risk.</t>
  </si>
  <si>
    <t>Peak load parameters are derived from one or more 20 msec integrated measurement samples. Load transients significantly shorter than 20 msec will be time averaged over 20 msec time periods.</t>
  </si>
  <si>
    <t>PDA-300 TEST RESULTS</t>
  </si>
  <si>
    <r>
      <rPr>
        <u/>
        <sz val="10"/>
        <rFont val="Arial"/>
        <family val="2"/>
      </rPr>
      <t>&lt;</t>
    </r>
    <r>
      <rPr>
        <sz val="10"/>
        <rFont val="Arial"/>
        <family val="2"/>
      </rPr>
      <t xml:space="preserve"> _Ppeak_PD_1</t>
    </r>
  </si>
  <si>
    <t xml:space="preserve"> hardware ver.</t>
  </si>
  <si>
    <t>HW Ver</t>
  </si>
  <si>
    <t>?剜? 13 2018</t>
  </si>
  <si>
    <t>2018/6/13 銝? 04:26:51</t>
  </si>
  <si>
    <t>TPS23754-1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</si>
</sst>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d\,\ yyyy"/>
    <numFmt numFmtId="165" formatCode="0.0"/>
    <numFmt numFmtId="166" formatCode="0.000"/>
  </numFmts>
  <fonts count="24" x14ac:knownFonts="1">
    <font>
      <sz val="10"/>
      <name val="Arial"/>
    </font>
    <font>
      <b/>
      <sz val="14"/>
      <name val="Arial"/>
      <family val="2"/>
    </font>
    <font>
      <b/>
      <sz val="11"/>
      <name val="Arial"/>
      <family val="2"/>
    </font>
    <font>
      <b/>
      <sz val="11"/>
      <color indexed="16"/>
      <name val="Arial"/>
      <family val="2"/>
    </font>
    <font>
      <sz val="10"/>
      <name val="Symbol"/>
      <family val="1"/>
      <charset val="2"/>
    </font>
    <font>
      <b/>
      <sz val="9"/>
      <color indexed="9"/>
      <name val="Arial"/>
      <family val="2"/>
    </font>
    <font>
      <sz val="10"/>
      <color indexed="22"/>
      <name val="Arial"/>
      <family val="2"/>
    </font>
    <font>
      <i/>
      <sz val="10"/>
      <color indexed="22"/>
      <name val="Arial"/>
      <family val="2"/>
    </font>
    <font>
      <sz val="10"/>
      <name val="Courier New"/>
      <family val="3"/>
    </font>
    <font>
      <sz val="10"/>
      <name val="Arial"/>
      <family val="2"/>
    </font>
    <font>
      <b/>
      <sz val="10"/>
      <name val="Arial"/>
      <family val="2"/>
    </font>
    <font>
      <sz val="10"/>
      <color indexed="9"/>
      <name val="Arial"/>
      <family val="2"/>
    </font>
    <font>
      <i/>
      <sz val="10"/>
      <name val="Arial"/>
      <family val="2"/>
    </font>
    <font>
      <b/>
      <sz val="10"/>
      <color indexed="18"/>
      <name val="Arial"/>
      <family val="2"/>
    </font>
    <font>
      <sz val="10"/>
      <color indexed="44"/>
      <name val="Arial"/>
      <family val="2"/>
    </font>
    <font>
      <b/>
      <sz val="12"/>
      <color indexed="9"/>
      <name val="Arial"/>
      <family val="2"/>
    </font>
    <font>
      <i/>
      <sz val="10"/>
      <color indexed="10"/>
      <name val="Arial"/>
      <family val="2"/>
    </font>
    <font>
      <b/>
      <sz val="12"/>
      <color indexed="26"/>
      <name val="Arial"/>
      <family val="2"/>
    </font>
    <font>
      <sz val="10"/>
      <color indexed="8"/>
      <name val="Arial"/>
      <family val="2"/>
    </font>
    <font>
      <b/>
      <sz val="10"/>
      <color indexed="10"/>
      <name val="Arial"/>
      <family val="2"/>
    </font>
    <font>
      <b/>
      <sz val="11"/>
      <color indexed="26"/>
      <name val="Arial"/>
      <family val="2"/>
    </font>
    <font>
      <i/>
      <sz val="8"/>
      <color indexed="44"/>
      <name val="Arial"/>
      <family val="2"/>
    </font>
    <font>
      <sz val="10"/>
      <name val="Times New Roman"/>
      <family val="1"/>
    </font>
    <font>
      <u/>
      <sz val="10"/>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56"/>
        <bgColor indexed="64"/>
      </patternFill>
    </fill>
    <fill>
      <patternFill patternType="solid">
        <fgColor indexed="23"/>
        <bgColor indexed="64"/>
      </patternFill>
    </fill>
    <fill>
      <patternFill patternType="solid">
        <fgColor indexed="61"/>
        <bgColor indexed="64"/>
      </patternFill>
    </fill>
  </fills>
  <borders count="43">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26"/>
      </top>
      <bottom/>
      <diagonal/>
    </border>
    <border>
      <left/>
      <right/>
      <top/>
      <bottom style="thin">
        <color indexed="56"/>
      </bottom>
      <diagonal/>
    </border>
    <border>
      <left style="thin">
        <color indexed="64"/>
      </left>
      <right/>
      <top/>
      <bottom/>
      <diagonal/>
    </border>
    <border>
      <left/>
      <right style="thin">
        <color indexed="64"/>
      </right>
      <top style="thin">
        <color indexed="26"/>
      </top>
      <bottom/>
      <diagonal/>
    </border>
    <border>
      <left style="medium">
        <color indexed="26"/>
      </left>
      <right/>
      <top/>
      <bottom/>
      <diagonal/>
    </border>
    <border>
      <left/>
      <right/>
      <top style="thin">
        <color indexed="9"/>
      </top>
      <bottom/>
      <diagonal/>
    </border>
    <border>
      <left/>
      <right style="thin">
        <color indexed="64"/>
      </right>
      <top style="thin">
        <color indexed="56"/>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23"/>
      </bottom>
      <diagonal/>
    </border>
    <border>
      <left style="thin">
        <color indexed="64"/>
      </left>
      <right/>
      <top style="thin">
        <color indexed="64"/>
      </top>
      <bottom style="medium">
        <color indexed="23"/>
      </bottom>
      <diagonal/>
    </border>
    <border>
      <left style="thin">
        <color indexed="64"/>
      </left>
      <right/>
      <top style="thin">
        <color indexed="64"/>
      </top>
      <bottom/>
      <diagonal/>
    </border>
    <border>
      <left style="thin">
        <color indexed="64"/>
      </left>
      <right style="thin">
        <color indexed="64"/>
      </right>
      <top style="medium">
        <color indexed="61"/>
      </top>
      <bottom style="thin">
        <color indexed="64"/>
      </bottom>
      <diagonal/>
    </border>
    <border>
      <left style="thin">
        <color indexed="64"/>
      </left>
      <right/>
      <top style="medium">
        <color indexed="61"/>
      </top>
      <bottom style="thin">
        <color indexed="64"/>
      </bottom>
      <diagonal/>
    </border>
    <border>
      <left style="thin">
        <color indexed="64"/>
      </left>
      <right style="thin">
        <color indexed="64"/>
      </right>
      <top style="medium">
        <color indexed="23"/>
      </top>
      <bottom style="thin">
        <color indexed="64"/>
      </bottom>
      <diagonal/>
    </border>
    <border>
      <left style="thin">
        <color indexed="64"/>
      </left>
      <right style="thin">
        <color indexed="64"/>
      </right>
      <top style="medium">
        <color indexed="63"/>
      </top>
      <bottom style="thin">
        <color indexed="64"/>
      </bottom>
      <diagonal/>
    </border>
    <border>
      <left style="thin">
        <color indexed="64"/>
      </left>
      <right/>
      <top style="medium">
        <color indexed="63"/>
      </top>
      <bottom style="thin">
        <color indexed="64"/>
      </bottom>
      <diagonal/>
    </border>
    <border>
      <left/>
      <right style="thin">
        <color indexed="64"/>
      </right>
      <top/>
      <bottom/>
      <diagonal/>
    </border>
    <border>
      <left/>
      <right style="thick">
        <color indexed="56"/>
      </right>
      <top/>
      <bottom/>
      <diagonal/>
    </border>
    <border>
      <left style="thin">
        <color indexed="56"/>
      </left>
      <right style="thin">
        <color indexed="56"/>
      </right>
      <top style="thin">
        <color indexed="56"/>
      </top>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thin">
        <color indexed="56"/>
      </left>
      <right/>
      <top/>
      <bottom/>
      <diagonal/>
    </border>
    <border>
      <left/>
      <right/>
      <top/>
      <bottom style="medium">
        <color indexed="26"/>
      </bottom>
      <diagonal/>
    </border>
    <border>
      <left style="thin">
        <color indexed="64"/>
      </left>
      <right style="thin">
        <color indexed="64"/>
      </right>
      <top style="thin">
        <color indexed="64"/>
      </top>
      <bottom style="medium">
        <color indexed="61"/>
      </bottom>
      <diagonal/>
    </border>
    <border>
      <left style="medium">
        <color indexed="26"/>
      </left>
      <right/>
      <top style="thin">
        <color indexed="26"/>
      </top>
      <bottom/>
      <diagonal/>
    </border>
    <border>
      <left style="medium">
        <color indexed="26"/>
      </left>
      <right/>
      <top/>
      <bottom style="medium">
        <color indexed="26"/>
      </bottom>
      <diagonal/>
    </border>
    <border>
      <left style="thin">
        <color indexed="64"/>
      </left>
      <right style="thin">
        <color indexed="64"/>
      </right>
      <top style="medium">
        <color indexed="18"/>
      </top>
      <bottom/>
      <diagonal/>
    </border>
    <border>
      <left style="thin">
        <color indexed="64"/>
      </left>
      <right style="thin">
        <color indexed="64"/>
      </right>
      <top style="medium">
        <color indexed="18"/>
      </top>
      <bottom style="thin">
        <color indexed="64"/>
      </bottom>
      <diagonal/>
    </border>
    <border>
      <left style="thin">
        <color indexed="64"/>
      </left>
      <right/>
      <top style="thin">
        <color indexed="64"/>
      </top>
      <bottom style="medium">
        <color indexed="64"/>
      </bottom>
      <diagonal/>
    </border>
    <border>
      <left style="thin">
        <color indexed="64"/>
      </left>
      <right/>
      <top style="thin">
        <color indexed="56"/>
      </top>
      <bottom/>
      <diagonal/>
    </border>
    <border>
      <left/>
      <right/>
      <top style="thin">
        <color indexed="56"/>
      </top>
      <bottom/>
      <diagonal/>
    </border>
  </borders>
  <cellStyleXfs count="1">
    <xf numFmtId="0" fontId="0" fillId="0" borderId="0"/>
  </cellStyleXfs>
  <cellXfs count="128">
    <xf numFmtId="0" fontId="0" fillId="0" borderId="0" xfId="0"/>
    <xf numFmtId="0" fontId="2" fillId="2" borderId="2" xfId="0" applyFont="1" applyFill="1" applyBorder="1" applyAlignment="1">
      <alignment horizontal="center"/>
    </xf>
    <xf numFmtId="0" fontId="3" fillId="0" borderId="0" xfId="0" applyFont="1"/>
    <xf numFmtId="0" fontId="0" fillId="3" borderId="0" xfId="0" applyFill="1"/>
    <xf numFmtId="0" fontId="2" fillId="4" borderId="3" xfId="0" applyFont="1" applyFill="1" applyBorder="1" applyAlignment="1">
      <alignment horizontal="center"/>
    </xf>
    <xf numFmtId="0" fontId="2" fillId="5" borderId="4" xfId="0" applyFont="1" applyFill="1" applyBorder="1" applyAlignment="1">
      <alignment horizontal="center"/>
    </xf>
    <xf numFmtId="0" fontId="2" fillId="5" borderId="2" xfId="0" applyFont="1" applyFill="1" applyBorder="1" applyAlignment="1">
      <alignment horizontal="center"/>
    </xf>
    <xf numFmtId="0" fontId="0" fillId="0" borderId="5" xfId="0" applyBorder="1" applyProtection="1">
      <protection locked="0"/>
    </xf>
    <xf numFmtId="0" fontId="0" fillId="0" borderId="6" xfId="0" applyBorder="1" applyProtection="1">
      <protection locked="0"/>
    </xf>
    <xf numFmtId="0" fontId="0" fillId="6" borderId="7" xfId="0" applyFill="1" applyBorder="1" applyProtection="1">
      <protection locked="0"/>
    </xf>
    <xf numFmtId="0" fontId="0" fillId="0" borderId="5" xfId="0" applyBorder="1" applyAlignment="1" applyProtection="1">
      <alignment horizontal="right"/>
      <protection locked="0"/>
    </xf>
    <xf numFmtId="0" fontId="2" fillId="2" borderId="2" xfId="0" applyFont="1" applyFill="1" applyBorder="1" applyAlignment="1" applyProtection="1">
      <alignment horizontal="center"/>
      <protection locked="0"/>
    </xf>
    <xf numFmtId="0" fontId="0" fillId="0" borderId="6" xfId="0" applyBorder="1" applyAlignment="1" applyProtection="1">
      <alignment horizontal="right"/>
      <protection locked="0"/>
    </xf>
    <xf numFmtId="0" fontId="0" fillId="6" borderId="7" xfId="0" applyFill="1" applyBorder="1" applyAlignment="1" applyProtection="1">
      <alignment horizontal="right"/>
      <protection locked="0"/>
    </xf>
    <xf numFmtId="0" fontId="4" fillId="0" borderId="6" xfId="0" applyFont="1" applyBorder="1" applyAlignment="1" applyProtection="1">
      <alignment horizontal="right"/>
      <protection locked="0"/>
    </xf>
    <xf numFmtId="0" fontId="8" fillId="0" borderId="5" xfId="0" applyFont="1" applyBorder="1" applyAlignment="1" applyProtection="1">
      <alignment horizontal="left"/>
      <protection locked="0"/>
    </xf>
    <xf numFmtId="0" fontId="8" fillId="0" borderId="6" xfId="0" applyFont="1" applyBorder="1" applyProtection="1">
      <protection locked="0"/>
    </xf>
    <xf numFmtId="0" fontId="0" fillId="6" borderId="8" xfId="0" applyFill="1" applyBorder="1" applyProtection="1">
      <protection locked="0"/>
    </xf>
    <xf numFmtId="0" fontId="0" fillId="0" borderId="6" xfId="0" applyFill="1" applyBorder="1" applyAlignment="1" applyProtection="1">
      <alignment horizontal="center"/>
      <protection locked="0"/>
    </xf>
    <xf numFmtId="0" fontId="0" fillId="7" borderId="6" xfId="0" applyFill="1" applyBorder="1" applyProtection="1">
      <protection locked="0"/>
    </xf>
    <xf numFmtId="0" fontId="0" fillId="7" borderId="0" xfId="0" applyFill="1"/>
    <xf numFmtId="0" fontId="8" fillId="0" borderId="5" xfId="0" applyFont="1" applyBorder="1" applyProtection="1">
      <protection locked="0"/>
    </xf>
    <xf numFmtId="0" fontId="11" fillId="0" borderId="0" xfId="0" applyFont="1"/>
    <xf numFmtId="0" fontId="0" fillId="3" borderId="0" xfId="0" applyFill="1" applyBorder="1"/>
    <xf numFmtId="0" fontId="0" fillId="8" borderId="9" xfId="0" applyFill="1" applyBorder="1"/>
    <xf numFmtId="0" fontId="7" fillId="8" borderId="0" xfId="0" applyFont="1" applyFill="1" applyBorder="1"/>
    <xf numFmtId="0" fontId="0" fillId="8" borderId="10" xfId="0" applyFill="1" applyBorder="1"/>
    <xf numFmtId="0" fontId="0" fillId="3" borderId="11" xfId="0" applyFill="1" applyBorder="1"/>
    <xf numFmtId="0" fontId="16" fillId="3" borderId="0" xfId="0" applyFont="1" applyFill="1"/>
    <xf numFmtId="0" fontId="0" fillId="8" borderId="12" xfId="0" applyFill="1" applyBorder="1"/>
    <xf numFmtId="0" fontId="6" fillId="8" borderId="13" xfId="0" applyFont="1" applyFill="1" applyBorder="1"/>
    <xf numFmtId="0" fontId="3" fillId="0" borderId="14" xfId="0" applyFont="1" applyBorder="1"/>
    <xf numFmtId="0" fontId="18" fillId="3" borderId="0" xfId="0" applyFont="1" applyFill="1"/>
    <xf numFmtId="0" fontId="10" fillId="3" borderId="0" xfId="0" applyFont="1" applyFill="1" applyAlignment="1">
      <alignment horizontal="right"/>
    </xf>
    <xf numFmtId="0" fontId="19" fillId="3" borderId="0" xfId="0" applyFont="1" applyFill="1" applyAlignment="1">
      <alignment horizontal="left"/>
    </xf>
    <xf numFmtId="0" fontId="9" fillId="7" borderId="6" xfId="0" applyFont="1" applyFill="1" applyBorder="1" applyProtection="1">
      <protection locked="0"/>
    </xf>
    <xf numFmtId="0" fontId="3" fillId="8" borderId="15" xfId="0" applyFont="1" applyFill="1" applyBorder="1" applyProtection="1">
      <protection locked="0"/>
    </xf>
    <xf numFmtId="0" fontId="10" fillId="0" borderId="16" xfId="0" applyFont="1" applyBorder="1" applyProtection="1">
      <protection locked="0"/>
    </xf>
    <xf numFmtId="0" fontId="10" fillId="0" borderId="6" xfId="0" applyFont="1" applyBorder="1" applyProtection="1">
      <protection locked="0"/>
    </xf>
    <xf numFmtId="0" fontId="2" fillId="2" borderId="17" xfId="0" applyFont="1" applyFill="1" applyBorder="1" applyAlignment="1">
      <alignment horizontal="center"/>
    </xf>
    <xf numFmtId="0" fontId="0" fillId="3" borderId="0" xfId="0" applyFill="1" applyAlignment="1">
      <alignment horizontal="right"/>
    </xf>
    <xf numFmtId="0" fontId="10" fillId="0" borderId="8" xfId="0" applyFont="1" applyBorder="1" applyProtection="1">
      <protection locked="0"/>
    </xf>
    <xf numFmtId="0" fontId="10" fillId="0" borderId="7" xfId="0" applyFont="1" applyBorder="1" applyProtection="1">
      <protection locked="0"/>
    </xf>
    <xf numFmtId="0" fontId="11" fillId="9" borderId="1" xfId="0" applyFont="1" applyFill="1" applyBorder="1" applyAlignment="1">
      <alignment horizontal="right"/>
    </xf>
    <xf numFmtId="0" fontId="0" fillId="6" borderId="1" xfId="0" applyFill="1" applyBorder="1"/>
    <xf numFmtId="1" fontId="0" fillId="0" borderId="6" xfId="0" applyNumberFormat="1" applyBorder="1" applyProtection="1">
      <protection locked="0"/>
    </xf>
    <xf numFmtId="0" fontId="12" fillId="3" borderId="0" xfId="0" applyFont="1" applyFill="1" applyAlignment="1">
      <alignment horizontal="right"/>
    </xf>
    <xf numFmtId="0" fontId="20" fillId="8" borderId="18" xfId="0" applyFont="1" applyFill="1" applyBorder="1" applyProtection="1">
      <protection locked="0"/>
    </xf>
    <xf numFmtId="2" fontId="9" fillId="0" borderId="6" xfId="0" applyNumberFormat="1" applyFont="1" applyBorder="1" applyProtection="1">
      <protection locked="0"/>
    </xf>
    <xf numFmtId="166" fontId="9" fillId="0" borderId="6" xfId="0" applyNumberFormat="1" applyFont="1" applyBorder="1" applyProtection="1">
      <protection locked="0"/>
    </xf>
    <xf numFmtId="165" fontId="9" fillId="0" borderId="6" xfId="0" applyNumberFormat="1" applyFont="1" applyBorder="1" applyProtection="1">
      <protection locked="0"/>
    </xf>
    <xf numFmtId="1" fontId="9" fillId="0" borderId="6" xfId="0" applyNumberFormat="1" applyFont="1" applyBorder="1" applyProtection="1">
      <protection locked="0"/>
    </xf>
    <xf numFmtId="2" fontId="0" fillId="5" borderId="6" xfId="0" applyNumberFormat="1" applyFill="1" applyBorder="1" applyProtection="1">
      <protection locked="0"/>
    </xf>
    <xf numFmtId="165" fontId="0" fillId="4" borderId="19" xfId="0" applyNumberFormat="1" applyFill="1" applyBorder="1" applyAlignment="1" applyProtection="1">
      <alignment horizontal="center"/>
      <protection locked="0"/>
    </xf>
    <xf numFmtId="0" fontId="0" fillId="7" borderId="19" xfId="0" applyFill="1" applyBorder="1" applyProtection="1">
      <protection locked="0"/>
    </xf>
    <xf numFmtId="0" fontId="0" fillId="4" borderId="19" xfId="0" applyFill="1" applyBorder="1" applyAlignment="1" applyProtection="1">
      <alignment horizontal="center"/>
      <protection locked="0"/>
    </xf>
    <xf numFmtId="1" fontId="0" fillId="4" borderId="19" xfId="0" applyNumberFormat="1" applyFill="1" applyBorder="1" applyAlignment="1" applyProtection="1">
      <alignment horizontal="center"/>
      <protection locked="0"/>
    </xf>
    <xf numFmtId="2" fontId="0" fillId="4" borderId="19" xfId="0" applyNumberFormat="1" applyFill="1" applyBorder="1" applyAlignment="1" applyProtection="1">
      <alignment horizontal="center"/>
      <protection locked="0"/>
    </xf>
    <xf numFmtId="0" fontId="8" fillId="0" borderId="20" xfId="0" applyFont="1" applyBorder="1" applyProtection="1">
      <protection locked="0"/>
    </xf>
    <xf numFmtId="165" fontId="9" fillId="0" borderId="20" xfId="0" applyNumberFormat="1" applyFont="1" applyBorder="1" applyProtection="1">
      <protection locked="0"/>
    </xf>
    <xf numFmtId="165" fontId="0" fillId="4" borderId="21" xfId="0" applyNumberFormat="1" applyFill="1" applyBorder="1" applyAlignment="1" applyProtection="1">
      <alignment horizontal="center"/>
      <protection locked="0"/>
    </xf>
    <xf numFmtId="0" fontId="8" fillId="0" borderId="17" xfId="0" applyFont="1" applyBorder="1" applyProtection="1">
      <protection locked="0"/>
    </xf>
    <xf numFmtId="0" fontId="8" fillId="0" borderId="7" xfId="0" applyFont="1" applyBorder="1" applyProtection="1">
      <protection locked="0"/>
    </xf>
    <xf numFmtId="165" fontId="9" fillId="0" borderId="7" xfId="0" applyNumberFormat="1" applyFont="1" applyBorder="1" applyProtection="1">
      <protection locked="0"/>
    </xf>
    <xf numFmtId="165" fontId="0" fillId="4" borderId="22" xfId="0" applyNumberFormat="1" applyFill="1" applyBorder="1" applyAlignment="1" applyProtection="1">
      <alignment horizontal="center"/>
      <protection locked="0"/>
    </xf>
    <xf numFmtId="0" fontId="9" fillId="7" borderId="23" xfId="0" applyFont="1" applyFill="1" applyBorder="1" applyProtection="1">
      <protection locked="0"/>
    </xf>
    <xf numFmtId="0" fontId="0" fillId="7" borderId="24" xfId="0" applyFill="1" applyBorder="1" applyProtection="1">
      <protection locked="0"/>
    </xf>
    <xf numFmtId="0" fontId="10" fillId="0" borderId="25" xfId="0" applyFont="1" applyBorder="1" applyProtection="1">
      <protection locked="0"/>
    </xf>
    <xf numFmtId="0" fontId="10" fillId="0" borderId="26" xfId="0" applyFont="1" applyBorder="1" applyProtection="1">
      <protection locked="0"/>
    </xf>
    <xf numFmtId="0" fontId="9" fillId="7" borderId="26" xfId="0" applyFont="1" applyFill="1"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165" fontId="9" fillId="0" borderId="6" xfId="0" quotePrefix="1" applyNumberFormat="1" applyFont="1" applyBorder="1" applyProtection="1">
      <protection locked="0"/>
    </xf>
    <xf numFmtId="2" fontId="14" fillId="8" borderId="28" xfId="0" applyNumberFormat="1" applyFont="1" applyFill="1" applyBorder="1"/>
    <xf numFmtId="0" fontId="21" fillId="8" borderId="0" xfId="0" applyFont="1" applyFill="1" applyBorder="1"/>
    <xf numFmtId="0" fontId="21" fillId="8" borderId="0" xfId="0" applyFont="1" applyFill="1" applyBorder="1" applyAlignment="1">
      <alignment horizontal="right"/>
    </xf>
    <xf numFmtId="2" fontId="14" fillId="8" borderId="28" xfId="0" applyNumberFormat="1" applyFont="1" applyFill="1" applyBorder="1" applyProtection="1">
      <protection locked="0"/>
    </xf>
    <xf numFmtId="165" fontId="0" fillId="0" borderId="6" xfId="0" applyNumberFormat="1" applyBorder="1" applyProtection="1">
      <protection locked="0"/>
    </xf>
    <xf numFmtId="0" fontId="0" fillId="6" borderId="0" xfId="0" applyFill="1" applyBorder="1" applyAlignment="1">
      <alignment horizontal="left"/>
    </xf>
    <xf numFmtId="0" fontId="0" fillId="6" borderId="29" xfId="0" applyFill="1" applyBorder="1" applyAlignment="1" applyProtection="1">
      <alignment horizontal="left"/>
      <protection locked="0"/>
    </xf>
    <xf numFmtId="0" fontId="0" fillId="6" borderId="0" xfId="0" applyFill="1" applyAlignment="1">
      <alignment horizontal="right"/>
    </xf>
    <xf numFmtId="0" fontId="9" fillId="0" borderId="30" xfId="0" applyNumberFormat="1" applyFont="1" applyFill="1" applyBorder="1" applyProtection="1">
      <protection locked="0"/>
    </xf>
    <xf numFmtId="0" fontId="0" fillId="8" borderId="31" xfId="0" applyFill="1" applyBorder="1"/>
    <xf numFmtId="0" fontId="0" fillId="8" borderId="32" xfId="0" applyFill="1" applyBorder="1"/>
    <xf numFmtId="0" fontId="0" fillId="3" borderId="33" xfId="0" applyFill="1" applyBorder="1"/>
    <xf numFmtId="9" fontId="17" fillId="8" borderId="34" xfId="0" applyNumberFormat="1" applyFont="1" applyFill="1" applyBorder="1" applyAlignment="1">
      <alignment horizontal="left" vertical="center"/>
    </xf>
    <xf numFmtId="0" fontId="0" fillId="7" borderId="5" xfId="0" applyFill="1" applyBorder="1" applyProtection="1">
      <protection locked="0"/>
    </xf>
    <xf numFmtId="0" fontId="0" fillId="0" borderId="35" xfId="0" applyFill="1" applyBorder="1" applyAlignment="1" applyProtection="1">
      <alignment horizontal="center"/>
      <protection locked="0"/>
    </xf>
    <xf numFmtId="165" fontId="9" fillId="0" borderId="17" xfId="0" applyNumberFormat="1" applyFont="1" applyBorder="1" applyProtection="1">
      <protection locked="0"/>
    </xf>
    <xf numFmtId="0" fontId="0" fillId="0" borderId="17" xfId="0" applyFill="1" applyBorder="1" applyAlignment="1" applyProtection="1">
      <alignment horizontal="center"/>
      <protection locked="0"/>
    </xf>
    <xf numFmtId="0" fontId="15" fillId="8" borderId="36" xfId="0" applyFont="1" applyFill="1" applyBorder="1"/>
    <xf numFmtId="9" fontId="17" fillId="8" borderId="37" xfId="0" applyNumberFormat="1" applyFont="1" applyFill="1" applyBorder="1" applyAlignment="1">
      <alignment horizontal="left" vertical="center"/>
    </xf>
    <xf numFmtId="164" fontId="5" fillId="10" borderId="0" xfId="0" applyNumberFormat="1" applyFont="1" applyFill="1" applyBorder="1" applyAlignment="1" applyProtection="1">
      <alignment horizontal="right"/>
      <protection locked="0"/>
    </xf>
    <xf numFmtId="18" fontId="5" fillId="10" borderId="29" xfId="0" applyNumberFormat="1" applyFont="1" applyFill="1" applyBorder="1" applyAlignment="1" applyProtection="1">
      <protection locked="0"/>
    </xf>
    <xf numFmtId="0" fontId="9" fillId="0" borderId="6" xfId="0" applyFont="1" applyBorder="1" applyAlignment="1" applyProtection="1">
      <alignment horizontal="right"/>
      <protection locked="0"/>
    </xf>
    <xf numFmtId="0" fontId="0" fillId="0" borderId="5" xfId="0" applyBorder="1" applyAlignment="1" applyProtection="1">
      <alignment vertical="center" wrapText="1"/>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vertical="center"/>
      <protection locked="0"/>
    </xf>
    <xf numFmtId="0" fontId="13" fillId="6" borderId="38" xfId="0" applyFont="1" applyFill="1" applyBorder="1" applyAlignment="1">
      <alignment vertical="center"/>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6" xfId="0" applyFont="1" applyBorder="1" applyAlignment="1" applyProtection="1">
      <alignment vertical="center"/>
      <protection locked="0"/>
    </xf>
    <xf numFmtId="0" fontId="0" fillId="6" borderId="39" xfId="0" applyFill="1" applyBorder="1" applyAlignment="1" applyProtection="1">
      <alignment vertical="center"/>
      <protection locked="0"/>
    </xf>
    <xf numFmtId="0" fontId="13" fillId="6" borderId="16" xfId="0" applyFont="1" applyFill="1" applyBorder="1" applyAlignment="1">
      <alignment vertical="top"/>
    </xf>
    <xf numFmtId="0" fontId="0" fillId="6" borderId="16" xfId="0" applyFill="1" applyBorder="1" applyAlignment="1" applyProtection="1">
      <alignment vertical="top"/>
      <protection locked="0"/>
    </xf>
    <xf numFmtId="1" fontId="14" fillId="8" borderId="28" xfId="0" applyNumberFormat="1" applyFont="1" applyFill="1" applyBorder="1"/>
    <xf numFmtId="166" fontId="0" fillId="5" borderId="6" xfId="0" applyNumberFormat="1" applyFill="1" applyBorder="1" applyProtection="1">
      <protection locked="0"/>
    </xf>
    <xf numFmtId="165" fontId="0" fillId="5" borderId="6" xfId="0" applyNumberFormat="1" applyFill="1" applyBorder="1" applyProtection="1">
      <protection locked="0"/>
    </xf>
    <xf numFmtId="1" fontId="0" fillId="5" borderId="6" xfId="0" applyNumberFormat="1" applyFill="1" applyBorder="1" applyProtection="1">
      <protection locked="0"/>
    </xf>
    <xf numFmtId="165" fontId="0" fillId="5" borderId="17" xfId="0" applyNumberFormat="1" applyFill="1" applyBorder="1" applyProtection="1">
      <protection locked="0"/>
    </xf>
    <xf numFmtId="0" fontId="0" fillId="4" borderId="19" xfId="0" applyNumberFormat="1" applyFill="1" applyBorder="1" applyAlignment="1" applyProtection="1">
      <alignment horizontal="center"/>
      <protection locked="0"/>
    </xf>
    <xf numFmtId="0" fontId="0" fillId="7" borderId="19" xfId="0" applyNumberFormat="1" applyFill="1" applyBorder="1" applyProtection="1">
      <protection locked="0"/>
    </xf>
    <xf numFmtId="0" fontId="0" fillId="4" borderId="40" xfId="0" applyNumberFormat="1" applyFill="1" applyBorder="1" applyAlignment="1" applyProtection="1">
      <alignment horizontal="center"/>
      <protection locked="0"/>
    </xf>
    <xf numFmtId="165" fontId="0" fillId="5" borderId="35" xfId="0" applyNumberFormat="1" applyFill="1" applyBorder="1" applyProtection="1">
      <protection locked="0"/>
    </xf>
    <xf numFmtId="166" fontId="9" fillId="0" borderId="6" xfId="0" quotePrefix="1" applyNumberFormat="1" applyFont="1" applyBorder="1" applyProtection="1">
      <protection locked="0"/>
    </xf>
    <xf numFmtId="0" fontId="15" fillId="10" borderId="41" xfId="0" applyFont="1" applyFill="1" applyBorder="1" applyAlignment="1">
      <alignment horizontal="center"/>
    </xf>
    <xf numFmtId="0" fontId="15" fillId="10" borderId="42" xfId="0" applyFont="1" applyFill="1" applyBorder="1" applyAlignment="1">
      <alignment horizontal="center"/>
    </xf>
    <xf numFmtId="0" fontId="1" fillId="0" borderId="0" xfId="0" applyFont="1" applyFill="1" applyBorder="1" applyAlignment="1"/>
    <xf numFmtId="0" fontId="0" fillId="0" borderId="29" xfId="0" applyBorder="1" applyAlignment="1"/>
    <xf numFmtId="9" fontId="17" fillId="8" borderId="13" xfId="0" applyNumberFormat="1" applyFont="1" applyFill="1" applyBorder="1" applyAlignment="1">
      <alignment horizontal="left" vertical="center"/>
    </xf>
    <xf numFmtId="9" fontId="17" fillId="8" borderId="0" xfId="0" applyNumberFormat="1" applyFont="1" applyFill="1" applyBorder="1" applyAlignment="1">
      <alignment horizontal="left" vertical="center"/>
    </xf>
    <xf numFmtId="0" fontId="9" fillId="0" borderId="4" xfId="0" applyFont="1" applyBorder="1" applyAlignment="1" applyProtection="1">
      <alignment vertical="center" wrapText="1"/>
      <protection locked="0"/>
    </xf>
    <xf numFmtId="0" fontId="0" fillId="0" borderId="5" xfId="0" applyBorder="1" applyAlignment="1">
      <alignment vertical="center" wrapText="1"/>
    </xf>
  </cellXfs>
  <cellStyles count="1">
    <cellStyle name="Normal" xfId="0" builtinId="0"/>
  </cellStyles>
  <dxfs count="90">
    <dxf>
      <font>
        <b/>
        <i val="0"/>
        <condense val="0"/>
        <extend val="0"/>
        <color indexed="18"/>
      </font>
      <fill>
        <patternFill patternType="darkGray">
          <fgColor indexed="9"/>
          <bgColor indexed="22"/>
        </patternFill>
      </fill>
    </dxf>
    <dxf>
      <font>
        <b/>
        <i val="0"/>
        <condense val="0"/>
        <extend val="0"/>
        <color indexed="18"/>
      </font>
      <fill>
        <patternFill patternType="darkGray">
          <fgColor indexed="9"/>
          <bgColor indexed="22"/>
        </patternFill>
      </fill>
    </dxf>
    <dxf>
      <font>
        <b/>
        <i val="0"/>
        <condense val="0"/>
        <extend val="0"/>
        <color indexed="18"/>
      </font>
      <fill>
        <patternFill patternType="darkGray">
          <fgColor indexed="9"/>
          <bgColor indexed="22"/>
        </patternFill>
      </fill>
    </dxf>
    <dxf>
      <font>
        <b/>
        <i val="0"/>
        <condense val="0"/>
        <extend val="0"/>
        <color indexed="9"/>
      </font>
      <fill>
        <patternFill patternType="solid">
          <fgColor indexed="9"/>
          <bgColor indexed="61"/>
        </patternFill>
      </fill>
    </dxf>
    <dxf>
      <font>
        <b/>
        <i val="0"/>
        <condense val="0"/>
        <extend val="0"/>
        <color indexed="9"/>
      </font>
      <fill>
        <patternFill patternType="solid">
          <fgColor indexed="9"/>
          <bgColor indexed="57"/>
        </patternFill>
      </fill>
    </dxf>
    <dxf>
      <font>
        <b/>
        <i val="0"/>
        <condense val="0"/>
        <extend val="0"/>
        <color indexed="9"/>
      </font>
      <fill>
        <patternFill patternType="solid">
          <fgColor indexed="9"/>
          <bgColor indexed="48"/>
        </patternFill>
      </fill>
    </dxf>
    <dxf>
      <font>
        <b/>
        <i val="0"/>
        <condense val="0"/>
        <extend val="0"/>
        <color indexed="18"/>
      </font>
      <fill>
        <patternFill patternType="darkGray">
          <fgColor indexed="9"/>
          <bgColor indexed="22"/>
        </patternFill>
      </fill>
    </dxf>
    <dxf>
      <fill>
        <patternFill patternType="none">
          <bgColor indexed="65"/>
        </patternFill>
      </fill>
    </dxf>
    <dxf>
      <font>
        <b val="0"/>
        <i val="0"/>
        <condense val="0"/>
        <extend val="0"/>
      </font>
      <fill>
        <patternFill>
          <bgColor indexed="9"/>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ill>
        <patternFill>
          <bgColor indexed="45"/>
        </patternFill>
      </fill>
    </dxf>
    <dxf>
      <font>
        <b val="0"/>
        <i val="0"/>
        <condense val="0"/>
        <extend val="0"/>
      </font>
      <fill>
        <patternFill>
          <bgColor indexed="45"/>
        </patternFill>
      </fill>
    </dxf>
    <dxf>
      <font>
        <b/>
        <i val="0"/>
        <condense val="0"/>
        <extend val="0"/>
        <color indexed="9"/>
      </font>
      <fill>
        <patternFill patternType="solid">
          <fgColor indexed="9"/>
          <bgColor indexed="61"/>
        </patternFill>
      </fill>
    </dxf>
    <dxf>
      <font>
        <b/>
        <i val="0"/>
        <condense val="0"/>
        <extend val="0"/>
        <color indexed="9"/>
      </font>
      <fill>
        <patternFill patternType="solid">
          <fgColor indexed="9"/>
          <bgColor indexed="57"/>
        </patternFill>
      </fill>
    </dxf>
    <dxf>
      <font>
        <b/>
        <i val="0"/>
        <condense val="0"/>
        <extend val="0"/>
        <color indexed="9"/>
      </font>
      <fill>
        <patternFill patternType="solid">
          <fgColor indexed="9"/>
          <bgColor indexed="48"/>
        </patternFill>
      </fill>
    </dxf>
    <dxf>
      <font>
        <b val="0"/>
        <i val="0"/>
        <condense val="0"/>
        <extend val="0"/>
      </font>
      <fill>
        <patternFill>
          <bgColor indexed="45"/>
        </patternFill>
      </fill>
    </dxf>
    <dxf>
      <font>
        <b/>
        <i val="0"/>
        <condense val="0"/>
        <extend val="0"/>
        <color indexed="16"/>
      </font>
      <fill>
        <patternFill patternType="solid">
          <bgColor indexed="26"/>
        </patternFill>
      </fill>
    </dxf>
    <dxf>
      <font>
        <b/>
        <i val="0"/>
        <condense val="0"/>
        <extend val="0"/>
        <color indexed="9"/>
      </font>
      <fill>
        <patternFill>
          <bgColor indexed="10"/>
        </patternFill>
      </fill>
    </dxf>
    <dxf>
      <font>
        <b/>
        <i val="0"/>
        <condense val="0"/>
        <extend val="0"/>
        <color auto="1"/>
      </font>
      <fill>
        <patternFill>
          <bgColor indexed="22"/>
        </patternFill>
      </fill>
    </dxf>
    <dxf>
      <font>
        <condense val="0"/>
        <extend val="0"/>
        <color indexed="9"/>
      </font>
      <fill>
        <patternFill>
          <bgColor indexed="10"/>
        </patternFill>
      </fill>
    </dxf>
    <dxf>
      <fill>
        <patternFill>
          <bgColor indexed="44"/>
        </patternFill>
      </fill>
    </dxf>
    <dxf>
      <font>
        <b/>
        <i val="0"/>
        <condense val="0"/>
        <extend val="0"/>
      </font>
      <fill>
        <patternFill>
          <bgColor indexed="22"/>
        </patternFill>
      </fill>
    </dxf>
    <dxf>
      <font>
        <b/>
        <i val="0"/>
        <condense val="0"/>
        <extend val="0"/>
        <color indexed="9"/>
      </font>
      <fill>
        <patternFill>
          <bgColor indexed="10"/>
        </patternFill>
      </fill>
    </dxf>
    <dxf>
      <fill>
        <patternFill>
          <bgColor indexed="44"/>
        </patternFill>
      </fill>
    </dxf>
    <dxf>
      <font>
        <b/>
        <i val="0"/>
        <condense val="0"/>
        <extend val="0"/>
        <color indexed="18"/>
      </font>
      <fill>
        <patternFill patternType="darkGray">
          <fgColor indexed="9"/>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45720</xdr:colOff>
      <xdr:row>1</xdr:row>
      <xdr:rowOff>22860</xdr:rowOff>
    </xdr:from>
    <xdr:to>
      <xdr:col>5</xdr:col>
      <xdr:colOff>0</xdr:colOff>
      <xdr:row>3</xdr:row>
      <xdr:rowOff>144780</xdr:rowOff>
    </xdr:to>
    <xdr:pic>
      <xdr:nvPicPr>
        <xdr:cNvPr id="1124" name="Picture 9" descr="S:\PSA Marketing\Graphics &amp; Logos\Logos\New Logo\Sifos Technologies Logo, Low Resolutio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9720" y="243840"/>
          <a:ext cx="1165860" cy="472440"/>
        </a:xfrm>
        <a:prstGeom prst="rect">
          <a:avLst/>
        </a:prstGeom>
        <a:noFill/>
        <a:ln w="6350">
          <a:solidFill>
            <a:srgbClr val="99CC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5"/>
  <sheetViews>
    <sheetView tabSelected="1" workbookViewId="0">
      <selection activeCell="M11" sqref="M11"/>
    </sheetView>
  </sheetViews>
  <sheetFormatPr defaultRowHeight="13.2" x14ac:dyDescent="0.25"/>
  <cols>
    <col min="1" max="1" width="33" customWidth="1"/>
    <col min="2" max="2" width="23.44140625" customWidth="1"/>
    <col min="3" max="3" width="12" customWidth="1"/>
    <col min="4" max="4" width="11" bestFit="1" customWidth="1"/>
    <col min="5" max="5" width="6.6640625" customWidth="1"/>
    <col min="6" max="6" width="11" bestFit="1" customWidth="1"/>
    <col min="7" max="7" width="6.6640625" customWidth="1"/>
  </cols>
  <sheetData>
    <row r="1" spans="1:8" ht="17.399999999999999" x14ac:dyDescent="0.3">
      <c r="A1" s="122" t="s">
        <v>125</v>
      </c>
      <c r="B1" s="123"/>
      <c r="C1" s="23"/>
      <c r="D1" s="90" t="s">
        <v>1</v>
      </c>
      <c r="E1" s="24"/>
      <c r="F1" s="24"/>
      <c r="G1" s="29"/>
      <c r="H1" s="27"/>
    </row>
    <row r="2" spans="1:8" ht="12" customHeight="1" x14ac:dyDescent="0.25">
      <c r="A2" s="92" t="s">
        <v>129</v>
      </c>
      <c r="B2" s="93" t="s">
        <v>130</v>
      </c>
      <c r="C2" s="23"/>
      <c r="D2" s="30"/>
      <c r="E2" s="25"/>
      <c r="F2" s="75" t="s">
        <v>61</v>
      </c>
      <c r="G2" s="76">
        <v>3.33</v>
      </c>
      <c r="H2" s="27"/>
    </row>
    <row r="3" spans="1:8" ht="15.75" customHeight="1" x14ac:dyDescent="0.25">
      <c r="A3" s="78" t="s">
        <v>0</v>
      </c>
      <c r="B3" s="79">
        <v>1</v>
      </c>
      <c r="C3" s="23"/>
      <c r="D3" s="124"/>
      <c r="E3" s="125"/>
      <c r="F3" s="75" t="s">
        <v>127</v>
      </c>
      <c r="G3" s="110">
        <v>2</v>
      </c>
      <c r="H3" s="27"/>
    </row>
    <row r="4" spans="1:8" ht="15.75" customHeight="1" thickBot="1" x14ac:dyDescent="0.3">
      <c r="A4" s="78" t="s">
        <v>2</v>
      </c>
      <c r="B4" s="79">
        <v>4</v>
      </c>
      <c r="C4" s="23"/>
      <c r="D4" s="91"/>
      <c r="E4" s="85"/>
      <c r="F4" s="74" t="s">
        <v>60</v>
      </c>
      <c r="G4" s="73">
        <v>3.06</v>
      </c>
      <c r="H4" s="27"/>
    </row>
    <row r="5" spans="1:8" ht="13.5" customHeight="1" x14ac:dyDescent="0.25">
      <c r="A5" s="80" t="s">
        <v>64</v>
      </c>
      <c r="B5" s="81" t="s">
        <v>131</v>
      </c>
      <c r="C5" s="84"/>
      <c r="D5" s="23"/>
      <c r="E5" s="23"/>
      <c r="F5" s="23"/>
      <c r="G5" s="23"/>
      <c r="H5" s="23"/>
    </row>
    <row r="6" spans="1:8" ht="6" customHeight="1" x14ac:dyDescent="0.25">
      <c r="A6" s="82"/>
      <c r="B6" s="26"/>
      <c r="C6" s="82"/>
      <c r="D6" s="82"/>
      <c r="E6" s="82"/>
      <c r="F6" s="82"/>
      <c r="G6" s="83"/>
      <c r="H6" s="3"/>
    </row>
    <row r="7" spans="1:8" ht="15.6" x14ac:dyDescent="0.3">
      <c r="A7" s="36"/>
      <c r="B7" s="120" t="str">
        <f>"Test Cycle"</f>
        <v>Test Cycle</v>
      </c>
      <c r="C7" s="121"/>
      <c r="D7" s="5" t="s">
        <v>38</v>
      </c>
      <c r="E7" s="5" t="s">
        <v>44</v>
      </c>
      <c r="F7" s="5" t="s">
        <v>40</v>
      </c>
      <c r="G7" s="5" t="s">
        <v>44</v>
      </c>
      <c r="H7" s="3"/>
    </row>
    <row r="8" spans="1:8" ht="14.4" thickBot="1" x14ac:dyDescent="0.3">
      <c r="A8" s="47" t="s">
        <v>55</v>
      </c>
      <c r="B8" s="11">
        <v>1</v>
      </c>
      <c r="C8" s="4" t="s">
        <v>37</v>
      </c>
      <c r="D8" s="6" t="s">
        <v>39</v>
      </c>
      <c r="E8" s="6"/>
      <c r="F8" s="6" t="s">
        <v>39</v>
      </c>
      <c r="G8" s="6"/>
      <c r="H8" s="3"/>
    </row>
    <row r="9" spans="1:8" x14ac:dyDescent="0.25">
      <c r="A9" s="37" t="s">
        <v>24</v>
      </c>
      <c r="B9" s="35"/>
      <c r="C9" s="54"/>
      <c r="D9" s="19"/>
      <c r="E9" s="19"/>
      <c r="F9" s="19"/>
      <c r="G9" s="19"/>
      <c r="H9" s="3"/>
    </row>
    <row r="10" spans="1:8" ht="13.8" x14ac:dyDescent="0.3">
      <c r="A10" s="15" t="s">
        <v>15</v>
      </c>
      <c r="B10" s="48">
        <v>24.91</v>
      </c>
      <c r="C10" s="55" t="str">
        <f>IF(B10="","","Kohm")</f>
        <v>Kohm</v>
      </c>
      <c r="D10" s="52">
        <f>IF(B10="","",IF(VLOOKUP(A10,Test_Limits,2,FALSE)="","",VLOOKUP(A10,Test_Limits,2,FALSE)))</f>
        <v>23.7</v>
      </c>
      <c r="E10" s="18" t="str">
        <f>IF(B10="High","Fail",IF(D10="","",IF(TestCycles=1,IF(B10&lt;D10,IF(VLOOKUP(A10,Test_Limits,5,FALSE)="PF","Fail","Info"),"Pass"),IF(#REF!&lt;D10,IF(VLOOKUP(A10,Test_Limits,5,FALSE)="PF","Fail","Info"),"Pass"))))</f>
        <v>Pass</v>
      </c>
      <c r="F10" s="52">
        <f>IF(B10="","",IF(VLOOKUP(A10,Test_Limits,3,FALSE)="","",VLOOKUP(A10,Test_Limits,3,FALSE)))</f>
        <v>26.3</v>
      </c>
      <c r="G10" s="18" t="str">
        <f>IF(B10="High","Fail",IF(F10="","",IF(TestCycles=1,IF(B10&gt;F10,IF(VLOOKUP(A10,Test_Limits,5,FALSE)="PF","Fail","Info"),"Pass"),IF(#REF!&gt;F10,IF(VLOOKUP(A10,Test_Limits,5,FALSE)="PF","Fail","Info"),"Pass"))))</f>
        <v>Pass</v>
      </c>
      <c r="H10" s="3"/>
    </row>
    <row r="11" spans="1:8" ht="13.8" x14ac:dyDescent="0.3">
      <c r="A11" s="15" t="s">
        <v>16</v>
      </c>
      <c r="B11" s="49">
        <v>0.10100000000000001</v>
      </c>
      <c r="C11" s="55" t="str">
        <f>IF(B11="","","uF")</f>
        <v>uF</v>
      </c>
      <c r="D11" s="111">
        <f>IF(B11="","",IF(VLOOKUP(A11,Test_Limits,2,FALSE)="","",VLOOKUP(A11,Test_Limits,2,FALSE)))</f>
        <v>0.05</v>
      </c>
      <c r="E11" s="18" t="str">
        <f>IF(D11="","",IF(TestCycles=1,IF(B11&lt;D11,IF(VLOOKUP(A11,Test_Limits,5,FALSE)="PF","Fail","Info"),"Pass"),IF(#REF!&lt;D11,IF(VLOOKUP(A11,Test_Limits,5,FALSE)="PF","Fail","Info"),"Pass")))</f>
        <v>Pass</v>
      </c>
      <c r="F11" s="111">
        <f>IF(B11="","",IF(VLOOKUP(A11,Test_Limits,3,FALSE)="","",VLOOKUP(A11,Test_Limits,3,FALSE)))</f>
        <v>0.12</v>
      </c>
      <c r="G11" s="18" t="str">
        <f>IF(F11="","",IF(TestCycles=1,IF(B11&gt;F11,IF(VLOOKUP(A11,Test_Limits,5,FALSE)="PF","Fail","Info"),"Pass"),IF(#REF!&gt;F11,IF(VLOOKUP(A11,Test_Limits,5,FALSE)="PF","Fail","Info"),"Pass")))</f>
        <v>Pass</v>
      </c>
      <c r="H11" s="3"/>
    </row>
    <row r="12" spans="1:8" ht="13.8" x14ac:dyDescent="0.3">
      <c r="A12" s="16" t="s">
        <v>14</v>
      </c>
      <c r="B12" s="50">
        <v>40</v>
      </c>
      <c r="C12" s="55" t="str">
        <f>IF(B12="","","mA")</f>
        <v>mA</v>
      </c>
      <c r="D12" s="112">
        <f>IF(B12="","",IF(VLOOKUP(A12,Test_Limits,2,FALSE)="","",VLOOKUP(A12,Test_Limits,2,FALSE)))</f>
        <v>36</v>
      </c>
      <c r="E12" s="18" t="str">
        <f>IF(D12="","",IF(TestCycles=1,IF(B12&lt;D12,IF(VLOOKUP(A12,Test_Limits,5,FALSE)="PF","Fail","Info"),"Pass"),IF(#REF!&lt;D12,IF(VLOOKUP(A12,Test_Limits,5,FALSE)="PF","Fail","Info"),"Pass")))</f>
        <v>Pass</v>
      </c>
      <c r="F12" s="112">
        <f>IF(B12="","",IF(VLOOKUP(A12,Test_Limits,3,FALSE)="","",VLOOKUP(A12,Test_Limits,3,FALSE)))</f>
        <v>44</v>
      </c>
      <c r="G12" s="18" t="str">
        <f>IF(F12="","",IF(TestCycles=1,IF(B12&gt;F12,IF(VLOOKUP(A12,Test_Limits,5,FALSE)="PF","Fail","Info"),"Pass"),IF(#REF!&gt;F12,IF(VLOOKUP(A12,Test_Limits,5,FALSE)="PF","Fail","Info"),"Pass")))</f>
        <v>Pass</v>
      </c>
      <c r="H12" s="3"/>
    </row>
    <row r="13" spans="1:8" ht="13.8" x14ac:dyDescent="0.3">
      <c r="A13" s="16" t="s">
        <v>3</v>
      </c>
      <c r="B13" s="51">
        <v>4</v>
      </c>
      <c r="C13" s="56" t="str">
        <f>IF(B13="","","****")</f>
        <v>****</v>
      </c>
      <c r="D13" s="113">
        <f>IF(B13="","",IF(VLOOKUP(A13,Test_Limits,2,FALSE)="","",VLOOKUP(A13,Test_Limits,2,FALSE)))</f>
        <v>0</v>
      </c>
      <c r="E13" s="18" t="str">
        <f>IF(D13="","",IF(TestCycles=1,IF(B13&lt;D13,IF(VLOOKUP(A13,Test_Limits,5,FALSE)="PF","Fail","Info"),"Pass"),IF(#REF!&lt;D13,IF(VLOOKUP(A13,Test_Limits,5,FALSE)="PF","Fail","Info"),"Pass")))</f>
        <v>Pass</v>
      </c>
      <c r="F13" s="113">
        <f>IF(B13="","",IF(VLOOKUP(A13,Test_Limits,3,FALSE)="","",VLOOKUP(A13,Test_Limits,3,FALSE)))</f>
        <v>4</v>
      </c>
      <c r="G13" s="18" t="str">
        <f>IF(F13="","",IF(TestCycles=1,IF(B13&gt;F13,IF(VLOOKUP(A13,Test_Limits,5,FALSE)="PF","Fail","Info"),"Pass"),IF(#REF!&gt;F13,IF(VLOOKUP(A13,Test_Limits,5,FALSE)="PF","Fail","Info"),"Pass")))</f>
        <v>Pass</v>
      </c>
      <c r="H13" s="3"/>
    </row>
    <row r="14" spans="1:8" ht="13.8" x14ac:dyDescent="0.3">
      <c r="A14" s="16" t="s">
        <v>4</v>
      </c>
      <c r="B14" s="51">
        <v>2</v>
      </c>
      <c r="C14" s="56" t="str">
        <f>IF(B14="","","****")</f>
        <v>****</v>
      </c>
      <c r="D14" s="113">
        <f>IF(B14="","",IF(VLOOKUP(A14,Test_Limits,2,FALSE)="","",VLOOKUP(A14,Test_Limits,2,FALSE)))</f>
        <v>1</v>
      </c>
      <c r="E14" s="18" t="str">
        <f>IF(D14="","",IF(TestCycles=1,IF(B14&lt;D14,IF(VLOOKUP(A14,Test_Limits,5,FALSE)="PF","Fail","Info"),"Pass"),IF(#REF!&lt;D14,IF(VLOOKUP(A14,Test_Limits,5,FALSE)="PF","Fail","Info"),"Pass")))</f>
        <v>Pass</v>
      </c>
      <c r="F14" s="113">
        <f>IF(B14="","",IF(VLOOKUP(A14,Test_Limits,3,FALSE)="","",VLOOKUP(A14,Test_Limits,3,FALSE)))</f>
        <v>2</v>
      </c>
      <c r="G14" s="18" t="str">
        <f>IF(F14="","",IF(TestCycles=1,IF(B14&gt;F14,IF(VLOOKUP(A14,Test_Limits,5,FALSE)="PF","Fail","Info"),"Pass"),IF(#REF!&gt;F14,IF(VLOOKUP(A14,Test_Limits,5,FALSE)="PF","Fail","Info"),"Pass")))</f>
        <v>Pass</v>
      </c>
      <c r="H14" s="3"/>
    </row>
    <row r="15" spans="1:8" ht="13.8" x14ac:dyDescent="0.3">
      <c r="A15" s="16" t="s">
        <v>5</v>
      </c>
      <c r="B15" s="50">
        <v>36.5</v>
      </c>
      <c r="C15" s="53" t="str">
        <f>IF(SUM(B15:B15)=0,"","Volts")</f>
        <v>Volts</v>
      </c>
      <c r="D15" s="112">
        <f>IF(B15="N/A","",IF(B15="","",IF(VLOOKUP(A15,Test_Limits,2,FALSE)="","",VLOOKUP(A15,Test_Limits,2,FALSE))))</f>
        <v>30</v>
      </c>
      <c r="E15" s="18" t="str">
        <f>IF(D15="","",IF(TestCycles=1,IF(B15&lt;D15,IF(VLOOKUP(A15,Test_Limits,5,FALSE)="PF","Fail","Info"),"Pass"),IF(#REF!&lt;D15,IF(VLOOKUP(A15,Test_Limits,5,FALSE)="PF","Fail","Info"),"Pass")))</f>
        <v>Pass</v>
      </c>
      <c r="F15" s="112">
        <f>IF(B15="N/A","",IF(B15="","",IF(VLOOKUP(A15,Test_Limits,3,FALSE)="","",VLOOKUP(A15,Test_Limits,3,FALSE))))</f>
        <v>42</v>
      </c>
      <c r="G15" s="18" t="str">
        <f>IF(F15="","",IF(TestCycles=1,IF(B15&gt;F15,IF(VLOOKUP(A15,Test_Limits,5,FALSE)="PF","Fail","Info"),"Pass"),IF(#REF!&gt;F15,IF(VLOOKUP(A15,Test_Limits,5,FALSE)="PF","Fail","Info"),"Pass")))</f>
        <v>Pass</v>
      </c>
      <c r="H15" s="3"/>
    </row>
    <row r="16" spans="1:8" ht="13.8" x14ac:dyDescent="0.3">
      <c r="A16" s="16" t="s">
        <v>6</v>
      </c>
      <c r="B16" s="72">
        <v>32.200000000000003</v>
      </c>
      <c r="C16" s="53" t="str">
        <f>IF(SUM(B16:B16)=0,"","Volts")</f>
        <v>Volts</v>
      </c>
      <c r="D16" s="112">
        <f>IF(B16="N/A","",IF(B16="","",IF(VLOOKUP(A16,Test_Limits,2,FALSE)="","",VLOOKUP(A16,Test_Limits,2,FALSE))))</f>
        <v>30</v>
      </c>
      <c r="E16" s="18" t="str">
        <f>IF(D16="","",IF(TestCycles=1,IF(B16&lt;D16,IF(VLOOKUP(A16,Test_Limits,5,FALSE)="PF","Fail","Info"),"Pass"),IF(#REF!&lt;D16,IF(VLOOKUP(A16,Test_Limits,5,FALSE)="PF","Fail","Info"),"Pass")))</f>
        <v>Pass</v>
      </c>
      <c r="F16" s="112">
        <f>IF(B16="N/A","",IF(B16="","",IF(VLOOKUP(A16,Test_Limits,3,FALSE)="","",VLOOKUP(A16,Test_Limits,3,FALSE))))</f>
        <v>42.5</v>
      </c>
      <c r="G16" s="18" t="str">
        <f>IF(F16="","",IF(TestCycles=1,IF(B16&gt;F16,IF(VLOOKUP(A16,Test_Limits,5,FALSE)="PF","Fail","Info"),"Pass"),IF(#REF!&gt;F16,IF(VLOOKUP(A16,Test_Limits,5,FALSE)="PF","Fail","Info"),"Pass")))</f>
        <v>Pass</v>
      </c>
      <c r="H16" s="3"/>
    </row>
    <row r="17" spans="1:8" ht="13.8" x14ac:dyDescent="0.3">
      <c r="A17" s="16" t="s">
        <v>65</v>
      </c>
      <c r="B17" s="119">
        <v>9.0999999999999998E-2</v>
      </c>
      <c r="C17" s="57" t="str">
        <f>IF(B17="","","W-s")</f>
        <v>W-s</v>
      </c>
      <c r="D17" s="111">
        <f>IF(B17="N/A","",IF(B17="","",IF(VLOOKUP(A17,Test_Limits,2,FALSE)="","",VLOOKUP(A17,Test_Limits,2,FALSE))))</f>
        <v>0</v>
      </c>
      <c r="E17" s="18" t="str">
        <f>IF(D17="","",IF(TestCycles=1,IF(B17&lt;D17,IF(VLOOKUP(A17,Test_Limits,5,FALSE)="PF","Fail","Info"),"Pass"),IF(#REF!&lt;D17,IF(VLOOKUP(A17,Test_Limits,5,FALSE)="PF","Fail","Info"),"Pass")))</f>
        <v>Pass</v>
      </c>
      <c r="F17" s="111">
        <f>IF(B17="N/A","",IF(B17="","",IF(VLOOKUP(A17,Test_Limits,3,FALSE)="","",VLOOKUP(A17,Test_Limits,3,FALSE))))</f>
        <v>0.35</v>
      </c>
      <c r="G17" s="18" t="str">
        <f>IF(F17="","",IF(TestCycles=1,IF(B17&gt;F17,IF(VLOOKUP(A17,Test_Limits,5,FALSE)="PF","Fail","Info"),"Pass"),IF(#REF!&gt;F17,IF(VLOOKUP(A17,Test_Limits,5,FALSE)="PF","Fail","Info"),"Pass")))</f>
        <v>Pass</v>
      </c>
      <c r="H17" s="3"/>
    </row>
    <row r="18" spans="1:8" x14ac:dyDescent="0.25">
      <c r="A18" s="38" t="s">
        <v>7</v>
      </c>
      <c r="B18" s="35"/>
      <c r="C18" s="54"/>
      <c r="D18" s="19"/>
      <c r="E18" s="19"/>
      <c r="F18" s="19"/>
      <c r="G18" s="19"/>
      <c r="H18" s="3"/>
    </row>
    <row r="19" spans="1:8" ht="13.8" x14ac:dyDescent="0.3">
      <c r="A19" s="16" t="s">
        <v>10</v>
      </c>
      <c r="B19" s="48">
        <v>3.98</v>
      </c>
      <c r="C19" s="57" t="str">
        <f>IF(B19="","","Watts")</f>
        <v>Watts</v>
      </c>
      <c r="D19" s="52">
        <f>IF(B19="","",IF(VLOOKUP(A19,Test_Limits,2,FALSE)="","",VLOOKUP(A19,Test_Limits,2,FALSE)))</f>
        <v>0</v>
      </c>
      <c r="E19" s="18" t="str">
        <f>IF(D19="","",IF(TestCycles=1,IF(B19&lt;D19,IF(VLOOKUP(A19,Test_Limits,5,FALSE)="PF","Fail","Info"),"Pass"),IF(#REF!&lt;D19,IF(VLOOKUP(A19,Test_Limits,5,FALSE)="PF","Fail","Info"),"Pass")))</f>
        <v>Pass</v>
      </c>
      <c r="F19" s="52">
        <f>IF(B19="","",IF(VLOOKUP(A19,Test_Limits,3,FALSE)="","",VLOOKUP(A19,Test_Limits,3,FALSE)))</f>
        <v>13</v>
      </c>
      <c r="G19" s="18" t="str">
        <f>IF(F19="","",IF(TestCycles=1,IF(B19&gt;F19,IF(VLOOKUP(A19,Test_Limits,5,FALSE)="PF","Fail","Info"),"Pass"),IF(#REF!&gt;F19,IF(VLOOKUP(A19,Test_Limits,5,FALSE)="PF","Fail","Info"),"Pass")))</f>
        <v>Pass</v>
      </c>
      <c r="H19" s="3"/>
    </row>
    <row r="20" spans="1:8" ht="13.8" x14ac:dyDescent="0.3">
      <c r="A20" s="16" t="s">
        <v>9</v>
      </c>
      <c r="B20" s="48">
        <v>5.32</v>
      </c>
      <c r="C20" s="57" t="str">
        <f>IF(B20="","","Watts")</f>
        <v>Watts</v>
      </c>
      <c r="D20" s="52">
        <f>IF(B20="","",IF(VLOOKUP(A20,Test_Limits,2,FALSE)="","",VLOOKUP(A20,Test_Limits,2,FALSE)))</f>
        <v>0</v>
      </c>
      <c r="E20" s="18" t="str">
        <f>IF(D20="","",IF(TestCycles=1,IF(B20&lt;D20,IF(VLOOKUP(A20,Test_Limits,5,FALSE)="PF","Fail","Info"),"Pass"),IF(#REF!&lt;D20,IF(VLOOKUP(A20,Test_Limits,5,FALSE)="PF","Fail","Info"),"Pass")))</f>
        <v>Pass</v>
      </c>
      <c r="F20" s="52">
        <f>IF(B20="","",IF(VLOOKUP(A20,Test_Limits,3,FALSE)="","",VLOOKUP(A20,Test_Limits,3,FALSE)))</f>
        <v>14.4</v>
      </c>
      <c r="G20" s="18" t="str">
        <f>IF(F20="","",IF(TestCycles=1,IF(B20&gt;F20,IF(VLOOKUP(A20,Test_Limits,5,FALSE)="PF","Fail","Info"),"Pass"),IF(#REF!&gt;F20,IF(VLOOKUP(A20,Test_Limits,5,FALSE)="PF","Fail","Info"),"Pass")))</f>
        <v>Pass</v>
      </c>
      <c r="H20" s="3"/>
    </row>
    <row r="21" spans="1:8" ht="13.8" x14ac:dyDescent="0.3">
      <c r="A21" s="16" t="s">
        <v>56</v>
      </c>
      <c r="B21" s="50">
        <v>110.6</v>
      </c>
      <c r="C21" s="53" t="str">
        <f>IF(B21="","","mA")</f>
        <v>mA</v>
      </c>
      <c r="D21" s="112">
        <f>IF(B21="","",IF(VLOOKUP(A21,Test_Limits,2,FALSE)="","",VLOOKUP(A21,Test_Limits,2,FALSE)))</f>
        <v>10</v>
      </c>
      <c r="E21" s="18" t="str">
        <f>IF(D21="","",IF(TestCycles=1,IF(B21&lt;D21,IF(VLOOKUP(A21,Test_Limits,5,FALSE)="PF","Fail","Info"),"Pass"),IF(#REF!&lt;D21,IF(VLOOKUP(A21,Test_Limits,5,FALSE)="PF","Fail","Info"),"Pass")))</f>
        <v>Pass</v>
      </c>
      <c r="F21" s="112">
        <f>IF(B21="","",IF(VLOOKUP(A21,Test_Limits,3,FALSE)="","",VLOOKUP(A21,Test_Limits,3,FALSE)))</f>
        <v>300</v>
      </c>
      <c r="G21" s="18" t="str">
        <f>IF(F21="","",IF(TestCycles=1,IF(B21&gt;F21,IF(VLOOKUP(A21,Test_Limits,5,FALSE)="PF","Fail","Info"),"Pass"),IF(#REF!&gt;F21,IF(VLOOKUP(A21,Test_Limits,5,FALSE)="PF","Fail","Info"),"Pass")))</f>
        <v>Pass</v>
      </c>
      <c r="H21" s="3"/>
    </row>
    <row r="22" spans="1:8" ht="13.8" x14ac:dyDescent="0.3">
      <c r="A22" s="16" t="s">
        <v>62</v>
      </c>
      <c r="B22" s="50">
        <v>54.5</v>
      </c>
      <c r="C22" s="53" t="str">
        <f>IF(B22="","","mA")</f>
        <v>mA</v>
      </c>
      <c r="D22" s="112">
        <f>IF(B22="","",IF(VLOOKUP(A22,Test_Limits,2,FALSE)="","",VLOOKUP(A22,Test_Limits,2,FALSE)))</f>
        <v>10</v>
      </c>
      <c r="E22" s="18" t="str">
        <f>IF(D22="","",IF(TestCycles=1,IF(B22&lt;D22,IF(VLOOKUP(A22,Test_Limits,5,FALSE)="PF","Fail","Info"),"Pass"),IF(#REF!&lt;D22,IF(VLOOKUP(A22,Test_Limits,5,FALSE)="PF","Fail","Info"),"Pass")))</f>
        <v>Pass</v>
      </c>
      <c r="F22" s="112">
        <f>IF(B22="","",IF(VLOOKUP(A22,Test_Limits,3,FALSE)="","",VLOOKUP(A22,Test_Limits,3,FALSE)))</f>
        <v>270.83333333333331</v>
      </c>
      <c r="G22" s="18" t="str">
        <f>IF(F22="","",IF(TestCycles=1,IF(B22&gt;F22,IF(VLOOKUP(A22,Test_Limits,5,FALSE)="PF","Fail","Info"),"Pass"),IF(#REF!&gt;F22,IF(VLOOKUP(A22,Test_Limits,5,FALSE)="PF","Fail","Info"),"Pass")))</f>
        <v>Pass</v>
      </c>
      <c r="H22" s="3"/>
    </row>
    <row r="23" spans="1:8" ht="13.8" x14ac:dyDescent="0.3">
      <c r="A23" s="16" t="s">
        <v>57</v>
      </c>
      <c r="B23" s="50">
        <v>83.1</v>
      </c>
      <c r="C23" s="53" t="str">
        <f>IF(B23="","","mA")</f>
        <v>mA</v>
      </c>
      <c r="D23" s="112">
        <f>IF(B23="","",IF(VLOOKUP(A23,Test_Limits,2,FALSE)="","",VLOOKUP(A23,Test_Limits,2,FALSE)))</f>
        <v>2.2999999999999998</v>
      </c>
      <c r="E23" s="18" t="str">
        <f>IF(D23="","",IF(TestCycles=1,IF(B23&lt;D23,IF(VLOOKUP(A23,Test_Limits,5,FALSE)="PF","Fail","Info"),"Pass"),IF(#REF!&lt;D23,IF(VLOOKUP(A23,Test_Limits,5,FALSE)="PF","Fail","Info"),"Pass")))</f>
        <v>Pass</v>
      </c>
      <c r="F23" s="112">
        <f>IF(B23="","",IF(VLOOKUP(A23,Test_Limits,3,FALSE)="","",VLOOKUP(A23,Test_Limits,3,FALSE)))</f>
        <v>270.83333333333331</v>
      </c>
      <c r="G23" s="18" t="str">
        <f>IF(F23="","",IF(TestCycles=1,IF(B23&gt;F23,IF(VLOOKUP(A23,Test_Limits,5,FALSE)="PF","Fail","Info"),"Pass"),IF(#REF!&gt;F23,IF(VLOOKUP(A23,Test_Limits,5,FALSE)="PF","Fail","Info"),"Pass")))</f>
        <v>Pass</v>
      </c>
      <c r="H23" s="3"/>
    </row>
    <row r="24" spans="1:8" x14ac:dyDescent="0.25">
      <c r="A24" s="38" t="s">
        <v>8</v>
      </c>
      <c r="B24" s="35"/>
      <c r="C24" s="54"/>
      <c r="D24" s="19"/>
      <c r="E24" s="19"/>
      <c r="F24" s="19"/>
      <c r="G24" s="19"/>
      <c r="H24" s="3"/>
    </row>
    <row r="25" spans="1:8" ht="13.8" x14ac:dyDescent="0.3">
      <c r="A25" s="16" t="s">
        <v>13</v>
      </c>
      <c r="B25" s="50">
        <v>0.79</v>
      </c>
      <c r="C25" s="53" t="str">
        <f>IF(B25="","","mA")</f>
        <v>mA</v>
      </c>
      <c r="D25" s="112">
        <f t="shared" ref="D25:D31" si="0">IF(B25="","",IF(VLOOKUP(A25,Test_Limits,2,FALSE)="","",VLOOKUP(A25,Test_Limits,2,FALSE)))</f>
        <v>0.25</v>
      </c>
      <c r="E25" s="18" t="str">
        <f>IF(D25="","",IF(TestCycles=1,IF(B25&lt;D25,IF(VLOOKUP(A25,Test_Limits,5,FALSE)="PF","Fail","Info"),"Pass"),IF(#REF!&lt;D25,IF(VLOOKUP(A25,Test_Limits,5,FALSE)="PF","Fail","Info"),"Pass")))</f>
        <v>Pass</v>
      </c>
      <c r="F25" s="112">
        <f t="shared" ref="F25:F31" si="1">IF(B25="","",IF(VLOOKUP(A25,Test_Limits,3,FALSE)="","",VLOOKUP(A25,Test_Limits,3,FALSE)))</f>
        <v>4</v>
      </c>
      <c r="G25" s="18" t="str">
        <f>IF(F25="","",IF(TestCycles=1,IF(B25&gt;F25,IF(VLOOKUP(A25,Test_Limits,5,FALSE)="PF","Fail","Info"),"Pass"),IF(#REF!&gt;F25,IF(VLOOKUP(A25,Test_Limits,5,FALSE)="PF","Fail","Info"),"Pass")))</f>
        <v>Pass</v>
      </c>
      <c r="H25" s="3"/>
    </row>
    <row r="26" spans="1:8" ht="13.8" x14ac:dyDescent="0.3">
      <c r="A26" s="16" t="s">
        <v>11</v>
      </c>
      <c r="B26" s="48">
        <v>4.29</v>
      </c>
      <c r="C26" s="57" t="str">
        <f>IF(B26="","","Watts")</f>
        <v>Watts</v>
      </c>
      <c r="D26" s="52">
        <f t="shared" si="0"/>
        <v>0</v>
      </c>
      <c r="E26" s="18" t="str">
        <f>IF(D26="","",IF(TestCycles=1,IF(B26&lt;D26,IF(VLOOKUP(A26,Test_Limits,5,FALSE)="PF","Fail","Info"),"Pass"),IF(#REF!&lt;D26,IF(VLOOKUP(A26,Test_Limits,5,FALSE)="PF","Fail","Info"),"Pass")))</f>
        <v>Pass</v>
      </c>
      <c r="F26" s="52">
        <f t="shared" si="1"/>
        <v>25.5</v>
      </c>
      <c r="G26" s="18" t="str">
        <f>IF(F26="","",IF(TestCycles=1,IF(B26&gt;F26,IF(VLOOKUP(A26,Test_Limits,5,FALSE)="PF","Fail","Info"),"Pass"),IF(#REF!&gt;F26,IF(VLOOKUP(A26,Test_Limits,5,FALSE)="PF","Fail","Info"),"Pass")))</f>
        <v>Pass</v>
      </c>
      <c r="H26" s="3"/>
    </row>
    <row r="27" spans="1:8" ht="13.8" x14ac:dyDescent="0.3">
      <c r="A27" s="16" t="s">
        <v>12</v>
      </c>
      <c r="B27" s="48">
        <v>5.62</v>
      </c>
      <c r="C27" s="57" t="str">
        <f>IF(B27="","","Watts")</f>
        <v>Watts</v>
      </c>
      <c r="D27" s="52">
        <f t="shared" si="0"/>
        <v>0</v>
      </c>
      <c r="E27" s="18" t="str">
        <f>IF(D27="","",IF(TestCycles=1,IF(B27&lt;D27,IF(VLOOKUP(A27,Test_Limits,5,FALSE)="PF","Fail","Info"),"Pass"),IF(#REF!&lt;D27,IF(VLOOKUP(A27,Test_Limits,5,FALSE)="PF","Fail","Info"),"Pass")))</f>
        <v>Pass</v>
      </c>
      <c r="F27" s="52">
        <f t="shared" si="1"/>
        <v>28.3</v>
      </c>
      <c r="G27" s="18" t="str">
        <f>IF(F27="","",IF(TestCycles=1,IF(B27&gt;F27,IF(VLOOKUP(A27,Test_Limits,5,FALSE)="PF","Fail","Info"),"Pass"),IF(#REF!&gt;F27,IF(VLOOKUP(A27,Test_Limits,5,FALSE)="PF","Fail","Info"),"Pass")))</f>
        <v>Pass</v>
      </c>
      <c r="H27" s="3"/>
    </row>
    <row r="28" spans="1:8" ht="13.8" x14ac:dyDescent="0.3">
      <c r="A28" s="16" t="s">
        <v>17</v>
      </c>
      <c r="B28" s="48">
        <v>2.99</v>
      </c>
      <c r="C28" s="57" t="str">
        <f>IF(B28="","","Watts")</f>
        <v>Watts</v>
      </c>
      <c r="D28" s="52">
        <f t="shared" si="0"/>
        <v>0</v>
      </c>
      <c r="E28" s="18" t="str">
        <f>IF(D28="","",IF(TestCycles=1,IF(B28&lt;D28,IF(VLOOKUP(A28,Test_Limits,5,FALSE)="PF","Fail","Info"),"Pass"),IF(#REF!&lt;D28,IF(VLOOKUP(A28,Test_Limits,5,FALSE)="PF","Fail","Info"),"Pass")))</f>
        <v>Pass</v>
      </c>
      <c r="F28" s="52">
        <f t="shared" si="1"/>
        <v>14.4</v>
      </c>
      <c r="G28" s="18" t="str">
        <f>IF(F28="","",IF(TestCycles=1,IF(B28&gt;F28,IF(VLOOKUP(A28,Test_Limits,5,FALSE)="PF","Fail","Info"),"Pass"),IF(#REF!&gt;F28,IF(VLOOKUP(A28,Test_Limits,5,FALSE)="PF","Fail","Info"),"Pass")))</f>
        <v>Pass</v>
      </c>
      <c r="H28" s="3"/>
    </row>
    <row r="29" spans="1:8" ht="13.8" x14ac:dyDescent="0.3">
      <c r="A29" s="16" t="s">
        <v>58</v>
      </c>
      <c r="B29" s="50">
        <v>104</v>
      </c>
      <c r="C29" s="53" t="str">
        <f>IF(B29="","","mA")</f>
        <v>mA</v>
      </c>
      <c r="D29" s="112">
        <f t="shared" si="0"/>
        <v>10</v>
      </c>
      <c r="E29" s="18" t="str">
        <f>IF(D29="","",IF(TestCycles=1,IF(B29&lt;D29,IF(VLOOKUP(A29,Test_Limits,5,FALSE)="PF","Fail","Info"),"Pass"),IF(#REF!&lt;D29,IF(VLOOKUP(A29,Test_Limits,5,FALSE)="PF","Fail","Info"),"Pass")))</f>
        <v>Pass</v>
      </c>
      <c r="F29" s="112">
        <f t="shared" si="1"/>
        <v>524.07407407407413</v>
      </c>
      <c r="G29" s="18" t="str">
        <f>IF(F29="","",IF(TestCycles=1,IF(B29&gt;F29,IF(VLOOKUP(A29,Test_Limits,5,FALSE)="PF","Fail","Info"),"Pass"),IF(#REF!&gt;F29,IF(VLOOKUP(A29,Test_Limits,5,FALSE)="PF","Fail","Info"),"Pass")))</f>
        <v>Pass</v>
      </c>
      <c r="H29" s="3"/>
    </row>
    <row r="30" spans="1:8" ht="13.8" x14ac:dyDescent="0.3">
      <c r="A30" s="16" t="s">
        <v>63</v>
      </c>
      <c r="B30" s="50">
        <v>56.3</v>
      </c>
      <c r="C30" s="53" t="str">
        <f>IF(B30="","","mA")</f>
        <v>mA</v>
      </c>
      <c r="D30" s="112">
        <f t="shared" si="0"/>
        <v>10</v>
      </c>
      <c r="E30" s="18" t="str">
        <f>IF(D30="","",IF(TestCycles=1,IF(B30&lt;D30,IF(VLOOKUP(A30,Test_Limits,5,FALSE)="PF","Fail","Info"),"Pass"),IF(#REF!&lt;D30,IF(VLOOKUP(A30,Test_Limits,5,FALSE)="PF","Fail","Info"),"Pass")))</f>
        <v>Pass</v>
      </c>
      <c r="F30" s="112">
        <f t="shared" si="1"/>
        <v>472.22222222222223</v>
      </c>
      <c r="G30" s="18" t="str">
        <f>IF(F30="","",IF(TestCycles=1,IF(B30&gt;F30,IF(VLOOKUP(A30,Test_Limits,5,FALSE)="PF","Fail","Info"),"Pass"),IF(#REF!&gt;F30,IF(VLOOKUP(A30,Test_Limits,5,FALSE)="PF","Fail","Info"),"Pass")))</f>
        <v>Pass</v>
      </c>
      <c r="H30" s="3"/>
    </row>
    <row r="31" spans="1:8" ht="14.4" thickBot="1" x14ac:dyDescent="0.35">
      <c r="A31" s="62" t="s">
        <v>59</v>
      </c>
      <c r="B31" s="63">
        <v>79.5</v>
      </c>
      <c r="C31" s="64" t="str">
        <f>IF(B31="","","mA")</f>
        <v>mA</v>
      </c>
      <c r="D31" s="118">
        <f t="shared" si="0"/>
        <v>2.2999999999999998</v>
      </c>
      <c r="E31" s="87" t="str">
        <f>IF(D31="","",IF(TestCycles=1,IF(B31&lt;D31,IF(VLOOKUP(A31,Test_Limits,5,FALSE)="PF","Fail","Info"),"Pass"),IF(#REF!&lt;D31,IF(VLOOKUP(A31,Test_Limits,5,FALSE)="PF","Fail","Info"),"Pass")))</f>
        <v>Pass</v>
      </c>
      <c r="F31" s="118">
        <f t="shared" si="1"/>
        <v>472.22222222222223</v>
      </c>
      <c r="G31" s="87" t="str">
        <f>IF(F31="","",IF(TestCycles=1,IF(B31&gt;F31,IF(VLOOKUP(A31,Test_Limits,5,FALSE)="PF","Fail","Info"),"Pass"),IF(#REF!&gt;F31,IF(VLOOKUP(A31,Test_Limits,5,FALSE)="PF","Fail","Info"),"Pass")))</f>
        <v>Pass</v>
      </c>
      <c r="H31" s="3"/>
    </row>
    <row r="32" spans="1:8" x14ac:dyDescent="0.25">
      <c r="A32" s="67" t="s">
        <v>26</v>
      </c>
      <c r="B32" s="65"/>
      <c r="C32" s="66"/>
      <c r="D32" s="86"/>
      <c r="E32" s="86"/>
      <c r="F32" s="86"/>
      <c r="G32" s="86"/>
      <c r="H32" s="3"/>
    </row>
    <row r="33" spans="1:8" ht="13.8" x14ac:dyDescent="0.3">
      <c r="A33" s="15" t="s">
        <v>15</v>
      </c>
      <c r="B33" s="48">
        <v>24.93</v>
      </c>
      <c r="C33" s="55" t="str">
        <f>IF(B33="","","Kohm")</f>
        <v>Kohm</v>
      </c>
      <c r="D33" s="52">
        <f>IF(B33="","",IF(VLOOKUP(A33,Test_Limits,2,FALSE)="","",VLOOKUP(A33,Test_Limits,2,FALSE)))</f>
        <v>23.7</v>
      </c>
      <c r="E33" s="18" t="str">
        <f>IF(D33="","",IF(TestCycles=1,IF(B33&lt;D33,IF(VLOOKUP(A33,Test_Limits,5,FALSE)="PF","Fail","Info"),"Pass"),IF(#REF!&lt;D33,IF(VLOOKUP(A33,Test_Limits,5,FALSE)="PF","Fail","Info"),"Pass")))</f>
        <v>Pass</v>
      </c>
      <c r="F33" s="52">
        <f>IF(B33="","",IF(VLOOKUP(A33,Test_Limits,3,FALSE)="","",VLOOKUP(A33,Test_Limits,3,FALSE)))</f>
        <v>26.3</v>
      </c>
      <c r="G33" s="18" t="str">
        <f>IF(F33="","",IF(TestCycles=1,IF(B33&gt;F33,IF(VLOOKUP(A33,Test_Limits,5,FALSE)="PF","Fail","Info"),"Pass"),IF(#REF!&gt;F33,IF(VLOOKUP(A33,Test_Limits,5,FALSE)="PF","Fail","Info"),"Pass")))</f>
        <v>Pass</v>
      </c>
      <c r="H33" s="3"/>
    </row>
    <row r="34" spans="1:8" ht="13.8" x14ac:dyDescent="0.3">
      <c r="A34" s="15" t="s">
        <v>16</v>
      </c>
      <c r="B34" s="49">
        <v>0.10100000000000001</v>
      </c>
      <c r="C34" s="55" t="str">
        <f>IF(B34="","","uF")</f>
        <v>uF</v>
      </c>
      <c r="D34" s="111">
        <f>IF(B34="","",IF(VLOOKUP(A34,Test_Limits,2,FALSE)="","",VLOOKUP(A34,Test_Limits,2,FALSE)))</f>
        <v>0.05</v>
      </c>
      <c r="E34" s="18" t="str">
        <f>IF(D34="","",IF(TestCycles=1,IF(B34&lt;D34,IF(VLOOKUP(A34,Test_Limits,5,FALSE)="PF","Fail","Info"),"Pass"),IF(#REF!&lt;D34,IF(VLOOKUP(A34,Test_Limits,5,FALSE)="PF","Fail","Info"),"Pass")))</f>
        <v>Pass</v>
      </c>
      <c r="F34" s="111">
        <f>IF(B34="","",IF(VLOOKUP(A34,Test_Limits,3,FALSE)="","",VLOOKUP(A34,Test_Limits,3,FALSE)))</f>
        <v>0.12</v>
      </c>
      <c r="G34" s="18" t="str">
        <f>IF(F34="","",IF(TestCycles=1,IF(B34&gt;F34,IF(VLOOKUP(A34,Test_Limits,5,FALSE)="PF","Fail","Info"),"Pass"),IF(#REF!&gt;F34,IF(VLOOKUP(A34,Test_Limits,5,FALSE)="PF","Fail","Info"),"Pass")))</f>
        <v>Pass</v>
      </c>
      <c r="H34" s="3"/>
    </row>
    <row r="35" spans="1:8" ht="13.8" x14ac:dyDescent="0.3">
      <c r="A35" s="16" t="s">
        <v>14</v>
      </c>
      <c r="B35" s="50">
        <v>40</v>
      </c>
      <c r="C35" s="55" t="str">
        <f>IF(B35="","","mA")</f>
        <v>mA</v>
      </c>
      <c r="D35" s="112">
        <f>IF(B35="","",IF(VLOOKUP(A35,Test_Limits,2,FALSE)="","",VLOOKUP(A35,Test_Limits,2,FALSE)))</f>
        <v>36</v>
      </c>
      <c r="E35" s="18" t="str">
        <f>IF(D35="","",IF(TestCycles=1,IF(B35&lt;D35,IF(VLOOKUP(A35,Test_Limits,5,FALSE)="PF","Fail","Info"),"Pass"),IF(#REF!&lt;D35,IF(VLOOKUP(A35,Test_Limits,5,FALSE)="PF","Fail","Info"),"Pass")))</f>
        <v>Pass</v>
      </c>
      <c r="F35" s="112">
        <f>IF(B35="","",IF(VLOOKUP(A35,Test_Limits,3,FALSE)="","",VLOOKUP(A35,Test_Limits,3,FALSE)))</f>
        <v>44</v>
      </c>
      <c r="G35" s="18" t="str">
        <f>IF(F35="","",IF(TestCycles=1,IF(B35&gt;F35,IF(VLOOKUP(A35,Test_Limits,5,FALSE)="PF","Fail","Info"),"Pass"),IF(#REF!&gt;F35,IF(VLOOKUP(A35,Test_Limits,5,FALSE)="PF","Fail","Info"),"Pass")))</f>
        <v>Pass</v>
      </c>
      <c r="H35" s="3"/>
    </row>
    <row r="36" spans="1:8" ht="13.8" x14ac:dyDescent="0.3">
      <c r="A36" s="16" t="s">
        <v>3</v>
      </c>
      <c r="B36" s="51">
        <v>4</v>
      </c>
      <c r="C36" s="56" t="str">
        <f>IF(B36="","","****")</f>
        <v>****</v>
      </c>
      <c r="D36" s="113">
        <f>IF(B36="","",IF(VLOOKUP(A36,Test_Limits,2,FALSE)="","",VLOOKUP(A36,Test_Limits,2,FALSE)))</f>
        <v>0</v>
      </c>
      <c r="E36" s="18" t="str">
        <f>IF(D36="","",IF(TestCycles=1,IF(B36&lt;D36,IF(VLOOKUP(A36,Test_Limits,5,FALSE)="PF","Fail","Info"),"Pass"),IF(#REF!&lt;D36,IF(VLOOKUP(A36,Test_Limits,5,FALSE)="PF","Fail","Info"),"Pass")))</f>
        <v>Pass</v>
      </c>
      <c r="F36" s="113">
        <f>IF(B36="","",IF(VLOOKUP(A36,Test_Limits,3,FALSE)="","",VLOOKUP(A36,Test_Limits,3,FALSE)))</f>
        <v>4</v>
      </c>
      <c r="G36" s="18" t="str">
        <f>IF(F36="","",IF(TestCycles=1,IF(B36&gt;F36,IF(VLOOKUP(A36,Test_Limits,5,FALSE)="PF","Fail","Info"),"Pass"),IF(#REF!&gt;F36,IF(VLOOKUP(A36,Test_Limits,5,FALSE)="PF","Fail","Info"),"Pass")))</f>
        <v>Pass</v>
      </c>
      <c r="H36" s="3"/>
    </row>
    <row r="37" spans="1:8" ht="13.8" x14ac:dyDescent="0.3">
      <c r="A37" s="16" t="s">
        <v>4</v>
      </c>
      <c r="B37" s="51">
        <v>2</v>
      </c>
      <c r="C37" s="56" t="str">
        <f>IF(B37="","","****")</f>
        <v>****</v>
      </c>
      <c r="D37" s="113">
        <f>IF(B37="","",IF(VLOOKUP(A37,Test_Limits,2,FALSE)="","",VLOOKUP(A37,Test_Limits,2,FALSE)))</f>
        <v>1</v>
      </c>
      <c r="E37" s="18" t="str">
        <f>IF(D37="","",IF(TestCycles=1,IF(B37&lt;D37,IF(VLOOKUP(A37,Test_Limits,5,FALSE)="PF","Fail","Info"),"Pass"),IF(#REF!&lt;D37,IF(VLOOKUP(A37,Test_Limits,5,FALSE)="PF","Fail","Info"),"Pass")))</f>
        <v>Pass</v>
      </c>
      <c r="F37" s="113">
        <f>IF(B37="","",IF(VLOOKUP(A37,Test_Limits,3,FALSE)="","",VLOOKUP(A37,Test_Limits,3,FALSE)))</f>
        <v>2</v>
      </c>
      <c r="G37" s="18" t="str">
        <f>IF(F37="","",IF(TestCycles=1,IF(B37&gt;F37,IF(VLOOKUP(A37,Test_Limits,5,FALSE)="PF","Fail","Info"),"Pass"),IF(#REF!&gt;F37,IF(VLOOKUP(A37,Test_Limits,5,FALSE)="PF","Fail","Info"),"Pass")))</f>
        <v>Pass</v>
      </c>
      <c r="H37" s="3"/>
    </row>
    <row r="38" spans="1:8" ht="13.8" x14ac:dyDescent="0.3">
      <c r="A38" s="16" t="s">
        <v>5</v>
      </c>
      <c r="B38" s="50">
        <v>36.5</v>
      </c>
      <c r="C38" s="53" t="str">
        <f>IF(B38="","","Volts")</f>
        <v>Volts</v>
      </c>
      <c r="D38" s="112">
        <f>IF(B38="N/A","",IF(B38="","",IF(VLOOKUP(A38,Test_Limits,2,FALSE)="","",VLOOKUP(A38,Test_Limits,2,FALSE))))</f>
        <v>30</v>
      </c>
      <c r="E38" s="18" t="str">
        <f>IF(D38="","",IF(TestCycles=1,IF(B38&lt;D38,IF(VLOOKUP(A38,Test_Limits,5,FALSE)="PF","Fail","Info"),"Pass"),IF(#REF!&lt;D38,IF(VLOOKUP(A38,Test_Limits,5,FALSE)="PF","Fail","Info"),"Pass")))</f>
        <v>Pass</v>
      </c>
      <c r="F38" s="112">
        <f>IF(B38="N/A","",IF(B38="","",IF(VLOOKUP(A38,Test_Limits,3,FALSE)="","",VLOOKUP(A38,Test_Limits,3,FALSE))))</f>
        <v>42</v>
      </c>
      <c r="G38" s="18" t="str">
        <f>IF(F38="","",IF(TestCycles=1,IF(B38&gt;F38,IF(VLOOKUP(A38,Test_Limits,5,FALSE)="PF","Fail","Info"),"Pass"),IF(#REF!&gt;F38,IF(VLOOKUP(A38,Test_Limits,5,FALSE)="PF","Fail","Info"),"Pass")))</f>
        <v>Pass</v>
      </c>
      <c r="H38" s="3"/>
    </row>
    <row r="39" spans="1:8" ht="13.8" x14ac:dyDescent="0.3">
      <c r="A39" s="16" t="s">
        <v>6</v>
      </c>
      <c r="B39" s="72">
        <v>32.200000000000003</v>
      </c>
      <c r="C39" s="53" t="str">
        <f>IF(SUM(B39:B39)=0,"","Volts")</f>
        <v>Volts</v>
      </c>
      <c r="D39" s="112">
        <f>IF(B39="N/A","",IF(B39="","",IF(VLOOKUP(A39,Test_Limits,2,FALSE)="","",VLOOKUP(A39,Test_Limits,2,FALSE))))</f>
        <v>30</v>
      </c>
      <c r="E39" s="18" t="str">
        <f>IF(D39="","",IF(TestCycles=1,IF(B39&lt;D39,IF(VLOOKUP(A39,Test_Limits,5,FALSE)="PF","Fail","Info"),"Pass"),IF(#REF!&lt;D39,IF(VLOOKUP(A39,Test_Limits,5,FALSE)="PF","Fail","Info"),"Pass")))</f>
        <v>Pass</v>
      </c>
      <c r="F39" s="112">
        <f>IF(B39="N/A","",IF(B39="","",IF(VLOOKUP(A39,Test_Limits,3,FALSE)="","",VLOOKUP(A39,Test_Limits,3,FALSE))))</f>
        <v>42.5</v>
      </c>
      <c r="G39" s="18" t="str">
        <f>IF(F39="","",IF(TestCycles=1,IF(B39&gt;F39,IF(VLOOKUP(A39,Test_Limits,5,FALSE)="PF","Fail","Info"),"Pass"),IF(#REF!&gt;F39,IF(VLOOKUP(A39,Test_Limits,5,FALSE)="PF","Fail","Info"),"Pass")))</f>
        <v>Pass</v>
      </c>
      <c r="H39" s="3"/>
    </row>
    <row r="40" spans="1:8" ht="13.8" x14ac:dyDescent="0.3">
      <c r="A40" s="16" t="s">
        <v>65</v>
      </c>
      <c r="B40" s="119">
        <v>9.2999999999999999E-2</v>
      </c>
      <c r="C40" s="57" t="str">
        <f>IF(B40="","","W-s")</f>
        <v>W-s</v>
      </c>
      <c r="D40" s="111">
        <f>IF(B40="N/A","",IF(B40="","",IF(VLOOKUP(A40,Test_Limits,2,FALSE)="","",VLOOKUP(A40,Test_Limits,2,FALSE))))</f>
        <v>0</v>
      </c>
      <c r="E40" s="18" t="str">
        <f>IF(D40="","",IF(TestCycles=1,IF(B40&lt;D40,IF(VLOOKUP(A40,Test_Limits,5,FALSE)="PF","Fail","Info"),"Pass"),IF(#REF!&lt;D40,IF(VLOOKUP(A40,Test_Limits,5,FALSE)="PF","Fail","Info"),"Pass")))</f>
        <v>Pass</v>
      </c>
      <c r="F40" s="111">
        <f>IF(B40="N/A","",IF(B40="","",IF(VLOOKUP(A40,Test_Limits,3,FALSE)="","",VLOOKUP(A40,Test_Limits,3,FALSE))))</f>
        <v>0.35</v>
      </c>
      <c r="G40" s="18" t="str">
        <f>IF(F40="","",IF(TestCycles=1,IF(B40&gt;F40,IF(VLOOKUP(A40,Test_Limits,5,FALSE)="PF","Fail","Info"),"Pass"),IF(#REF!&gt;F40,IF(VLOOKUP(A40,Test_Limits,5,FALSE)="PF","Fail","Info"),"Pass")))</f>
        <v>Pass</v>
      </c>
      <c r="H40" s="3"/>
    </row>
    <row r="41" spans="1:8" x14ac:dyDescent="0.25">
      <c r="A41" s="38" t="s">
        <v>18</v>
      </c>
      <c r="B41" s="35"/>
      <c r="C41" s="54"/>
      <c r="D41" s="19"/>
      <c r="E41" s="19"/>
      <c r="F41" s="19"/>
      <c r="G41" s="19"/>
      <c r="H41" s="3"/>
    </row>
    <row r="42" spans="1:8" ht="13.8" x14ac:dyDescent="0.3">
      <c r="A42" s="16" t="s">
        <v>10</v>
      </c>
      <c r="B42" s="48">
        <v>4</v>
      </c>
      <c r="C42" s="57" t="str">
        <f>IF(B42="","","Watts")</f>
        <v>Watts</v>
      </c>
      <c r="D42" s="52">
        <f>IF(B42="","",IF(VLOOKUP(A42,Test_Limits,2,FALSE)="","",VLOOKUP(A42,Test_Limits,2,FALSE)))</f>
        <v>0</v>
      </c>
      <c r="E42" s="18" t="str">
        <f>IF(D42="","",IF(TestCycles=1,IF(B42&lt;D42,IF(VLOOKUP(A42,Test_Limits,5,FALSE)="PF","Fail","Info"),"Pass"),IF(#REF!&lt;D42,IF(VLOOKUP(A42,Test_Limits,5,FALSE)="PF","Fail","Info"),"Pass")))</f>
        <v>Pass</v>
      </c>
      <c r="F42" s="52">
        <f>IF(B42="","",IF(VLOOKUP(A42,Test_Limits,3,FALSE)="","",VLOOKUP(A42,Test_Limits,3,FALSE)))</f>
        <v>13</v>
      </c>
      <c r="G42" s="18" t="str">
        <f>IF(F42="","",IF(TestCycles=1,IF(B42&gt;F42,IF(VLOOKUP(A42,Test_Limits,5,FALSE)="PF","Fail","Info"),"Pass"),IF(#REF!&gt;F42,IF(VLOOKUP(A42,Test_Limits,5,FALSE)="PF","Fail","Info"),"Pass")))</f>
        <v>Pass</v>
      </c>
      <c r="H42" s="3"/>
    </row>
    <row r="43" spans="1:8" ht="13.8" x14ac:dyDescent="0.3">
      <c r="A43" s="16" t="s">
        <v>9</v>
      </c>
      <c r="B43" s="48">
        <v>5.25</v>
      </c>
      <c r="C43" s="57" t="str">
        <f>IF(B43="","","Watts")</f>
        <v>Watts</v>
      </c>
      <c r="D43" s="52">
        <f>IF(B43="","",IF(VLOOKUP(A43,Test_Limits,2,FALSE)="","",VLOOKUP(A43,Test_Limits,2,FALSE)))</f>
        <v>0</v>
      </c>
      <c r="E43" s="18" t="str">
        <f>IF(D43="","",IF(TestCycles=1,IF(B43&lt;D43,IF(VLOOKUP(A43,Test_Limits,5,FALSE)="PF","Fail","Info"),"Pass"),IF(#REF!&lt;D43,IF(VLOOKUP(A43,Test_Limits,5,FALSE)="PF","Fail","Info"),"Pass")))</f>
        <v>Pass</v>
      </c>
      <c r="F43" s="52">
        <f>IF(B43="","",IF(VLOOKUP(A43,Test_Limits,3,FALSE)="","",VLOOKUP(A43,Test_Limits,3,FALSE)))</f>
        <v>14.4</v>
      </c>
      <c r="G43" s="18" t="str">
        <f>IF(F43="","",IF(TestCycles=1,IF(B43&gt;F43,IF(VLOOKUP(A43,Test_Limits,5,FALSE)="PF","Fail","Info"),"Pass"),IF(#REF!&gt;F43,IF(VLOOKUP(A43,Test_Limits,5,FALSE)="PF","Fail","Info"),"Pass")))</f>
        <v>Pass</v>
      </c>
      <c r="H43" s="3"/>
    </row>
    <row r="44" spans="1:8" ht="13.8" x14ac:dyDescent="0.3">
      <c r="A44" s="16" t="s">
        <v>56</v>
      </c>
      <c r="B44" s="50">
        <v>109.4</v>
      </c>
      <c r="C44" s="53" t="str">
        <f>IF(B44="","","mA")</f>
        <v>mA</v>
      </c>
      <c r="D44" s="112">
        <f>IF(B44="","",IF(VLOOKUP(A44,Test_Limits,2,FALSE)="","",VLOOKUP(A44,Test_Limits,2,FALSE)))</f>
        <v>10</v>
      </c>
      <c r="E44" s="18" t="str">
        <f>IF(D44="","",IF(TestCycles=1,IF(B44&lt;D44,IF(VLOOKUP(A44,Test_Limits,5,FALSE)="PF","Fail","Info"),"Pass"),IF(#REF!&lt;D44,IF(VLOOKUP(A44,Test_Limits,5,FALSE)="PF","Fail","Info"),"Pass")))</f>
        <v>Pass</v>
      </c>
      <c r="F44" s="112">
        <f>IF(B44="","",IF(VLOOKUP(A44,Test_Limits,3,FALSE)="","",VLOOKUP(A44,Test_Limits,3,FALSE)))</f>
        <v>300</v>
      </c>
      <c r="G44" s="18" t="str">
        <f>IF(F44="","",IF(TestCycles=1,IF(B44&gt;F44,IF(VLOOKUP(A44,Test_Limits,5,FALSE)="PF","Fail","Info"),"Pass"),IF(#REF!&gt;F44,IF(VLOOKUP(A44,Test_Limits,5,FALSE)="PF","Fail","Info"),"Pass")))</f>
        <v>Pass</v>
      </c>
      <c r="H44" s="3"/>
    </row>
    <row r="45" spans="1:8" ht="13.8" x14ac:dyDescent="0.3">
      <c r="A45" s="16" t="s">
        <v>62</v>
      </c>
      <c r="B45" s="50">
        <v>54.6</v>
      </c>
      <c r="C45" s="53" t="str">
        <f>IF(B45="","","mA")</f>
        <v>mA</v>
      </c>
      <c r="D45" s="112">
        <f>IF(B45="","",IF(VLOOKUP(A45,Test_Limits,2,FALSE)="","",VLOOKUP(A45,Test_Limits,2,FALSE)))</f>
        <v>10</v>
      </c>
      <c r="E45" s="18" t="str">
        <f>IF(D45="","",IF(TestCycles=1,IF(B45&lt;D45,IF(VLOOKUP(A45,Test_Limits,5,FALSE)="PF","Fail","Info"),"Pass"),IF(#REF!&lt;D45,IF(VLOOKUP(A45,Test_Limits,5,FALSE)="PF","Fail","Info"),"Pass")))</f>
        <v>Pass</v>
      </c>
      <c r="F45" s="112">
        <f>IF(B45="","",IF(VLOOKUP(A45,Test_Limits,3,FALSE)="","",VLOOKUP(A45,Test_Limits,3,FALSE)))</f>
        <v>270.83333333333331</v>
      </c>
      <c r="G45" s="18" t="str">
        <f>IF(F45="","",IF(TestCycles=1,IF(B45&gt;F45,IF(VLOOKUP(A45,Test_Limits,5,FALSE)="PF","Fail","Info"),"Pass"),IF(#REF!&gt;F45,IF(VLOOKUP(A45,Test_Limits,5,FALSE)="PF","Fail","Info"),"Pass")))</f>
        <v>Pass</v>
      </c>
      <c r="H45" s="3"/>
    </row>
    <row r="46" spans="1:8" ht="13.8" x14ac:dyDescent="0.3">
      <c r="A46" s="16" t="s">
        <v>57</v>
      </c>
      <c r="B46" s="50">
        <v>83.4</v>
      </c>
      <c r="C46" s="53" t="str">
        <f>IF(B46="","","mA")</f>
        <v>mA</v>
      </c>
      <c r="D46" s="112">
        <f>IF(B46="","",IF(VLOOKUP(A46,Test_Limits,2,FALSE)="","",VLOOKUP(A46,Test_Limits,2,FALSE)))</f>
        <v>2.2999999999999998</v>
      </c>
      <c r="E46" s="18" t="str">
        <f>IF(D46="","",IF(TestCycles=1,IF(B46&lt;D46,IF(VLOOKUP(A46,Test_Limits,5,FALSE)="PF","Fail","Info"),"Pass"),IF(#REF!&lt;D46,IF(VLOOKUP(A46,Test_Limits,5,FALSE)="PF","Fail","Info"),"Pass")))</f>
        <v>Pass</v>
      </c>
      <c r="F46" s="112">
        <f>IF(B46="","",IF(VLOOKUP(A46,Test_Limits,3,FALSE)="","",VLOOKUP(A46,Test_Limits,3,FALSE)))</f>
        <v>270.83333333333331</v>
      </c>
      <c r="G46" s="18" t="str">
        <f>IF(F46="","",IF(TestCycles=1,IF(B46&gt;F46,IF(VLOOKUP(A46,Test_Limits,5,FALSE)="PF","Fail","Info"),"Pass"),IF(#REF!&gt;F46,IF(VLOOKUP(A46,Test_Limits,5,FALSE)="PF","Fail","Info"),"Pass")))</f>
        <v>Pass</v>
      </c>
      <c r="H46" s="3"/>
    </row>
    <row r="47" spans="1:8" x14ac:dyDescent="0.25">
      <c r="A47" s="38" t="s">
        <v>19</v>
      </c>
      <c r="B47" s="35"/>
      <c r="C47" s="54"/>
      <c r="D47" s="19"/>
      <c r="E47" s="19"/>
      <c r="F47" s="19"/>
      <c r="G47" s="19"/>
      <c r="H47" s="3"/>
    </row>
    <row r="48" spans="1:8" ht="13.8" x14ac:dyDescent="0.3">
      <c r="A48" s="16" t="s">
        <v>13</v>
      </c>
      <c r="B48" s="50">
        <v>0.79</v>
      </c>
      <c r="C48" s="53" t="str">
        <f>IF(B48="","","mA")</f>
        <v>mA</v>
      </c>
      <c r="D48" s="112">
        <f t="shared" ref="D48:D54" si="2">IF(B48="","",IF(VLOOKUP(A48,Test_Limits,2,FALSE)="","",VLOOKUP(A48,Test_Limits,2,FALSE)))</f>
        <v>0.25</v>
      </c>
      <c r="E48" s="18" t="str">
        <f>IF(D48="","",IF(TestCycles=1,IF(B48&lt;D48,IF(VLOOKUP(A48,Test_Limits,5,FALSE)="PF","Fail","Info"),"Pass"),IF(#REF!&lt;D48,IF(VLOOKUP(A48,Test_Limits,5,FALSE)="PF","Fail","Info"),"Pass")))</f>
        <v>Pass</v>
      </c>
      <c r="F48" s="112">
        <f t="shared" ref="F48:F54" si="3">IF(B48="","",IF(VLOOKUP(A48,Test_Limits,3,FALSE)="","",VLOOKUP(A48,Test_Limits,3,FALSE)))</f>
        <v>4</v>
      </c>
      <c r="G48" s="18" t="str">
        <f>IF(F48="","",IF(TestCycles=1,IF(B48&gt;F48,IF(VLOOKUP(A48,Test_Limits,5,FALSE)="PF","Fail","Info"),"Pass"),IF(#REF!&gt;F48,IF(VLOOKUP(A48,Test_Limits,5,FALSE)="PF","Fail","Info"),"Pass")))</f>
        <v>Pass</v>
      </c>
      <c r="H48" s="3"/>
    </row>
    <row r="49" spans="1:8" ht="13.8" x14ac:dyDescent="0.3">
      <c r="A49" s="16" t="s">
        <v>11</v>
      </c>
      <c r="B49" s="48">
        <v>4.28</v>
      </c>
      <c r="C49" s="57" t="str">
        <f>IF(B49="","","Watts")</f>
        <v>Watts</v>
      </c>
      <c r="D49" s="52">
        <f t="shared" si="2"/>
        <v>0</v>
      </c>
      <c r="E49" s="18" t="str">
        <f>IF(D49="","",IF(TestCycles=1,IF(B49&lt;D49,IF(VLOOKUP(A49,Test_Limits,5,FALSE)="PF","Fail","Info"),"Pass"),IF(#REF!&lt;D49,IF(VLOOKUP(A49,Test_Limits,5,FALSE)="PF","Fail","Info"),"Pass")))</f>
        <v>Pass</v>
      </c>
      <c r="F49" s="52">
        <f t="shared" si="3"/>
        <v>25.5</v>
      </c>
      <c r="G49" s="18" t="str">
        <f>IF(F49="","",IF(TestCycles=1,IF(B49&gt;F49,IF(VLOOKUP(A49,Test_Limits,5,FALSE)="PF","Fail","Info"),"Pass"),IF(#REF!&gt;F49,IF(VLOOKUP(A49,Test_Limits,5,FALSE)="PF","Fail","Info"),"Pass")))</f>
        <v>Pass</v>
      </c>
      <c r="H49" s="3"/>
    </row>
    <row r="50" spans="1:8" ht="13.8" x14ac:dyDescent="0.3">
      <c r="A50" s="16" t="s">
        <v>12</v>
      </c>
      <c r="B50" s="48">
        <v>5.51</v>
      </c>
      <c r="C50" s="57" t="str">
        <f>IF(B50="","","Watts")</f>
        <v>Watts</v>
      </c>
      <c r="D50" s="52">
        <f t="shared" si="2"/>
        <v>0</v>
      </c>
      <c r="E50" s="18" t="str">
        <f>IF(D50="","",IF(TestCycles=1,IF(B50&lt;D50,IF(VLOOKUP(A50,Test_Limits,5,FALSE)="PF","Fail","Info"),"Pass"),IF(#REF!&lt;D50,IF(VLOOKUP(A50,Test_Limits,5,FALSE)="PF","Fail","Info"),"Pass")))</f>
        <v>Pass</v>
      </c>
      <c r="F50" s="52">
        <f t="shared" si="3"/>
        <v>28.3</v>
      </c>
      <c r="G50" s="18" t="str">
        <f>IF(F50="","",IF(TestCycles=1,IF(B50&gt;F50,IF(VLOOKUP(A50,Test_Limits,5,FALSE)="PF","Fail","Info"),"Pass"),IF(#REF!&gt;F50,IF(VLOOKUP(A50,Test_Limits,5,FALSE)="PF","Fail","Info"),"Pass")))</f>
        <v>Pass</v>
      </c>
      <c r="H50" s="3"/>
    </row>
    <row r="51" spans="1:8" ht="13.8" x14ac:dyDescent="0.3">
      <c r="A51" s="16" t="s">
        <v>17</v>
      </c>
      <c r="B51" s="48">
        <v>2.97</v>
      </c>
      <c r="C51" s="57" t="str">
        <f>IF(B51="","","Watts")</f>
        <v>Watts</v>
      </c>
      <c r="D51" s="52">
        <f t="shared" si="2"/>
        <v>0</v>
      </c>
      <c r="E51" s="18" t="str">
        <f>IF(D51="","",IF(TestCycles=1,IF(B51&lt;D51,IF(VLOOKUP(A51,Test_Limits,5,FALSE)="PF","Fail","Info"),"Pass"),IF(#REF!&lt;D51,IF(VLOOKUP(A51,Test_Limits,5,FALSE)="PF","Fail","Info"),"Pass")))</f>
        <v>Pass</v>
      </c>
      <c r="F51" s="52">
        <f t="shared" si="3"/>
        <v>14.4</v>
      </c>
      <c r="G51" s="18" t="str">
        <f>IF(F51="","",IF(TestCycles=1,IF(B51&gt;F51,IF(VLOOKUP(A51,Test_Limits,5,FALSE)="PF","Fail","Info"),"Pass"),IF(#REF!&gt;F51,IF(VLOOKUP(A51,Test_Limits,5,FALSE)="PF","Fail","Info"),"Pass")))</f>
        <v>Pass</v>
      </c>
      <c r="H51" s="3"/>
    </row>
    <row r="52" spans="1:8" ht="13.8" x14ac:dyDescent="0.3">
      <c r="A52" s="16" t="s">
        <v>58</v>
      </c>
      <c r="B52" s="50">
        <v>102</v>
      </c>
      <c r="C52" s="53" t="str">
        <f>IF(B52="","","mA")</f>
        <v>mA</v>
      </c>
      <c r="D52" s="112">
        <f t="shared" si="2"/>
        <v>10</v>
      </c>
      <c r="E52" s="18" t="str">
        <f>IF(D52="","",IF(TestCycles=1,IF(B52&lt;D52,IF(VLOOKUP(A52,Test_Limits,5,FALSE)="PF","Fail","Info"),"Pass"),IF(#REF!&lt;D52,IF(VLOOKUP(A52,Test_Limits,5,FALSE)="PF","Fail","Info"),"Pass")))</f>
        <v>Pass</v>
      </c>
      <c r="F52" s="112">
        <f t="shared" si="3"/>
        <v>524.07407407407413</v>
      </c>
      <c r="G52" s="18" t="str">
        <f>IF(F52="","",IF(TestCycles=1,IF(B52&gt;F52,IF(VLOOKUP(A52,Test_Limits,5,FALSE)="PF","Fail","Info"),"Pass"),IF(#REF!&gt;F52,IF(VLOOKUP(A52,Test_Limits,5,FALSE)="PF","Fail","Info"),"Pass")))</f>
        <v>Pass</v>
      </c>
      <c r="H52" s="3"/>
    </row>
    <row r="53" spans="1:8" ht="13.8" x14ac:dyDescent="0.3">
      <c r="A53" s="16" t="s">
        <v>63</v>
      </c>
      <c r="B53" s="50">
        <v>51.5</v>
      </c>
      <c r="C53" s="53" t="str">
        <f>IF(B53="","","mA")</f>
        <v>mA</v>
      </c>
      <c r="D53" s="112">
        <f t="shared" si="2"/>
        <v>10</v>
      </c>
      <c r="E53" s="18" t="str">
        <f>IF(D53="","",IF(TestCycles=1,IF(B53&lt;D53,IF(VLOOKUP(A53,Test_Limits,5,FALSE)="PF","Fail","Info"),"Pass"),IF(#REF!&lt;D53,IF(VLOOKUP(A53,Test_Limits,5,FALSE)="PF","Fail","Info"),"Pass")))</f>
        <v>Pass</v>
      </c>
      <c r="F53" s="112">
        <f t="shared" si="3"/>
        <v>472.22222222222223</v>
      </c>
      <c r="G53" s="18" t="str">
        <f>IF(F53="","",IF(TestCycles=1,IF(B53&gt;F53,IF(VLOOKUP(A53,Test_Limits,5,FALSE)="PF","Fail","Info"),"Pass"),IF(#REF!&gt;F53,IF(VLOOKUP(A53,Test_Limits,5,FALSE)="PF","Fail","Info"),"Pass")))</f>
        <v>Pass</v>
      </c>
      <c r="H53" s="3"/>
    </row>
    <row r="54" spans="1:8" ht="14.4" thickBot="1" x14ac:dyDescent="0.35">
      <c r="A54" s="58" t="s">
        <v>59</v>
      </c>
      <c r="B54" s="59">
        <v>79.400000000000006</v>
      </c>
      <c r="C54" s="60" t="str">
        <f>IF(B54="","","mA")</f>
        <v>mA</v>
      </c>
      <c r="D54" s="118">
        <f t="shared" si="2"/>
        <v>2.2999999999999998</v>
      </c>
      <c r="E54" s="87" t="str">
        <f>IF(D54="","",IF(TestCycles=1,IF(B54&lt;D54,IF(VLOOKUP(A54,Test_Limits,5,FALSE)="PF","Fail","Info"),"Pass"),IF(#REF!&lt;D54,IF(VLOOKUP(A54,Test_Limits,5,FALSE)="PF","Fail","Info"),"Pass")))</f>
        <v>Pass</v>
      </c>
      <c r="F54" s="118">
        <f t="shared" si="3"/>
        <v>472.22222222222223</v>
      </c>
      <c r="G54" s="87" t="str">
        <f>IF(F54="","",IF(TestCycles=1,IF(B54&gt;F54,IF(VLOOKUP(A54,Test_Limits,5,FALSE)="PF","Fail","Info"),"Pass"),IF(#REF!&gt;F54,IF(VLOOKUP(A54,Test_Limits,5,FALSE)="PF","Fail","Info"),"Pass")))</f>
        <v>Pass</v>
      </c>
      <c r="H54" s="3"/>
    </row>
    <row r="55" spans="1:8" x14ac:dyDescent="0.25">
      <c r="A55" s="67" t="s">
        <v>27</v>
      </c>
      <c r="B55" s="65"/>
      <c r="C55" s="66"/>
      <c r="D55" s="19"/>
      <c r="E55" s="19"/>
      <c r="F55" s="19"/>
      <c r="G55" s="19"/>
      <c r="H55" s="3"/>
    </row>
    <row r="56" spans="1:8" ht="13.8" x14ac:dyDescent="0.3">
      <c r="A56" s="15" t="s">
        <v>15</v>
      </c>
      <c r="B56" s="48">
        <v>24.88</v>
      </c>
      <c r="C56" s="55" t="str">
        <f>IF(B56="","","Kohm")</f>
        <v>Kohm</v>
      </c>
      <c r="D56" s="52">
        <f>IF(B56="","",IF(VLOOKUP(A56,Test_Limits,2,FALSE)="","",VLOOKUP(A56,Test_Limits,2,FALSE)))</f>
        <v>23.7</v>
      </c>
      <c r="E56" s="18" t="str">
        <f>IF(D56="","",IF(TestCycles=1,IF(B56&lt;D56,IF(VLOOKUP(A56,Test_Limits,5,FALSE)="PF","Fail","Info"),"Pass"),IF(#REF!&lt;D56,IF(VLOOKUP(A56,Test_Limits,5,FALSE)="PF","Fail","Info"),"Pass")))</f>
        <v>Pass</v>
      </c>
      <c r="F56" s="52">
        <f>IF(B56="","",IF(VLOOKUP(A56,Test_Limits,3,FALSE)="","",VLOOKUP(A56,Test_Limits,3,FALSE)))</f>
        <v>26.3</v>
      </c>
      <c r="G56" s="18" t="str">
        <f>IF(F56="","",IF(TestCycles=1,IF(B56&gt;F56,IF(VLOOKUP(A56,Test_Limits,5,FALSE)="PF","Fail","Info"),"Pass"),IF(#REF!&gt;F56,IF(VLOOKUP(A56,Test_Limits,5,FALSE)="PF","Fail","Info"),"Pass")))</f>
        <v>Pass</v>
      </c>
      <c r="H56" s="3"/>
    </row>
    <row r="57" spans="1:8" ht="13.8" x14ac:dyDescent="0.3">
      <c r="A57" s="15" t="s">
        <v>16</v>
      </c>
      <c r="B57" s="49">
        <v>0.10100000000000001</v>
      </c>
      <c r="C57" s="55" t="str">
        <f>IF(B57="","","uF")</f>
        <v>uF</v>
      </c>
      <c r="D57" s="111">
        <f>IF(B57="","",IF(VLOOKUP(A57,Test_Limits,2,FALSE)="","",VLOOKUP(A57,Test_Limits,2,FALSE)))</f>
        <v>0.05</v>
      </c>
      <c r="E57" s="18" t="str">
        <f>IF(D57="","",IF(TestCycles=1,IF(B57&lt;D57,IF(VLOOKUP(A57,Test_Limits,5,FALSE)="PF","Fail","Info"),"Pass"),IF(#REF!&lt;D57,IF(VLOOKUP(A57,Test_Limits,5,FALSE)="PF","Fail","Info"),"Pass")))</f>
        <v>Pass</v>
      </c>
      <c r="F57" s="111">
        <f>IF(B57="","",IF(VLOOKUP(A57,Test_Limits,3,FALSE)="","",VLOOKUP(A57,Test_Limits,3,FALSE)))</f>
        <v>0.12</v>
      </c>
      <c r="G57" s="18" t="str">
        <f>IF(F57="","",IF(TestCycles=1,IF(B57&gt;F57,IF(VLOOKUP(A57,Test_Limits,5,FALSE)="PF","Fail","Info"),"Pass"),IF(#REF!&gt;F57,IF(VLOOKUP(A57,Test_Limits,5,FALSE)="PF","Fail","Info"),"Pass")))</f>
        <v>Pass</v>
      </c>
      <c r="H57" s="3"/>
    </row>
    <row r="58" spans="1:8" ht="13.8" x14ac:dyDescent="0.3">
      <c r="A58" s="16" t="s">
        <v>14</v>
      </c>
      <c r="B58" s="50">
        <v>39.9</v>
      </c>
      <c r="C58" s="55" t="str">
        <f>IF(B58="","","mA")</f>
        <v>mA</v>
      </c>
      <c r="D58" s="112">
        <f>IF(B58="","",IF(VLOOKUP(A58,Test_Limits,2,FALSE)="","",VLOOKUP(A58,Test_Limits,2,FALSE)))</f>
        <v>36</v>
      </c>
      <c r="E58" s="18" t="str">
        <f>IF(D58="","",IF(TestCycles=1,IF(B58&lt;D58,IF(VLOOKUP(A58,Test_Limits,5,FALSE)="PF","Fail","Info"),"Pass"),IF(#REF!&lt;D58,IF(VLOOKUP(A58,Test_Limits,5,FALSE)="PF","Fail","Info"),"Pass")))</f>
        <v>Pass</v>
      </c>
      <c r="F58" s="112">
        <f>IF(B58="","",IF(VLOOKUP(A58,Test_Limits,3,FALSE)="","",VLOOKUP(A58,Test_Limits,3,FALSE)))</f>
        <v>44</v>
      </c>
      <c r="G58" s="18" t="str">
        <f>IF(F58="","",IF(TestCycles=1,IF(B58&gt;F58,IF(VLOOKUP(A58,Test_Limits,5,FALSE)="PF","Fail","Info"),"Pass"),IF(#REF!&gt;F58,IF(VLOOKUP(A58,Test_Limits,5,FALSE)="PF","Fail","Info"),"Pass")))</f>
        <v>Pass</v>
      </c>
      <c r="H58" s="3"/>
    </row>
    <row r="59" spans="1:8" ht="13.8" x14ac:dyDescent="0.3">
      <c r="A59" s="16" t="s">
        <v>3</v>
      </c>
      <c r="B59" s="51">
        <v>4</v>
      </c>
      <c r="C59" s="56" t="str">
        <f>IF(B59="","","****")</f>
        <v>****</v>
      </c>
      <c r="D59" s="113">
        <f>IF(B59="","",IF(VLOOKUP(A59,Test_Limits,2,FALSE)="","",VLOOKUP(A59,Test_Limits,2,FALSE)))</f>
        <v>0</v>
      </c>
      <c r="E59" s="18" t="str">
        <f>IF(D59="","",IF(TestCycles=1,IF(B59&lt;D59,IF(VLOOKUP(A59,Test_Limits,5,FALSE)="PF","Fail","Info"),"Pass"),IF(#REF!&lt;D59,IF(VLOOKUP(A59,Test_Limits,5,FALSE)="PF","Fail","Info"),"Pass")))</f>
        <v>Pass</v>
      </c>
      <c r="F59" s="113">
        <f>IF(B59="","",IF(VLOOKUP(A59,Test_Limits,3,FALSE)="","",VLOOKUP(A59,Test_Limits,3,FALSE)))</f>
        <v>4</v>
      </c>
      <c r="G59" s="18" t="str">
        <f>IF(F59="","",IF(TestCycles=1,IF(B59&gt;F59,IF(VLOOKUP(A59,Test_Limits,5,FALSE)="PF","Fail","Info"),"Pass"),IF(#REF!&gt;F59,IF(VLOOKUP(A59,Test_Limits,5,FALSE)="PF","Fail","Info"),"Pass")))</f>
        <v>Pass</v>
      </c>
      <c r="H59" s="3"/>
    </row>
    <row r="60" spans="1:8" ht="13.8" x14ac:dyDescent="0.3">
      <c r="A60" s="16" t="s">
        <v>4</v>
      </c>
      <c r="B60" s="51">
        <v>2</v>
      </c>
      <c r="C60" s="56" t="str">
        <f>IF(B60="","","****")</f>
        <v>****</v>
      </c>
      <c r="D60" s="113">
        <f>IF(B60="","",IF(VLOOKUP(A60,Test_Limits,2,FALSE)="","",VLOOKUP(A60,Test_Limits,2,FALSE)))</f>
        <v>1</v>
      </c>
      <c r="E60" s="18" t="str">
        <f>IF(D60="","",IF(TestCycles=1,IF(B60&lt;D60,IF(VLOOKUP(A60,Test_Limits,5,FALSE)="PF","Fail","Info"),"Pass"),IF(#REF!&lt;D60,IF(VLOOKUP(A60,Test_Limits,5,FALSE)="PF","Fail","Info"),"Pass")))</f>
        <v>Pass</v>
      </c>
      <c r="F60" s="113">
        <f>IF(B60="","",IF(VLOOKUP(A60,Test_Limits,3,FALSE)="","",VLOOKUP(A60,Test_Limits,3,FALSE)))</f>
        <v>2</v>
      </c>
      <c r="G60" s="18" t="str">
        <f>IF(F60="","",IF(TestCycles=1,IF(B60&gt;F60,IF(VLOOKUP(A60,Test_Limits,5,FALSE)="PF","Fail","Info"),"Pass"),IF(#REF!&gt;F60,IF(VLOOKUP(A60,Test_Limits,5,FALSE)="PF","Fail","Info"),"Pass")))</f>
        <v>Pass</v>
      </c>
      <c r="H60" s="3"/>
    </row>
    <row r="61" spans="1:8" ht="13.8" x14ac:dyDescent="0.3">
      <c r="A61" s="16" t="s">
        <v>5</v>
      </c>
      <c r="B61" s="50">
        <v>36.5</v>
      </c>
      <c r="C61" s="53" t="str">
        <f>IF(B61="","","Volts")</f>
        <v>Volts</v>
      </c>
      <c r="D61" s="112">
        <f>IF(B61="N/A","",IF(B61="","",IF(VLOOKUP(A61,Test_Limits,2,FALSE)="","",VLOOKUP(A61,Test_Limits,2,FALSE))))</f>
        <v>30</v>
      </c>
      <c r="E61" s="18" t="str">
        <f>IF(D61="","",IF(TestCycles=1,IF(B61&lt;D61,IF(VLOOKUP(A61,Test_Limits,5,FALSE)="PF","Fail","Info"),"Pass"),IF(#REF!&lt;D61,IF(VLOOKUP(A61,Test_Limits,5,FALSE)="PF","Fail","Info"),"Pass")))</f>
        <v>Pass</v>
      </c>
      <c r="F61" s="112">
        <f>IF(B61="N/A","",IF(B61="","",IF(VLOOKUP(A61,Test_Limits,3,FALSE)="","",VLOOKUP(A61,Test_Limits,3,FALSE))))</f>
        <v>42</v>
      </c>
      <c r="G61" s="18" t="str">
        <f>IF(F61="","",IF(TestCycles=1,IF(B61&gt;F61,IF(VLOOKUP(A61,Test_Limits,5,FALSE)="PF","Fail","Info"),"Pass"),IF(#REF!&gt;F61,IF(VLOOKUP(A61,Test_Limits,5,FALSE)="PF","Fail","Info"),"Pass")))</f>
        <v>Pass</v>
      </c>
      <c r="H61" s="3"/>
    </row>
    <row r="62" spans="1:8" ht="13.8" x14ac:dyDescent="0.3">
      <c r="A62" s="16" t="s">
        <v>6</v>
      </c>
      <c r="B62" s="72">
        <v>32.1</v>
      </c>
      <c r="C62" s="53" t="str">
        <f>IF(SUM(B62:B62)=0,"","Volts")</f>
        <v>Volts</v>
      </c>
      <c r="D62" s="112">
        <f>IF(B62="N/A","",IF(B62="","",IF(VLOOKUP(A62,Test_Limits,2,FALSE)="","",VLOOKUP(A62,Test_Limits,2,FALSE))))</f>
        <v>30</v>
      </c>
      <c r="E62" s="18" t="str">
        <f>IF(D62="","",IF(TestCycles=1,IF(B62&lt;D62,IF(VLOOKUP(A62,Test_Limits,5,FALSE)="PF","Fail","Info"),"Pass"),IF(#REF!&lt;D62,IF(VLOOKUP(A62,Test_Limits,5,FALSE)="PF","Fail","Info"),"Pass")))</f>
        <v>Pass</v>
      </c>
      <c r="F62" s="112">
        <f>IF(B62="N/A","",IF(B62="","",IF(VLOOKUP(A62,Test_Limits,3,FALSE)="","",VLOOKUP(A62,Test_Limits,3,FALSE))))</f>
        <v>42.5</v>
      </c>
      <c r="G62" s="18" t="str">
        <f>IF(F62="","",IF(TestCycles=1,IF(B62&gt;F62,IF(VLOOKUP(A62,Test_Limits,5,FALSE)="PF","Fail","Info"),"Pass"),IF(#REF!&gt;F62,IF(VLOOKUP(A62,Test_Limits,5,FALSE)="PF","Fail","Info"),"Pass")))</f>
        <v>Pass</v>
      </c>
      <c r="H62" s="3"/>
    </row>
    <row r="63" spans="1:8" ht="13.8" x14ac:dyDescent="0.3">
      <c r="A63" s="16" t="s">
        <v>65</v>
      </c>
      <c r="B63" s="119">
        <v>9.4E-2</v>
      </c>
      <c r="C63" s="57" t="str">
        <f>IF(B63="","","W-s")</f>
        <v>W-s</v>
      </c>
      <c r="D63" s="111">
        <f>IF(B63="N/A","",IF(B63="","",IF(VLOOKUP(A63,Test_Limits,2,FALSE)="","",VLOOKUP(A63,Test_Limits,2,FALSE))))</f>
        <v>0</v>
      </c>
      <c r="E63" s="18" t="str">
        <f>IF(D63="","",IF(TestCycles=1,IF(B63&lt;D63,IF(VLOOKUP(A63,Test_Limits,5,FALSE)="PF","Fail","Info"),"Pass"),IF(#REF!&lt;D63,IF(VLOOKUP(A63,Test_Limits,5,FALSE)="PF","Fail","Info"),"Pass")))</f>
        <v>Pass</v>
      </c>
      <c r="F63" s="111">
        <f>IF(B63="N/A","",IF(B63="","",IF(VLOOKUP(A63,Test_Limits,3,FALSE)="","",VLOOKUP(A63,Test_Limits,3,FALSE))))</f>
        <v>0.35</v>
      </c>
      <c r="G63" s="18" t="str">
        <f>IF(F63="","",IF(TestCycles=1,IF(B63&gt;F63,IF(VLOOKUP(A63,Test_Limits,5,FALSE)="PF","Fail","Info"),"Pass"),IF(#REF!&gt;F63,IF(VLOOKUP(A63,Test_Limits,5,FALSE)="PF","Fail","Info"),"Pass")))</f>
        <v>Pass</v>
      </c>
      <c r="H63" s="3"/>
    </row>
    <row r="64" spans="1:8" x14ac:dyDescent="0.25">
      <c r="A64" s="38" t="s">
        <v>20</v>
      </c>
      <c r="B64" s="35"/>
      <c r="C64" s="54"/>
      <c r="D64" s="19"/>
      <c r="E64" s="19"/>
      <c r="F64" s="19"/>
      <c r="G64" s="19"/>
      <c r="H64" s="3"/>
    </row>
    <row r="65" spans="1:8" ht="13.8" x14ac:dyDescent="0.3">
      <c r="A65" s="16" t="s">
        <v>10</v>
      </c>
      <c r="B65" s="48">
        <v>3.97</v>
      </c>
      <c r="C65" s="57" t="str">
        <f>IF(B65="","","Watts")</f>
        <v>Watts</v>
      </c>
      <c r="D65" s="52">
        <f>IF(B65="","",IF(VLOOKUP(A65,Test_Limits,2,FALSE)="","",VLOOKUP(A65,Test_Limits,2,FALSE)))</f>
        <v>0</v>
      </c>
      <c r="E65" s="18" t="str">
        <f>IF(D65="","",IF(TestCycles=1,IF(B65&lt;D65,IF(VLOOKUP(A65,Test_Limits,5,FALSE)="PF","Fail","Info"),"Pass"),IF(#REF!&lt;D65,IF(VLOOKUP(A65,Test_Limits,5,FALSE)="PF","Fail","Info"),"Pass")))</f>
        <v>Pass</v>
      </c>
      <c r="F65" s="52">
        <f>IF(B65="","",IF(VLOOKUP(A65,Test_Limits,3,FALSE)="","",VLOOKUP(A65,Test_Limits,3,FALSE)))</f>
        <v>13</v>
      </c>
      <c r="G65" s="18" t="str">
        <f>IF(F65="","",IF(TestCycles=1,IF(B65&gt;F65,IF(VLOOKUP(A65,Test_Limits,5,FALSE)="PF","Fail","Info"),"Pass"),IF(#REF!&gt;F65,IF(VLOOKUP(A65,Test_Limits,5,FALSE)="PF","Fail","Info"),"Pass")))</f>
        <v>Pass</v>
      </c>
      <c r="H65" s="3"/>
    </row>
    <row r="66" spans="1:8" ht="13.8" x14ac:dyDescent="0.3">
      <c r="A66" s="16" t="s">
        <v>9</v>
      </c>
      <c r="B66" s="48">
        <v>5.31</v>
      </c>
      <c r="C66" s="57" t="str">
        <f>IF(B66="","","Watts")</f>
        <v>Watts</v>
      </c>
      <c r="D66" s="52">
        <f>IF(B66="","",IF(VLOOKUP(A66,Test_Limits,2,FALSE)="","",VLOOKUP(A66,Test_Limits,2,FALSE)))</f>
        <v>0</v>
      </c>
      <c r="E66" s="18" t="str">
        <f>IF(D66="","",IF(TestCycles=1,IF(B66&lt;D66,IF(VLOOKUP(A66,Test_Limits,5,FALSE)="PF","Fail","Info"),"Pass"),IF(#REF!&lt;D66,IF(VLOOKUP(A66,Test_Limits,5,FALSE)="PF","Fail","Info"),"Pass")))</f>
        <v>Pass</v>
      </c>
      <c r="F66" s="52">
        <f>IF(B66="","",IF(VLOOKUP(A66,Test_Limits,3,FALSE)="","",VLOOKUP(A66,Test_Limits,3,FALSE)))</f>
        <v>14.4</v>
      </c>
      <c r="G66" s="18" t="str">
        <f>IF(F66="","",IF(TestCycles=1,IF(B66&gt;F66,IF(VLOOKUP(A66,Test_Limits,5,FALSE)="PF","Fail","Info"),"Pass"),IF(#REF!&gt;F66,IF(VLOOKUP(A66,Test_Limits,5,FALSE)="PF","Fail","Info"),"Pass")))</f>
        <v>Pass</v>
      </c>
      <c r="H66" s="3"/>
    </row>
    <row r="67" spans="1:8" ht="13.8" x14ac:dyDescent="0.3">
      <c r="A67" s="16" t="s">
        <v>56</v>
      </c>
      <c r="B67" s="50">
        <v>110.4</v>
      </c>
      <c r="C67" s="53" t="str">
        <f>IF(B67="","","mA")</f>
        <v>mA</v>
      </c>
      <c r="D67" s="112">
        <f>IF(B67="","",IF(VLOOKUP(A67,Test_Limits,2,FALSE)="","",VLOOKUP(A67,Test_Limits,2,FALSE)))</f>
        <v>10</v>
      </c>
      <c r="E67" s="18" t="str">
        <f>IF(D67="","",IF(TestCycles=1,IF(B67&lt;D67,IF(VLOOKUP(A67,Test_Limits,5,FALSE)="PF","Fail","Info"),"Pass"),IF(#REF!&lt;D67,IF(VLOOKUP(A67,Test_Limits,5,FALSE)="PF","Fail","Info"),"Pass")))</f>
        <v>Pass</v>
      </c>
      <c r="F67" s="112">
        <f>IF(B67="","",IF(VLOOKUP(A67,Test_Limits,3,FALSE)="","",VLOOKUP(A67,Test_Limits,3,FALSE)))</f>
        <v>300</v>
      </c>
      <c r="G67" s="18" t="str">
        <f>IF(F67="","",IF(TestCycles=1,IF(B67&gt;F67,IF(VLOOKUP(A67,Test_Limits,5,FALSE)="PF","Fail","Info"),"Pass"),IF(#REF!&gt;F67,IF(VLOOKUP(A67,Test_Limits,5,FALSE)="PF","Fail","Info"),"Pass")))</f>
        <v>Pass</v>
      </c>
      <c r="H67" s="3"/>
    </row>
    <row r="68" spans="1:8" ht="13.8" x14ac:dyDescent="0.3">
      <c r="A68" s="16" t="s">
        <v>62</v>
      </c>
      <c r="B68" s="50">
        <v>51.7</v>
      </c>
      <c r="C68" s="53" t="str">
        <f>IF(B68="","","mA")</f>
        <v>mA</v>
      </c>
      <c r="D68" s="112">
        <f>IF(B68="","",IF(VLOOKUP(A68,Test_Limits,2,FALSE)="","",VLOOKUP(A68,Test_Limits,2,FALSE)))</f>
        <v>10</v>
      </c>
      <c r="E68" s="18" t="str">
        <f>IF(D68="","",IF(TestCycles=1,IF(B68&lt;D68,IF(VLOOKUP(A68,Test_Limits,5,FALSE)="PF","Fail","Info"),"Pass"),IF(#REF!&lt;D68,IF(VLOOKUP(A68,Test_Limits,5,FALSE)="PF","Fail","Info"),"Pass")))</f>
        <v>Pass</v>
      </c>
      <c r="F68" s="112">
        <f>IF(B68="","",IF(VLOOKUP(A68,Test_Limits,3,FALSE)="","",VLOOKUP(A68,Test_Limits,3,FALSE)))</f>
        <v>270.83333333333331</v>
      </c>
      <c r="G68" s="18" t="str">
        <f>IF(F68="","",IF(TestCycles=1,IF(B68&gt;F68,IF(VLOOKUP(A68,Test_Limits,5,FALSE)="PF","Fail","Info"),"Pass"),IF(#REF!&gt;F68,IF(VLOOKUP(A68,Test_Limits,5,FALSE)="PF","Fail","Info"),"Pass")))</f>
        <v>Pass</v>
      </c>
      <c r="H68" s="3"/>
    </row>
    <row r="69" spans="1:8" ht="13.8" x14ac:dyDescent="0.3">
      <c r="A69" s="16" t="s">
        <v>57</v>
      </c>
      <c r="B69" s="50">
        <v>82.9</v>
      </c>
      <c r="C69" s="53" t="str">
        <f>IF(B69="","","mA")</f>
        <v>mA</v>
      </c>
      <c r="D69" s="112">
        <f>IF(B69="","",IF(VLOOKUP(A69,Test_Limits,2,FALSE)="","",VLOOKUP(A69,Test_Limits,2,FALSE)))</f>
        <v>2.2999999999999998</v>
      </c>
      <c r="E69" s="18" t="str">
        <f>IF(D69="","",IF(TestCycles=1,IF(B69&lt;D69,IF(VLOOKUP(A69,Test_Limits,5,FALSE)="PF","Fail","Info"),"Pass"),IF(#REF!&lt;D69,IF(VLOOKUP(A69,Test_Limits,5,FALSE)="PF","Fail","Info"),"Pass")))</f>
        <v>Pass</v>
      </c>
      <c r="F69" s="112">
        <f>IF(B69="","",IF(VLOOKUP(A69,Test_Limits,3,FALSE)="","",VLOOKUP(A69,Test_Limits,3,FALSE)))</f>
        <v>270.83333333333331</v>
      </c>
      <c r="G69" s="18" t="str">
        <f>IF(F69="","",IF(TestCycles=1,IF(B69&gt;F69,IF(VLOOKUP(A69,Test_Limits,5,FALSE)="PF","Fail","Info"),"Pass"),IF(#REF!&gt;F69,IF(VLOOKUP(A69,Test_Limits,5,FALSE)="PF","Fail","Info"),"Pass")))</f>
        <v>Pass</v>
      </c>
      <c r="H69" s="3"/>
    </row>
    <row r="70" spans="1:8" x14ac:dyDescent="0.25">
      <c r="A70" s="38" t="s">
        <v>21</v>
      </c>
      <c r="B70" s="35"/>
      <c r="C70" s="54"/>
      <c r="D70" s="19"/>
      <c r="E70" s="19"/>
      <c r="F70" s="19"/>
      <c r="G70" s="19"/>
      <c r="H70" s="3"/>
    </row>
    <row r="71" spans="1:8" ht="13.8" x14ac:dyDescent="0.3">
      <c r="A71" s="16" t="s">
        <v>13</v>
      </c>
      <c r="B71" s="50">
        <v>0.79</v>
      </c>
      <c r="C71" s="53" t="str">
        <f>IF(B71="","","mA")</f>
        <v>mA</v>
      </c>
      <c r="D71" s="112">
        <f t="shared" ref="D71:D77" si="4">IF(B71="","",IF(VLOOKUP(A71,Test_Limits,2,FALSE)="","",VLOOKUP(A71,Test_Limits,2,FALSE)))</f>
        <v>0.25</v>
      </c>
      <c r="E71" s="18" t="str">
        <f>IF(D71="","",IF(TestCycles=1,IF(B71&lt;D71,IF(VLOOKUP(A71,Test_Limits,5,FALSE)="PF","Fail","Info"),"Pass"),IF(#REF!&lt;D71,IF(VLOOKUP(A71,Test_Limits,5,FALSE)="PF","Fail","Info"),"Pass")))</f>
        <v>Pass</v>
      </c>
      <c r="F71" s="112">
        <f t="shared" ref="F71:F77" si="5">IF(B71="","",IF(VLOOKUP(A71,Test_Limits,3,FALSE)="","",VLOOKUP(A71,Test_Limits,3,FALSE)))</f>
        <v>4</v>
      </c>
      <c r="G71" s="18" t="str">
        <f>IF(F71="","",IF(TestCycles=1,IF(B71&gt;F71,IF(VLOOKUP(A71,Test_Limits,5,FALSE)="PF","Fail","Info"),"Pass"),IF(#REF!&gt;F71,IF(VLOOKUP(A71,Test_Limits,5,FALSE)="PF","Fail","Info"),"Pass")))</f>
        <v>Pass</v>
      </c>
      <c r="H71" s="3"/>
    </row>
    <row r="72" spans="1:8" ht="13.8" x14ac:dyDescent="0.3">
      <c r="A72" s="16" t="s">
        <v>11</v>
      </c>
      <c r="B72" s="48">
        <v>4.26</v>
      </c>
      <c r="C72" s="57" t="str">
        <f>IF(B72="","","Watts")</f>
        <v>Watts</v>
      </c>
      <c r="D72" s="52">
        <f t="shared" si="4"/>
        <v>0</v>
      </c>
      <c r="E72" s="18" t="str">
        <f>IF(D72="","",IF(TestCycles=1,IF(B72&lt;D72,IF(VLOOKUP(A72,Test_Limits,5,FALSE)="PF","Fail","Info"),"Pass"),IF(#REF!&lt;D72,IF(VLOOKUP(A72,Test_Limits,5,FALSE)="PF","Fail","Info"),"Pass")))</f>
        <v>Pass</v>
      </c>
      <c r="F72" s="52">
        <f t="shared" si="5"/>
        <v>25.5</v>
      </c>
      <c r="G72" s="18" t="str">
        <f>IF(F72="","",IF(TestCycles=1,IF(B72&gt;F72,IF(VLOOKUP(A72,Test_Limits,5,FALSE)="PF","Fail","Info"),"Pass"),IF(#REF!&gt;F72,IF(VLOOKUP(A72,Test_Limits,5,FALSE)="PF","Fail","Info"),"Pass")))</f>
        <v>Pass</v>
      </c>
      <c r="H72" s="3"/>
    </row>
    <row r="73" spans="1:8" ht="13.8" x14ac:dyDescent="0.3">
      <c r="A73" s="16" t="s">
        <v>12</v>
      </c>
      <c r="B73" s="48">
        <v>5.51</v>
      </c>
      <c r="C73" s="57" t="str">
        <f>IF(B73="","","Watts")</f>
        <v>Watts</v>
      </c>
      <c r="D73" s="52">
        <f t="shared" si="4"/>
        <v>0</v>
      </c>
      <c r="E73" s="18" t="str">
        <f>IF(D73="","",IF(TestCycles=1,IF(B73&lt;D73,IF(VLOOKUP(A73,Test_Limits,5,FALSE)="PF","Fail","Info"),"Pass"),IF(#REF!&lt;D73,IF(VLOOKUP(A73,Test_Limits,5,FALSE)="PF","Fail","Info"),"Pass")))</f>
        <v>Pass</v>
      </c>
      <c r="F73" s="52">
        <f t="shared" si="5"/>
        <v>28.3</v>
      </c>
      <c r="G73" s="18" t="str">
        <f>IF(F73="","",IF(TestCycles=1,IF(B73&gt;F73,IF(VLOOKUP(A73,Test_Limits,5,FALSE)="PF","Fail","Info"),"Pass"),IF(#REF!&gt;F73,IF(VLOOKUP(A73,Test_Limits,5,FALSE)="PF","Fail","Info"),"Pass")))</f>
        <v>Pass</v>
      </c>
      <c r="H73" s="3"/>
    </row>
    <row r="74" spans="1:8" ht="13.8" x14ac:dyDescent="0.3">
      <c r="A74" s="16" t="s">
        <v>17</v>
      </c>
      <c r="B74" s="48">
        <v>2.98</v>
      </c>
      <c r="C74" s="57" t="str">
        <f>IF(B74="","","Watts")</f>
        <v>Watts</v>
      </c>
      <c r="D74" s="52">
        <f t="shared" si="4"/>
        <v>0</v>
      </c>
      <c r="E74" s="18" t="str">
        <f>IF(D74="","",IF(TestCycles=1,IF(B74&lt;D74,IF(VLOOKUP(A74,Test_Limits,5,FALSE)="PF","Fail","Info"),"Pass"),IF(#REF!&lt;D74,IF(VLOOKUP(A74,Test_Limits,5,FALSE)="PF","Fail","Info"),"Pass")))</f>
        <v>Pass</v>
      </c>
      <c r="F74" s="52">
        <f t="shared" si="5"/>
        <v>14.4</v>
      </c>
      <c r="G74" s="18" t="str">
        <f>IF(F74="","",IF(TestCycles=1,IF(B74&gt;F74,IF(VLOOKUP(A74,Test_Limits,5,FALSE)="PF","Fail","Info"),"Pass"),IF(#REF!&gt;F74,IF(VLOOKUP(A74,Test_Limits,5,FALSE)="PF","Fail","Info"),"Pass")))</f>
        <v>Pass</v>
      </c>
      <c r="H74" s="3"/>
    </row>
    <row r="75" spans="1:8" ht="13.8" x14ac:dyDescent="0.3">
      <c r="A75" s="16" t="s">
        <v>58</v>
      </c>
      <c r="B75" s="50">
        <v>102.3</v>
      </c>
      <c r="C75" s="53" t="str">
        <f>IF(B75="","","mA")</f>
        <v>mA</v>
      </c>
      <c r="D75" s="112">
        <f t="shared" si="4"/>
        <v>10</v>
      </c>
      <c r="E75" s="18" t="str">
        <f>IF(D75="","",IF(TestCycles=1,IF(B75&lt;D75,IF(VLOOKUP(A75,Test_Limits,5,FALSE)="PF","Fail","Info"),"Pass"),IF(#REF!&lt;D75,IF(VLOOKUP(A75,Test_Limits,5,FALSE)="PF","Fail","Info"),"Pass")))</f>
        <v>Pass</v>
      </c>
      <c r="F75" s="112">
        <f t="shared" si="5"/>
        <v>524.07407407407413</v>
      </c>
      <c r="G75" s="18" t="str">
        <f>IF(F75="","",IF(TestCycles=1,IF(B75&gt;F75,IF(VLOOKUP(A75,Test_Limits,5,FALSE)="PF","Fail","Info"),"Pass"),IF(#REF!&gt;F75,IF(VLOOKUP(A75,Test_Limits,5,FALSE)="PF","Fail","Info"),"Pass")))</f>
        <v>Pass</v>
      </c>
      <c r="H75" s="3"/>
    </row>
    <row r="76" spans="1:8" ht="13.8" x14ac:dyDescent="0.3">
      <c r="A76" s="16" t="s">
        <v>63</v>
      </c>
      <c r="B76" s="50">
        <v>55.6</v>
      </c>
      <c r="C76" s="53" t="str">
        <f>IF(B76="","","mA")</f>
        <v>mA</v>
      </c>
      <c r="D76" s="112">
        <f t="shared" si="4"/>
        <v>10</v>
      </c>
      <c r="E76" s="18" t="str">
        <f>IF(D76="","",IF(TestCycles=1,IF(B76&lt;D76,IF(VLOOKUP(A76,Test_Limits,5,FALSE)="PF","Fail","Info"),"Pass"),IF(#REF!&lt;D76,IF(VLOOKUP(A76,Test_Limits,5,FALSE)="PF","Fail","Info"),"Pass")))</f>
        <v>Pass</v>
      </c>
      <c r="F76" s="112">
        <f t="shared" si="5"/>
        <v>472.22222222222223</v>
      </c>
      <c r="G76" s="18" t="str">
        <f>IF(F76="","",IF(TestCycles=1,IF(B76&gt;F76,IF(VLOOKUP(A76,Test_Limits,5,FALSE)="PF","Fail","Info"),"Pass"),IF(#REF!&gt;F76,IF(VLOOKUP(A76,Test_Limits,5,FALSE)="PF","Fail","Info"),"Pass")))</f>
        <v>Pass</v>
      </c>
      <c r="H76" s="3"/>
    </row>
    <row r="77" spans="1:8" ht="14.4" thickBot="1" x14ac:dyDescent="0.35">
      <c r="A77" s="58" t="s">
        <v>59</v>
      </c>
      <c r="B77" s="59">
        <v>79</v>
      </c>
      <c r="C77" s="60" t="str">
        <f>IF(B77="","","mA")</f>
        <v>mA</v>
      </c>
      <c r="D77" s="118">
        <f t="shared" si="4"/>
        <v>2.2999999999999998</v>
      </c>
      <c r="E77" s="87" t="str">
        <f>IF(D77="","",IF(TestCycles=1,IF(B77&lt;D77,IF(VLOOKUP(A77,Test_Limits,5,FALSE)="PF","Fail","Info"),"Pass"),IF(#REF!&lt;D77,IF(VLOOKUP(A77,Test_Limits,5,FALSE)="PF","Fail","Info"),"Pass")))</f>
        <v>Pass</v>
      </c>
      <c r="F77" s="118">
        <f t="shared" si="5"/>
        <v>472.22222222222223</v>
      </c>
      <c r="G77" s="87" t="str">
        <f>IF(F77="","",IF(TestCycles=1,IF(B77&gt;F77,IF(VLOOKUP(A77,Test_Limits,5,FALSE)="PF","Fail","Info"),"Pass"),IF(#REF!&gt;F77,IF(VLOOKUP(A77,Test_Limits,5,FALSE)="PF","Fail","Info"),"Pass")))</f>
        <v>Pass</v>
      </c>
      <c r="H77" s="3"/>
    </row>
    <row r="78" spans="1:8" x14ac:dyDescent="0.25">
      <c r="A78" s="67" t="s">
        <v>28</v>
      </c>
      <c r="B78" s="65"/>
      <c r="C78" s="66"/>
      <c r="D78" s="19"/>
      <c r="E78" s="19"/>
      <c r="F78" s="19"/>
      <c r="G78" s="19"/>
      <c r="H78" s="3"/>
    </row>
    <row r="79" spans="1:8" ht="13.8" x14ac:dyDescent="0.3">
      <c r="A79" s="15" t="s">
        <v>15</v>
      </c>
      <c r="B79" s="48">
        <v>24.91</v>
      </c>
      <c r="C79" s="55" t="str">
        <f>IF(B79="","","Kohm")</f>
        <v>Kohm</v>
      </c>
      <c r="D79" s="52">
        <f>IF(B79="","",IF(VLOOKUP(A79,Test_Limits,2,FALSE)="","",VLOOKUP(A79,Test_Limits,2,FALSE)))</f>
        <v>23.7</v>
      </c>
      <c r="E79" s="18" t="str">
        <f>IF(D79="","",IF(TestCycles=1,IF(B79&lt;D79,IF(VLOOKUP(A79,Test_Limits,5,FALSE)="PF","Fail","Info"),"Pass"),IF(#REF!&lt;D79,IF(VLOOKUP(A79,Test_Limits,5,FALSE)="PF","Fail","Info"),"Pass")))</f>
        <v>Pass</v>
      </c>
      <c r="F79" s="52">
        <f>IF(B79="","",IF(VLOOKUP(A79,Test_Limits,3,FALSE)="","",VLOOKUP(A79,Test_Limits,3,FALSE)))</f>
        <v>26.3</v>
      </c>
      <c r="G79" s="18" t="str">
        <f>IF(F79="","",IF(TestCycles=1,IF(B79&gt;F79,IF(VLOOKUP(A79,Test_Limits,5,FALSE)="PF","Fail","Info"),"Pass"),IF(#REF!&gt;F79,IF(VLOOKUP(A79,Test_Limits,5,FALSE)="PF","Fail","Info"),"Pass")))</f>
        <v>Pass</v>
      </c>
      <c r="H79" s="3"/>
    </row>
    <row r="80" spans="1:8" ht="13.8" x14ac:dyDescent="0.3">
      <c r="A80" s="15" t="s">
        <v>16</v>
      </c>
      <c r="B80" s="49">
        <v>0.10100000000000001</v>
      </c>
      <c r="C80" s="55" t="str">
        <f>IF(B80="","","uF")</f>
        <v>uF</v>
      </c>
      <c r="D80" s="111">
        <f>IF(B80="","",IF(VLOOKUP(A80,Test_Limits,2,FALSE)="","",VLOOKUP(A80,Test_Limits,2,FALSE)))</f>
        <v>0.05</v>
      </c>
      <c r="E80" s="18" t="str">
        <f>IF(D80="","",IF(TestCycles=1,IF(B80&lt;D80,IF(VLOOKUP(A80,Test_Limits,5,FALSE)="PF","Fail","Info"),"Pass"),IF(#REF!&lt;D80,IF(VLOOKUP(A80,Test_Limits,5,FALSE)="PF","Fail","Info"),"Pass")))</f>
        <v>Pass</v>
      </c>
      <c r="F80" s="111">
        <f>IF(B80="","",IF(VLOOKUP(A80,Test_Limits,3,FALSE)="","",VLOOKUP(A80,Test_Limits,3,FALSE)))</f>
        <v>0.12</v>
      </c>
      <c r="G80" s="18" t="str">
        <f>IF(F80="","",IF(TestCycles=1,IF(B80&gt;F80,IF(VLOOKUP(A80,Test_Limits,5,FALSE)="PF","Fail","Info"),"Pass"),IF(#REF!&gt;F80,IF(VLOOKUP(A80,Test_Limits,5,FALSE)="PF","Fail","Info"),"Pass")))</f>
        <v>Pass</v>
      </c>
      <c r="H80" s="3"/>
    </row>
    <row r="81" spans="1:8" ht="13.8" x14ac:dyDescent="0.3">
      <c r="A81" s="16" t="s">
        <v>14</v>
      </c>
      <c r="B81" s="50">
        <v>39.9</v>
      </c>
      <c r="C81" s="55" t="str">
        <f>IF(B81="","","mA")</f>
        <v>mA</v>
      </c>
      <c r="D81" s="112">
        <f>IF(B81="","",IF(VLOOKUP(A81,Test_Limits,2,FALSE)="","",VLOOKUP(A81,Test_Limits,2,FALSE)))</f>
        <v>36</v>
      </c>
      <c r="E81" s="18" t="str">
        <f>IF(D81="","",IF(TestCycles=1,IF(B81&lt;D81,IF(VLOOKUP(A81,Test_Limits,5,FALSE)="PF","Fail","Info"),"Pass"),IF(#REF!&lt;D81,IF(VLOOKUP(A81,Test_Limits,5,FALSE)="PF","Fail","Info"),"Pass")))</f>
        <v>Pass</v>
      </c>
      <c r="F81" s="112">
        <f>IF(B81="","",IF(VLOOKUP(A81,Test_Limits,3,FALSE)="","",VLOOKUP(A81,Test_Limits,3,FALSE)))</f>
        <v>44</v>
      </c>
      <c r="G81" s="18" t="str">
        <f>IF(F81="","",IF(TestCycles=1,IF(B81&gt;F81,IF(VLOOKUP(A81,Test_Limits,5,FALSE)="PF","Fail","Info"),"Pass"),IF(#REF!&gt;F81,IF(VLOOKUP(A81,Test_Limits,5,FALSE)="PF","Fail","Info"),"Pass")))</f>
        <v>Pass</v>
      </c>
      <c r="H81" s="3"/>
    </row>
    <row r="82" spans="1:8" ht="13.8" x14ac:dyDescent="0.3">
      <c r="A82" s="16" t="s">
        <v>3</v>
      </c>
      <c r="B82" s="51">
        <v>4</v>
      </c>
      <c r="C82" s="56" t="str">
        <f>IF(B82="","","****")</f>
        <v>****</v>
      </c>
      <c r="D82" s="113">
        <f>IF(B82="","",IF(VLOOKUP(A82,Test_Limits,2,FALSE)="","",VLOOKUP(A82,Test_Limits,2,FALSE)))</f>
        <v>0</v>
      </c>
      <c r="E82" s="18" t="str">
        <f>IF(D82="","",IF(TestCycles=1,IF(B82&lt;D82,IF(VLOOKUP(A82,Test_Limits,5,FALSE)="PF","Fail","Info"),"Pass"),IF(#REF!&lt;D82,IF(VLOOKUP(A82,Test_Limits,5,FALSE)="PF","Fail","Info"),"Pass")))</f>
        <v>Pass</v>
      </c>
      <c r="F82" s="113">
        <f>IF(B82="","",IF(VLOOKUP(A82,Test_Limits,3,FALSE)="","",VLOOKUP(A82,Test_Limits,3,FALSE)))</f>
        <v>4</v>
      </c>
      <c r="G82" s="18" t="str">
        <f>IF(F82="","",IF(TestCycles=1,IF(B82&gt;F82,IF(VLOOKUP(A82,Test_Limits,5,FALSE)="PF","Fail","Info"),"Pass"),IF(#REF!&gt;F82,IF(VLOOKUP(A82,Test_Limits,5,FALSE)="PF","Fail","Info"),"Pass")))</f>
        <v>Pass</v>
      </c>
      <c r="H82" s="3"/>
    </row>
    <row r="83" spans="1:8" ht="13.8" x14ac:dyDescent="0.3">
      <c r="A83" s="16" t="s">
        <v>4</v>
      </c>
      <c r="B83" s="51">
        <v>2</v>
      </c>
      <c r="C83" s="56" t="str">
        <f>IF(B83="","","****")</f>
        <v>****</v>
      </c>
      <c r="D83" s="113">
        <f>IF(B83="","",IF(VLOOKUP(A83,Test_Limits,2,FALSE)="","",VLOOKUP(A83,Test_Limits,2,FALSE)))</f>
        <v>1</v>
      </c>
      <c r="E83" s="18" t="str">
        <f>IF(D83="","",IF(TestCycles=1,IF(B83&lt;D83,IF(VLOOKUP(A83,Test_Limits,5,FALSE)="PF","Fail","Info"),"Pass"),IF(#REF!&lt;D83,IF(VLOOKUP(A83,Test_Limits,5,FALSE)="PF","Fail","Info"),"Pass")))</f>
        <v>Pass</v>
      </c>
      <c r="F83" s="113">
        <f>IF(B83="","",IF(VLOOKUP(A83,Test_Limits,3,FALSE)="","",VLOOKUP(A83,Test_Limits,3,FALSE)))</f>
        <v>2</v>
      </c>
      <c r="G83" s="18" t="str">
        <f>IF(F83="","",IF(TestCycles=1,IF(B83&gt;F83,IF(VLOOKUP(A83,Test_Limits,5,FALSE)="PF","Fail","Info"),"Pass"),IF(#REF!&gt;F83,IF(VLOOKUP(A83,Test_Limits,5,FALSE)="PF","Fail","Info"),"Pass")))</f>
        <v>Pass</v>
      </c>
      <c r="H83" s="3"/>
    </row>
    <row r="84" spans="1:8" ht="13.8" x14ac:dyDescent="0.3">
      <c r="A84" s="16" t="s">
        <v>5</v>
      </c>
      <c r="B84" s="50">
        <v>36.5</v>
      </c>
      <c r="C84" s="53" t="str">
        <f>IF(B84="","","Volts")</f>
        <v>Volts</v>
      </c>
      <c r="D84" s="112">
        <f>IF(B84="N/A","",IF(B84="","",IF(VLOOKUP(A84,Test_Limits,2,FALSE)="","",VLOOKUP(A84,Test_Limits,2,FALSE))))</f>
        <v>30</v>
      </c>
      <c r="E84" s="18" t="str">
        <f>IF(D84="","",IF(TestCycles=1,IF(B84&lt;D84,IF(VLOOKUP(A84,Test_Limits,5,FALSE)="PF","Fail","Info"),"Pass"),IF(#REF!&lt;D84,IF(VLOOKUP(A84,Test_Limits,5,FALSE)="PF","Fail","Info"),"Pass")))</f>
        <v>Pass</v>
      </c>
      <c r="F84" s="112">
        <f>IF(B84="N/A","",IF(B84="","",IF(VLOOKUP(A84,Test_Limits,3,FALSE)="","",VLOOKUP(A84,Test_Limits,3,FALSE))))</f>
        <v>42</v>
      </c>
      <c r="G84" s="18" t="str">
        <f>IF(F84="","",IF(TestCycles=1,IF(B84&gt;F84,IF(VLOOKUP(A84,Test_Limits,5,FALSE)="PF","Fail","Info"),"Pass"),IF(#REF!&gt;F84,IF(VLOOKUP(A84,Test_Limits,5,FALSE)="PF","Fail","Info"),"Pass")))</f>
        <v>Pass</v>
      </c>
      <c r="H84" s="3"/>
    </row>
    <row r="85" spans="1:8" ht="13.8" x14ac:dyDescent="0.3">
      <c r="A85" s="16" t="s">
        <v>6</v>
      </c>
      <c r="B85" s="72">
        <v>32.1</v>
      </c>
      <c r="C85" s="53" t="str">
        <f>IF(SUM(B85:B85)=0,"","Volts")</f>
        <v>Volts</v>
      </c>
      <c r="D85" s="112">
        <f>IF(B85="N/A","",IF(B85="","",IF(VLOOKUP(A85,Test_Limits,2,FALSE)="","",VLOOKUP(A85,Test_Limits,2,FALSE))))</f>
        <v>30</v>
      </c>
      <c r="E85" s="18" t="str">
        <f>IF(D85="","",IF(TestCycles=1,IF(B85&lt;D85,IF(VLOOKUP(A85,Test_Limits,5,FALSE)="PF","Fail","Info"),"Pass"),IF(#REF!&lt;D85,IF(VLOOKUP(A85,Test_Limits,5,FALSE)="PF","Fail","Info"),"Pass")))</f>
        <v>Pass</v>
      </c>
      <c r="F85" s="112">
        <f>IF(B85="N/A","",IF(B85="","",IF(VLOOKUP(A85,Test_Limits,3,FALSE)="","",VLOOKUP(A85,Test_Limits,3,FALSE))))</f>
        <v>42.5</v>
      </c>
      <c r="G85" s="18" t="str">
        <f>IF(F85="","",IF(TestCycles=1,IF(B85&gt;F85,IF(VLOOKUP(A85,Test_Limits,5,FALSE)="PF","Fail","Info"),"Pass"),IF(#REF!&gt;F85,IF(VLOOKUP(A85,Test_Limits,5,FALSE)="PF","Fail","Info"),"Pass")))</f>
        <v>Pass</v>
      </c>
      <c r="H85" s="3"/>
    </row>
    <row r="86" spans="1:8" ht="13.8" x14ac:dyDescent="0.3">
      <c r="A86" s="16" t="s">
        <v>65</v>
      </c>
      <c r="B86" s="119">
        <v>9.4E-2</v>
      </c>
      <c r="C86" s="57" t="str">
        <f>IF(B86="","","W-s")</f>
        <v>W-s</v>
      </c>
      <c r="D86" s="111">
        <f>IF(B86="N/A","",IF(B86="","",IF(VLOOKUP(A86,Test_Limits,2,FALSE)="","",VLOOKUP(A86,Test_Limits,2,FALSE))))</f>
        <v>0</v>
      </c>
      <c r="E86" s="18" t="str">
        <f>IF(D86="","",IF(TestCycles=1,IF(B86&lt;D86,IF(VLOOKUP(A86,Test_Limits,5,FALSE)="PF","Fail","Info"),"Pass"),IF(#REF!&lt;D86,IF(VLOOKUP(A86,Test_Limits,5,FALSE)="PF","Fail","Info"),"Pass")))</f>
        <v>Pass</v>
      </c>
      <c r="F86" s="111">
        <f>IF(B86="N/A","",IF(B86="","",IF(VLOOKUP(A86,Test_Limits,3,FALSE)="","",VLOOKUP(A86,Test_Limits,3,FALSE))))</f>
        <v>0.35</v>
      </c>
      <c r="G86" s="18" t="str">
        <f>IF(F86="","",IF(TestCycles=1,IF(B86&gt;F86,IF(VLOOKUP(A86,Test_Limits,5,FALSE)="PF","Fail","Info"),"Pass"),IF(#REF!&gt;F86,IF(VLOOKUP(A86,Test_Limits,5,FALSE)="PF","Fail","Info"),"Pass")))</f>
        <v>Pass</v>
      </c>
      <c r="H86" s="3"/>
    </row>
    <row r="87" spans="1:8" x14ac:dyDescent="0.25">
      <c r="A87" s="38" t="s">
        <v>22</v>
      </c>
      <c r="B87" s="35"/>
      <c r="C87" s="54"/>
      <c r="D87" s="19"/>
      <c r="E87" s="19"/>
      <c r="F87" s="19"/>
      <c r="G87" s="19"/>
      <c r="H87" s="3"/>
    </row>
    <row r="88" spans="1:8" ht="13.8" x14ac:dyDescent="0.3">
      <c r="A88" s="16" t="s">
        <v>10</v>
      </c>
      <c r="B88" s="48">
        <v>3.97</v>
      </c>
      <c r="C88" s="57" t="str">
        <f>IF(B88="","","Watts")</f>
        <v>Watts</v>
      </c>
      <c r="D88" s="52">
        <f>IF(B88="","",IF(VLOOKUP(A88,Test_Limits,2,FALSE)="","",VLOOKUP(A88,Test_Limits,2,FALSE)))</f>
        <v>0</v>
      </c>
      <c r="E88" s="18" t="str">
        <f>IF(D88="","",IF(TestCycles=1,IF(B88&lt;D88,IF(VLOOKUP(A88,Test_Limits,5,FALSE)="PF","Fail","Info"),"Pass"),IF(#REF!&lt;D88,IF(VLOOKUP(A88,Test_Limits,5,FALSE)="PF","Fail","Info"),"Pass")))</f>
        <v>Pass</v>
      </c>
      <c r="F88" s="52">
        <f>IF(B88="","",IF(VLOOKUP(A88,Test_Limits,3,FALSE)="","",VLOOKUP(A88,Test_Limits,3,FALSE)))</f>
        <v>13</v>
      </c>
      <c r="G88" s="18" t="str">
        <f>IF(F88="","",IF(TestCycles=1,IF(B88&gt;F88,IF(VLOOKUP(A88,Test_Limits,5,FALSE)="PF","Fail","Info"),"Pass"),IF(#REF!&gt;F88,IF(VLOOKUP(A88,Test_Limits,5,FALSE)="PF","Fail","Info"),"Pass")))</f>
        <v>Pass</v>
      </c>
      <c r="H88" s="3"/>
    </row>
    <row r="89" spans="1:8" ht="13.8" x14ac:dyDescent="0.3">
      <c r="A89" s="16" t="s">
        <v>9</v>
      </c>
      <c r="B89" s="48">
        <v>5.33</v>
      </c>
      <c r="C89" s="57" t="str">
        <f>IF(B89="","","Watts")</f>
        <v>Watts</v>
      </c>
      <c r="D89" s="52">
        <f>IF(B89="","",IF(VLOOKUP(A89,Test_Limits,2,FALSE)="","",VLOOKUP(A89,Test_Limits,2,FALSE)))</f>
        <v>0</v>
      </c>
      <c r="E89" s="18" t="str">
        <f>IF(D89="","",IF(TestCycles=1,IF(B89&lt;D89,IF(VLOOKUP(A89,Test_Limits,5,FALSE)="PF","Fail","Info"),"Pass"),IF(#REF!&lt;D89,IF(VLOOKUP(A89,Test_Limits,5,FALSE)="PF","Fail","Info"),"Pass")))</f>
        <v>Pass</v>
      </c>
      <c r="F89" s="52">
        <f>IF(B89="","",IF(VLOOKUP(A89,Test_Limits,3,FALSE)="","",VLOOKUP(A89,Test_Limits,3,FALSE)))</f>
        <v>14.4</v>
      </c>
      <c r="G89" s="18" t="str">
        <f>IF(F89="","",IF(TestCycles=1,IF(B89&gt;F89,IF(VLOOKUP(A89,Test_Limits,5,FALSE)="PF","Fail","Info"),"Pass"),IF(#REF!&gt;F89,IF(VLOOKUP(A89,Test_Limits,5,FALSE)="PF","Fail","Info"),"Pass")))</f>
        <v>Pass</v>
      </c>
      <c r="H89" s="3"/>
    </row>
    <row r="90" spans="1:8" ht="13.8" x14ac:dyDescent="0.3">
      <c r="A90" s="16" t="s">
        <v>56</v>
      </c>
      <c r="B90" s="50">
        <v>111.4</v>
      </c>
      <c r="C90" s="53" t="str">
        <f>IF(B90="","","mA")</f>
        <v>mA</v>
      </c>
      <c r="D90" s="112">
        <f>IF(B90="","",IF(VLOOKUP(A90,Test_Limits,2,FALSE)="","",VLOOKUP(A90,Test_Limits,2,FALSE)))</f>
        <v>10</v>
      </c>
      <c r="E90" s="18" t="str">
        <f>IF(D90="","",IF(TestCycles=1,IF(B90&lt;D90,IF(VLOOKUP(A90,Test_Limits,5,FALSE)="PF","Fail","Info"),"Pass"),IF(#REF!&lt;D90,IF(VLOOKUP(A90,Test_Limits,5,FALSE)="PF","Fail","Info"),"Pass")))</f>
        <v>Pass</v>
      </c>
      <c r="F90" s="112">
        <f>IF(B90="","",IF(VLOOKUP(A90,Test_Limits,3,FALSE)="","",VLOOKUP(A90,Test_Limits,3,FALSE)))</f>
        <v>300</v>
      </c>
      <c r="G90" s="18" t="str">
        <f>IF(F90="","",IF(TestCycles=1,IF(B90&gt;F90,IF(VLOOKUP(A90,Test_Limits,5,FALSE)="PF","Fail","Info"),"Pass"),IF(#REF!&gt;F90,IF(VLOOKUP(A90,Test_Limits,5,FALSE)="PF","Fail","Info"),"Pass")))</f>
        <v>Pass</v>
      </c>
      <c r="H90" s="3"/>
    </row>
    <row r="91" spans="1:8" ht="13.8" x14ac:dyDescent="0.3">
      <c r="A91" s="16" t="s">
        <v>62</v>
      </c>
      <c r="B91" s="50">
        <v>52.4</v>
      </c>
      <c r="C91" s="53" t="str">
        <f>IF(B91="","","mA")</f>
        <v>mA</v>
      </c>
      <c r="D91" s="112">
        <f>IF(B91="","",IF(VLOOKUP(A91,Test_Limits,2,FALSE)="","",VLOOKUP(A91,Test_Limits,2,FALSE)))</f>
        <v>10</v>
      </c>
      <c r="E91" s="18" t="str">
        <f>IF(D91="","",IF(TestCycles=1,IF(B91&lt;D91,IF(VLOOKUP(A91,Test_Limits,5,FALSE)="PF","Fail","Info"),"Pass"),IF(#REF!&lt;D91,IF(VLOOKUP(A91,Test_Limits,5,FALSE)="PF","Fail","Info"),"Pass")))</f>
        <v>Pass</v>
      </c>
      <c r="F91" s="112">
        <f>IF(B91="","",IF(VLOOKUP(A91,Test_Limits,3,FALSE)="","",VLOOKUP(A91,Test_Limits,3,FALSE)))</f>
        <v>270.83333333333331</v>
      </c>
      <c r="G91" s="18" t="str">
        <f>IF(F91="","",IF(TestCycles=1,IF(B91&gt;F91,IF(VLOOKUP(A91,Test_Limits,5,FALSE)="PF","Fail","Info"),"Pass"),IF(#REF!&gt;F91,IF(VLOOKUP(A91,Test_Limits,5,FALSE)="PF","Fail","Info"),"Pass")))</f>
        <v>Pass</v>
      </c>
      <c r="H91" s="3"/>
    </row>
    <row r="92" spans="1:8" ht="13.8" x14ac:dyDescent="0.3">
      <c r="A92" s="16" t="s">
        <v>57</v>
      </c>
      <c r="B92" s="50">
        <v>82.9</v>
      </c>
      <c r="C92" s="53" t="str">
        <f>IF(B92="","","mA")</f>
        <v>mA</v>
      </c>
      <c r="D92" s="112">
        <f>IF(B92="","",IF(VLOOKUP(A92,Test_Limits,2,FALSE)="","",VLOOKUP(A92,Test_Limits,2,FALSE)))</f>
        <v>2.2999999999999998</v>
      </c>
      <c r="E92" s="18" t="str">
        <f>IF(D92="","",IF(TestCycles=1,IF(B92&lt;D92,IF(VLOOKUP(A92,Test_Limits,5,FALSE)="PF","Fail","Info"),"Pass"),IF(#REF!&lt;D92,IF(VLOOKUP(A92,Test_Limits,5,FALSE)="PF","Fail","Info"),"Pass")))</f>
        <v>Pass</v>
      </c>
      <c r="F92" s="112">
        <f>IF(B92="","",IF(VLOOKUP(A92,Test_Limits,3,FALSE)="","",VLOOKUP(A92,Test_Limits,3,FALSE)))</f>
        <v>270.83333333333331</v>
      </c>
      <c r="G92" s="18" t="str">
        <f>IF(F92="","",IF(TestCycles=1,IF(B92&gt;F92,IF(VLOOKUP(A92,Test_Limits,5,FALSE)="PF","Fail","Info"),"Pass"),IF(#REF!&gt;F92,IF(VLOOKUP(A92,Test_Limits,5,FALSE)="PF","Fail","Info"),"Pass")))</f>
        <v>Pass</v>
      </c>
      <c r="H92" s="3"/>
    </row>
    <row r="93" spans="1:8" x14ac:dyDescent="0.25">
      <c r="A93" s="38" t="s">
        <v>23</v>
      </c>
      <c r="B93" s="35"/>
      <c r="C93" s="54"/>
      <c r="D93" s="19"/>
      <c r="E93" s="19"/>
      <c r="F93" s="19"/>
      <c r="G93" s="19"/>
      <c r="H93" s="3"/>
    </row>
    <row r="94" spans="1:8" ht="13.8" x14ac:dyDescent="0.3">
      <c r="A94" s="16" t="s">
        <v>13</v>
      </c>
      <c r="B94" s="50">
        <v>0.79</v>
      </c>
      <c r="C94" s="53" t="str">
        <f>IF(B94="","","mA")</f>
        <v>mA</v>
      </c>
      <c r="D94" s="112">
        <f t="shared" ref="D94:D100" si="6">IF(B94="","",IF(VLOOKUP(A94,Test_Limits,2,FALSE)="","",VLOOKUP(A94,Test_Limits,2,FALSE)))</f>
        <v>0.25</v>
      </c>
      <c r="E94" s="18" t="str">
        <f>IF(D94="","",IF(TestCycles=1,IF(B94&lt;D94,IF(VLOOKUP(A94,Test_Limits,5,FALSE)="PF","Fail","Info"),"Pass"),IF(#REF!&lt;D94,IF(VLOOKUP(A94,Test_Limits,5,FALSE)="PF","Fail","Info"),"Pass")))</f>
        <v>Pass</v>
      </c>
      <c r="F94" s="112">
        <f t="shared" ref="F94:F100" si="7">IF(B94="","",IF(VLOOKUP(A94,Test_Limits,3,FALSE)="","",VLOOKUP(A94,Test_Limits,3,FALSE)))</f>
        <v>4</v>
      </c>
      <c r="G94" s="18" t="str">
        <f>IF(F94="","",IF(TestCycles=1,IF(B94&gt;F94,IF(VLOOKUP(A94,Test_Limits,5,FALSE)="PF","Fail","Info"),"Pass"),IF(#REF!&gt;F94,IF(VLOOKUP(A94,Test_Limits,5,FALSE)="PF","Fail","Info"),"Pass")))</f>
        <v>Pass</v>
      </c>
      <c r="H94" s="3"/>
    </row>
    <row r="95" spans="1:8" ht="13.8" x14ac:dyDescent="0.3">
      <c r="A95" s="16" t="s">
        <v>11</v>
      </c>
      <c r="B95" s="48">
        <v>4.2300000000000004</v>
      </c>
      <c r="C95" s="57" t="str">
        <f>IF(B95="","","Watts")</f>
        <v>Watts</v>
      </c>
      <c r="D95" s="52">
        <f t="shared" si="6"/>
        <v>0</v>
      </c>
      <c r="E95" s="18" t="str">
        <f>IF(D95="","",IF(TestCycles=1,IF(B95&lt;D95,IF(VLOOKUP(A95,Test_Limits,5,FALSE)="PF","Fail","Info"),"Pass"),IF(#REF!&lt;D95,IF(VLOOKUP(A95,Test_Limits,5,FALSE)="PF","Fail","Info"),"Pass")))</f>
        <v>Pass</v>
      </c>
      <c r="F95" s="52">
        <f t="shared" si="7"/>
        <v>25.5</v>
      </c>
      <c r="G95" s="18" t="str">
        <f>IF(F95="","",IF(TestCycles=1,IF(B95&gt;F95,IF(VLOOKUP(A95,Test_Limits,5,FALSE)="PF","Fail","Info"),"Pass"),IF(#REF!&gt;F95,IF(VLOOKUP(A95,Test_Limits,5,FALSE)="PF","Fail","Info"),"Pass")))</f>
        <v>Pass</v>
      </c>
      <c r="H95" s="3"/>
    </row>
    <row r="96" spans="1:8" ht="13.8" x14ac:dyDescent="0.3">
      <c r="A96" s="16" t="s">
        <v>12</v>
      </c>
      <c r="B96" s="48">
        <v>5.46</v>
      </c>
      <c r="C96" s="57" t="str">
        <f>IF(B96="","","Watts")</f>
        <v>Watts</v>
      </c>
      <c r="D96" s="52">
        <f t="shared" si="6"/>
        <v>0</v>
      </c>
      <c r="E96" s="18" t="str">
        <f>IF(D96="","",IF(TestCycles=1,IF(B96&lt;D96,IF(VLOOKUP(A96,Test_Limits,5,FALSE)="PF","Fail","Info"),"Pass"),IF(#REF!&lt;D96,IF(VLOOKUP(A96,Test_Limits,5,FALSE)="PF","Fail","Info"),"Pass")))</f>
        <v>Pass</v>
      </c>
      <c r="F96" s="52">
        <f t="shared" si="7"/>
        <v>28.3</v>
      </c>
      <c r="G96" s="18" t="str">
        <f>IF(F96="","",IF(TestCycles=1,IF(B96&gt;F96,IF(VLOOKUP(A96,Test_Limits,5,FALSE)="PF","Fail","Info"),"Pass"),IF(#REF!&gt;F96,IF(VLOOKUP(A96,Test_Limits,5,FALSE)="PF","Fail","Info"),"Pass")))</f>
        <v>Pass</v>
      </c>
      <c r="H96" s="3"/>
    </row>
    <row r="97" spans="1:8" ht="13.8" x14ac:dyDescent="0.3">
      <c r="A97" s="16" t="s">
        <v>17</v>
      </c>
      <c r="B97" s="48">
        <v>2.95</v>
      </c>
      <c r="C97" s="57" t="str">
        <f>IF(B97="","","Watts")</f>
        <v>Watts</v>
      </c>
      <c r="D97" s="52">
        <f t="shared" si="6"/>
        <v>0</v>
      </c>
      <c r="E97" s="18" t="str">
        <f>IF(D97="","",IF(TestCycles=1,IF(B97&lt;D97,IF(VLOOKUP(A97,Test_Limits,5,FALSE)="PF","Fail","Info"),"Pass"),IF(#REF!&lt;D97,IF(VLOOKUP(A97,Test_Limits,5,FALSE)="PF","Fail","Info"),"Pass")))</f>
        <v>Pass</v>
      </c>
      <c r="F97" s="52">
        <f t="shared" si="7"/>
        <v>14.4</v>
      </c>
      <c r="G97" s="18" t="str">
        <f>IF(F97="","",IF(TestCycles=1,IF(B97&gt;F97,IF(VLOOKUP(A97,Test_Limits,5,FALSE)="PF","Fail","Info"),"Pass"),IF(#REF!&gt;F97,IF(VLOOKUP(A97,Test_Limits,5,FALSE)="PF","Fail","Info"),"Pass")))</f>
        <v>Pass</v>
      </c>
      <c r="H97" s="3"/>
    </row>
    <row r="98" spans="1:8" ht="13.8" x14ac:dyDescent="0.3">
      <c r="A98" s="16" t="s">
        <v>58</v>
      </c>
      <c r="B98" s="50">
        <v>101</v>
      </c>
      <c r="C98" s="53" t="str">
        <f>IF(B98="","","mA")</f>
        <v>mA</v>
      </c>
      <c r="D98" s="112">
        <f t="shared" si="6"/>
        <v>10</v>
      </c>
      <c r="E98" s="18" t="str">
        <f>IF(D98="","",IF(TestCycles=1,IF(B98&lt;D98,IF(VLOOKUP(A98,Test_Limits,5,FALSE)="PF","Fail","Info"),"Pass"),IF(#REF!&lt;D98,IF(VLOOKUP(A98,Test_Limits,5,FALSE)="PF","Fail","Info"),"Pass")))</f>
        <v>Pass</v>
      </c>
      <c r="F98" s="112">
        <f t="shared" si="7"/>
        <v>524.07407407407413</v>
      </c>
      <c r="G98" s="18" t="str">
        <f>IF(F98="","",IF(TestCycles=1,IF(B98&gt;F98,IF(VLOOKUP(A98,Test_Limits,5,FALSE)="PF","Fail","Info"),"Pass"),IF(#REF!&gt;F98,IF(VLOOKUP(A98,Test_Limits,5,FALSE)="PF","Fail","Info"),"Pass")))</f>
        <v>Pass</v>
      </c>
      <c r="H98" s="3"/>
    </row>
    <row r="99" spans="1:8" ht="13.8" x14ac:dyDescent="0.3">
      <c r="A99" s="16" t="s">
        <v>63</v>
      </c>
      <c r="B99" s="50">
        <v>57</v>
      </c>
      <c r="C99" s="53" t="str">
        <f>IF(B99="","","mA")</f>
        <v>mA</v>
      </c>
      <c r="D99" s="112">
        <f t="shared" si="6"/>
        <v>10</v>
      </c>
      <c r="E99" s="18" t="str">
        <f>IF(D99="","",IF(TestCycles=1,IF(B99&lt;D99,IF(VLOOKUP(A99,Test_Limits,5,FALSE)="PF","Fail","Info"),"Pass"),IF(#REF!&lt;D99,IF(VLOOKUP(A99,Test_Limits,5,FALSE)="PF","Fail","Info"),"Pass")))</f>
        <v>Pass</v>
      </c>
      <c r="F99" s="112">
        <f t="shared" si="7"/>
        <v>472.22222222222223</v>
      </c>
      <c r="G99" s="18" t="str">
        <f>IF(F99="","",IF(TestCycles=1,IF(B99&gt;F99,IF(VLOOKUP(A99,Test_Limits,5,FALSE)="PF","Fail","Info"),"Pass"),IF(#REF!&gt;F99,IF(VLOOKUP(A99,Test_Limits,5,FALSE)="PF","Fail","Info"),"Pass")))</f>
        <v>Pass</v>
      </c>
      <c r="H99" s="3"/>
    </row>
    <row r="100" spans="1:8" ht="14.4" thickBot="1" x14ac:dyDescent="0.35">
      <c r="A100" s="62" t="s">
        <v>59</v>
      </c>
      <c r="B100" s="63">
        <v>78.400000000000006</v>
      </c>
      <c r="C100" s="64" t="str">
        <f>IF(B100="","","mA")</f>
        <v>mA</v>
      </c>
      <c r="D100" s="112">
        <f t="shared" si="6"/>
        <v>2.2999999999999998</v>
      </c>
      <c r="E100" s="18" t="str">
        <f>IF(D100="","",IF(TestCycles=1,IF(B100&lt;D100,IF(VLOOKUP(A100,Test_Limits,5,FALSE)="PF","Fail","Info"),"Pass"),IF(#REF!&lt;D100,IF(VLOOKUP(A100,Test_Limits,5,FALSE)="PF","Fail","Info"),"Pass")))</f>
        <v>Pass</v>
      </c>
      <c r="F100" s="112">
        <f t="shared" si="7"/>
        <v>472.22222222222223</v>
      </c>
      <c r="G100" s="18" t="str">
        <f>IF(F100="","",IF(TestCycles=1,IF(B100&gt;F100,IF(VLOOKUP(A100,Test_Limits,5,FALSE)="PF","Fail","Info"),"Pass"),IF(#REF!&gt;F100,IF(VLOOKUP(A100,Test_Limits,5,FALSE)="PF","Fail","Info"),"Pass")))</f>
        <v>Pass</v>
      </c>
      <c r="H100" s="3"/>
    </row>
    <row r="101" spans="1:8" x14ac:dyDescent="0.25">
      <c r="A101" s="68" t="s">
        <v>25</v>
      </c>
      <c r="B101" s="69"/>
      <c r="C101" s="71"/>
      <c r="D101" s="70"/>
      <c r="E101" s="70"/>
      <c r="F101" s="70"/>
      <c r="G101" s="70"/>
      <c r="H101" s="3"/>
    </row>
    <row r="102" spans="1:8" ht="13.8" x14ac:dyDescent="0.3">
      <c r="A102" s="15" t="s">
        <v>15</v>
      </c>
      <c r="B102" s="48">
        <f>IF(B10="High","",IF(B10="","",IF(B33="","",IF(B56="","",IF(B79="","",AVERAGE(B10,B33,B56,B79))))))</f>
        <v>24.907499999999999</v>
      </c>
      <c r="C102" s="115" t="str">
        <f>IF(B102="","","Kohm")</f>
        <v>Kohm</v>
      </c>
      <c r="D102" s="52">
        <f t="shared" ref="D102:D109" si="8">IF(B102="","",IF(VLOOKUP(A102,Test_Limits,2,FALSE)="","",VLOOKUP(A102,Test_Limits,2,FALSE)))</f>
        <v>23.7</v>
      </c>
      <c r="E102" s="18" t="str">
        <f>IF(D102="","",IF(TestCycles=1,IF(B102&lt;D102,IF(VLOOKUP(A102,Test_Limits,5,FALSE)="PF","Fail","Info"),"Pass"),IF(#REF!&lt;D102,IF(VLOOKUP(A102,Test_Limits,5,FALSE)="PF","Fail","Info"),"Pass")))</f>
        <v>Pass</v>
      </c>
      <c r="F102" s="52">
        <f t="shared" ref="F102:F109" si="9">IF(B102="","",IF(VLOOKUP(A102,Test_Limits,3,FALSE)="","",VLOOKUP(A102,Test_Limits,3,FALSE)))</f>
        <v>26.3</v>
      </c>
      <c r="G102" s="18" t="str">
        <f>IF(F102="","",IF(TestCycles=1,IF(B102&gt;F102,IF(VLOOKUP(A102,Test_Limits,5,FALSE)="PF","Fail","Info"),"Pass"),IF(#REF!&gt;F102,IF(VLOOKUP(A102,Test_Limits,5,FALSE)="PF","Fail","Info"),"Pass")))</f>
        <v>Pass</v>
      </c>
      <c r="H102" s="3"/>
    </row>
    <row r="103" spans="1:8" ht="13.8" x14ac:dyDescent="0.3">
      <c r="A103" s="15" t="s">
        <v>16</v>
      </c>
      <c r="B103" s="49">
        <f t="shared" ref="B103:B106" si="10">IF(B11="","",IF(B34="","",IF(B57="","",IF(B80="","",AVERAGE(B11,B34,B57,B80)))))</f>
        <v>0.10100000000000001</v>
      </c>
      <c r="C103" s="115" t="str">
        <f>IF(B103="","","uF")</f>
        <v>uF</v>
      </c>
      <c r="D103" s="111">
        <f t="shared" si="8"/>
        <v>0.05</v>
      </c>
      <c r="E103" s="18" t="str">
        <f>IF(D103="","",IF(TestCycles=1,IF(B103&lt;D103,IF(VLOOKUP(A103,Test_Limits,5,FALSE)="PF","Fail","Info"),"Pass"),IF(#REF!&lt;D103,IF(VLOOKUP(A103,Test_Limits,5,FALSE)="PF","Fail","Info"),"Pass")))</f>
        <v>Pass</v>
      </c>
      <c r="F103" s="111">
        <f t="shared" si="9"/>
        <v>0.12</v>
      </c>
      <c r="G103" s="18" t="str">
        <f>IF(F103="","",IF(TestCycles=1,IF(B103&gt;F103,IF(VLOOKUP(A103,Test_Limits,5,FALSE)="PF","Fail","Info"),"Pass"),IF(#REF!&gt;F103,IF(VLOOKUP(A103,Test_Limits,5,FALSE)="PF","Fail","Info"),"Pass")))</f>
        <v>Pass</v>
      </c>
      <c r="H103" s="3"/>
    </row>
    <row r="104" spans="1:8" ht="13.8" x14ac:dyDescent="0.3">
      <c r="A104" s="16" t="s">
        <v>14</v>
      </c>
      <c r="B104" s="50">
        <f t="shared" si="10"/>
        <v>39.950000000000003</v>
      </c>
      <c r="C104" s="115" t="str">
        <f>IF(B104="","","mA")</f>
        <v>mA</v>
      </c>
      <c r="D104" s="112">
        <f t="shared" si="8"/>
        <v>36</v>
      </c>
      <c r="E104" s="18" t="str">
        <f>IF(D104="","",IF(TestCycles=1,IF(B104&lt;D104,IF(VLOOKUP(A104,Test_Limits,5,FALSE)="PF","Fail","Info"),"Pass"),IF(#REF!&lt;D104,IF(VLOOKUP(A104,Test_Limits,5,FALSE)="PF","Fail","Info"),"Pass")))</f>
        <v>Pass</v>
      </c>
      <c r="F104" s="112">
        <f t="shared" si="9"/>
        <v>44</v>
      </c>
      <c r="G104" s="18" t="str">
        <f>IF(F104="","",IF(TestCycles=1,IF(B104&gt;F104,IF(VLOOKUP(A104,Test_Limits,5,FALSE)="PF","Fail","Info"),"Pass"),IF(#REF!&gt;F104,IF(VLOOKUP(A104,Test_Limits,5,FALSE)="PF","Fail","Info"),"Pass")))</f>
        <v>Pass</v>
      </c>
      <c r="H104" s="3"/>
    </row>
    <row r="105" spans="1:8" ht="13.8" x14ac:dyDescent="0.3">
      <c r="A105" s="16" t="s">
        <v>3</v>
      </c>
      <c r="B105" s="51">
        <f t="shared" si="10"/>
        <v>4</v>
      </c>
      <c r="C105" s="115" t="str">
        <f>IF(B105="","","****")</f>
        <v>****</v>
      </c>
      <c r="D105" s="113">
        <f t="shared" si="8"/>
        <v>0</v>
      </c>
      <c r="E105" s="18" t="str">
        <f>IF(D105="","",IF(TestCycles=1,IF(B105&lt;D105,IF(VLOOKUP(A105,Test_Limits,5,FALSE)="PF","Fail","Info"),"Pass"),IF(#REF!&lt;D105,IF(VLOOKUP(A105,Test_Limits,5,FALSE)="PF","Fail","Info"),"Pass")))</f>
        <v>Pass</v>
      </c>
      <c r="F105" s="113">
        <f t="shared" si="9"/>
        <v>4</v>
      </c>
      <c r="G105" s="18" t="str">
        <f>IF(F105="","",IF(TestCycles=1,IF(B105&gt;F105,IF(VLOOKUP(A105,Test_Limits,5,FALSE)="PF","Fail","Info"),"Pass"),IF(#REF!&gt;F105,IF(VLOOKUP(A105,Test_Limits,5,FALSE)="PF","Fail","Info"),"Pass")))</f>
        <v>Pass</v>
      </c>
      <c r="H105" s="3"/>
    </row>
    <row r="106" spans="1:8" ht="13.8" x14ac:dyDescent="0.3">
      <c r="A106" s="16" t="s">
        <v>4</v>
      </c>
      <c r="B106" s="51">
        <f t="shared" si="10"/>
        <v>2</v>
      </c>
      <c r="C106" s="115" t="str">
        <f>IF(B106="","","****")</f>
        <v>****</v>
      </c>
      <c r="D106" s="113">
        <f t="shared" si="8"/>
        <v>1</v>
      </c>
      <c r="E106" s="18" t="str">
        <f>IF(D106="","",IF(TestCycles=1,IF(B106&lt;D106,IF(VLOOKUP(A106,Test_Limits,5,FALSE)="PF","Fail","Info"),"Pass"),IF(#REF!&lt;D106,IF(VLOOKUP(A106,Test_Limits,5,FALSE)="PF","Fail","Info"),"Pass")))</f>
        <v>Pass</v>
      </c>
      <c r="F106" s="113">
        <f t="shared" si="9"/>
        <v>2</v>
      </c>
      <c r="G106" s="18" t="str">
        <f>IF(F106="","",IF(TestCycles=1,IF(B106&gt;F106,IF(VLOOKUP(A106,Test_Limits,5,FALSE)="PF","Fail","Info"),"Pass"),IF(#REF!&gt;F106,IF(VLOOKUP(A106,Test_Limits,5,FALSE)="PF","Fail","Info"),"Pass")))</f>
        <v>Pass</v>
      </c>
      <c r="H106" s="3"/>
    </row>
    <row r="107" spans="1:8" ht="13.8" x14ac:dyDescent="0.3">
      <c r="A107" s="16" t="s">
        <v>5</v>
      </c>
      <c r="B107" s="50">
        <f>IF(B15="N/A","",IF(B15="","",IF(B38="","",IF(B61="","",IF(B84="","",AVERAGE(B15,B38,B61,B84))))))</f>
        <v>36.5</v>
      </c>
      <c r="C107" s="115" t="str">
        <f>IF(B107="","","Volts")</f>
        <v>Volts</v>
      </c>
      <c r="D107" s="112">
        <f t="shared" si="8"/>
        <v>30</v>
      </c>
      <c r="E107" s="18" t="str">
        <f>IF(D107="","",IF(TestCycles=1,IF(B107&lt;D107,IF(VLOOKUP(A107,Test_Limits,5,FALSE)="PF","Fail","Info"),"Pass"),IF(#REF!&lt;D107,IF(VLOOKUP(A107,Test_Limits,5,FALSE)="PF","Fail","Info"),"Pass")))</f>
        <v>Pass</v>
      </c>
      <c r="F107" s="112">
        <f t="shared" si="9"/>
        <v>42</v>
      </c>
      <c r="G107" s="18" t="str">
        <f>IF(F107="","",IF(TestCycles=1,IF(B107&gt;F107,IF(VLOOKUP(A107,Test_Limits,5,FALSE)="PF","Fail","Info"),"Pass"),IF(#REF!&gt;F107,IF(VLOOKUP(A107,Test_Limits,5,FALSE)="PF","Fail","Info"),"Pass")))</f>
        <v>Pass</v>
      </c>
      <c r="H107" s="3"/>
    </row>
    <row r="108" spans="1:8" ht="13.8" x14ac:dyDescent="0.3">
      <c r="A108" s="16" t="s">
        <v>6</v>
      </c>
      <c r="B108" s="50">
        <f>IF(B16="N/A","",IF(B16="","",IF(B39="","",IF(B62="","",IF(B85="","",AVERAGE(B16,B39,B62,B85))))))</f>
        <v>32.15</v>
      </c>
      <c r="C108" s="115" t="str">
        <f>IF(SUM(B108:B108)=0,"","Volts")</f>
        <v>Volts</v>
      </c>
      <c r="D108" s="112">
        <f t="shared" si="8"/>
        <v>30</v>
      </c>
      <c r="E108" s="18" t="str">
        <f>IF(D108="","",IF(TestCycles=1,IF(B108&lt;D108,IF(VLOOKUP(A108,Test_Limits,5,FALSE)="PF","Fail","Info"),"Pass"),IF(#REF!&lt;D108,IF(VLOOKUP(A108,Test_Limits,5,FALSE)="PF","Fail","Info"),"Pass")))</f>
        <v>Pass</v>
      </c>
      <c r="F108" s="112">
        <f t="shared" si="9"/>
        <v>42.5</v>
      </c>
      <c r="G108" s="18" t="str">
        <f>IF(F108="","",IF(TestCycles=1,IF(B108&gt;F108,IF(VLOOKUP(A108,Test_Limits,5,FALSE)="PF","Fail","Info"),"Pass"),IF(#REF!&gt;F108,IF(VLOOKUP(A108,Test_Limits,5,FALSE)="PF","Fail","Info"),"Pass")))</f>
        <v>Pass</v>
      </c>
      <c r="H108" s="3"/>
    </row>
    <row r="109" spans="1:8" ht="13.8" x14ac:dyDescent="0.3">
      <c r="A109" s="16" t="s">
        <v>65</v>
      </c>
      <c r="B109" s="49">
        <f>IF(B17="N/A","",IF(B17="","",IF(B40="","",IF(B63="","",IF(B86="","",AVERAGE(B17,B40,B63,B86))))))</f>
        <v>9.2999999999999999E-2</v>
      </c>
      <c r="C109" s="115" t="str">
        <f>IF(B109="","","W-s")</f>
        <v>W-s</v>
      </c>
      <c r="D109" s="111">
        <f t="shared" si="8"/>
        <v>0</v>
      </c>
      <c r="E109" s="18" t="str">
        <f>IF(D109="","",IF(TestCycles=1,IF(B109&lt;D109,IF(VLOOKUP(A109,Test_Limits,5,FALSE)="PF","Fail","Info"),"Pass"),IF(#REF!&lt;D109,IF(VLOOKUP(A109,Test_Limits,5,FALSE)="PF","Fail","Info"),"Pass")))</f>
        <v>Pass</v>
      </c>
      <c r="F109" s="111">
        <f t="shared" si="9"/>
        <v>0.35</v>
      </c>
      <c r="G109" s="18" t="str">
        <f>IF(F109="","",IF(TestCycles=1,IF(B109&gt;F109,IF(VLOOKUP(A109,Test_Limits,5,FALSE)="PF","Fail","Info"),"Pass"),IF(#REF!&gt;F109,IF(VLOOKUP(A109,Test_Limits,5,FALSE)="PF","Fail","Info"),"Pass")))</f>
        <v>Pass</v>
      </c>
      <c r="H109" s="3"/>
    </row>
    <row r="110" spans="1:8" x14ac:dyDescent="0.25">
      <c r="A110" s="38" t="s">
        <v>29</v>
      </c>
      <c r="B110" s="35"/>
      <c r="C110" s="116"/>
      <c r="D110" s="19"/>
      <c r="E110" s="19"/>
      <c r="F110" s="19"/>
      <c r="G110" s="19"/>
      <c r="H110" s="3"/>
    </row>
    <row r="111" spans="1:8" ht="13.8" x14ac:dyDescent="0.3">
      <c r="A111" s="16" t="s">
        <v>10</v>
      </c>
      <c r="B111" s="48">
        <f t="shared" ref="B111:B115" si="11">IF(B19="","",IF(B42="","",IF(B65="","",IF(B88="","",AVERAGE(B19,B42,B65,B88)))))</f>
        <v>3.9800000000000004</v>
      </c>
      <c r="C111" s="115" t="str">
        <f>IF(B111="","","Watts")</f>
        <v>Watts</v>
      </c>
      <c r="D111" s="52">
        <f>IF(B111="","",IF(VLOOKUP(A111,Test_Limits,2,FALSE)="","",VLOOKUP(A111,Test_Limits,2,FALSE)))</f>
        <v>0</v>
      </c>
      <c r="E111" s="18" t="str">
        <f>IF(D111="","",IF(TestCycles=1,IF(B111&lt;D111,IF(VLOOKUP(A111,Test_Limits,5,FALSE)="PF","Fail","Info"),"Pass"),IF(#REF!&lt;D111,IF(VLOOKUP(A111,Test_Limits,5,FALSE)="PF","Fail","Info"),"Pass")))</f>
        <v>Pass</v>
      </c>
      <c r="F111" s="52">
        <f>IF(B111="","",IF(VLOOKUP(A111,Test_Limits,3,FALSE)="","",VLOOKUP(A111,Test_Limits,3,FALSE)))</f>
        <v>13</v>
      </c>
      <c r="G111" s="18" t="str">
        <f>IF(F111="","",IF(TestCycles=1,IF(B111&gt;F111,IF(VLOOKUP(A111,Test_Limits,5,FALSE)="PF","Fail","Info"),"Pass"),IF(#REF!&gt;F111,IF(VLOOKUP(A111,Test_Limits,5,FALSE)="PF","Fail","Info"),"Pass")))</f>
        <v>Pass</v>
      </c>
      <c r="H111" s="3"/>
    </row>
    <row r="112" spans="1:8" ht="13.8" x14ac:dyDescent="0.3">
      <c r="A112" s="16" t="s">
        <v>9</v>
      </c>
      <c r="B112" s="48">
        <f t="shared" si="11"/>
        <v>5.3025000000000002</v>
      </c>
      <c r="C112" s="115" t="str">
        <f>IF(B112="","","Watts")</f>
        <v>Watts</v>
      </c>
      <c r="D112" s="52">
        <f>IF(B112="","",IF(VLOOKUP(A112,Test_Limits,2,FALSE)="","",VLOOKUP(A112,Test_Limits,2,FALSE)))</f>
        <v>0</v>
      </c>
      <c r="E112" s="18" t="str">
        <f>IF(D112="","",IF(TestCycles=1,IF(B112&lt;D112,IF(VLOOKUP(A112,Test_Limits,5,FALSE)="PF","Fail","Info"),"Pass"),IF(#REF!&lt;D112,IF(VLOOKUP(A112,Test_Limits,5,FALSE)="PF","Fail","Info"),"Pass")))</f>
        <v>Pass</v>
      </c>
      <c r="F112" s="52">
        <f>IF(B112="","",IF(VLOOKUP(A112,Test_Limits,3,FALSE)="","",VLOOKUP(A112,Test_Limits,3,FALSE)))</f>
        <v>14.4</v>
      </c>
      <c r="G112" s="18" t="str">
        <f>IF(F112="","",IF(TestCycles=1,IF(B112&gt;F112,IF(VLOOKUP(A112,Test_Limits,5,FALSE)="PF","Fail","Info"),"Pass"),IF(#REF!&gt;F112,IF(VLOOKUP(A112,Test_Limits,5,FALSE)="PF","Fail","Info"),"Pass")))</f>
        <v>Pass</v>
      </c>
      <c r="H112" s="3"/>
    </row>
    <row r="113" spans="1:8" ht="13.8" x14ac:dyDescent="0.3">
      <c r="A113" s="16" t="s">
        <v>56</v>
      </c>
      <c r="B113" s="50">
        <f t="shared" si="11"/>
        <v>110.44999999999999</v>
      </c>
      <c r="C113" s="115" t="str">
        <f>IF(B113="","","mA")</f>
        <v>mA</v>
      </c>
      <c r="D113" s="112">
        <f>IF(B113="","",IF(VLOOKUP(A113,Test_Limits,2,FALSE)="","",VLOOKUP(A113,Test_Limits,2,FALSE)))</f>
        <v>10</v>
      </c>
      <c r="E113" s="18" t="str">
        <f>IF(D113="","",IF(TestCycles=1,IF(B113&lt;D113,IF(VLOOKUP(A113,Test_Limits,5,FALSE)="PF","Fail","Info"),"Pass"),IF(#REF!&lt;D113,IF(VLOOKUP(A113,Test_Limits,5,FALSE)="PF","Fail","Info"),"Pass")))</f>
        <v>Pass</v>
      </c>
      <c r="F113" s="112">
        <f>IF(B113="","",IF(VLOOKUP(A113,Test_Limits,3,FALSE)="","",VLOOKUP(A113,Test_Limits,3,FALSE)))</f>
        <v>300</v>
      </c>
      <c r="G113" s="18" t="str">
        <f>IF(F113="","",IF(TestCycles=1,IF(B113&gt;F113,IF(VLOOKUP(A113,Test_Limits,5,FALSE)="PF","Fail","Info"),"Pass"),IF(#REF!&gt;F113,IF(VLOOKUP(A113,Test_Limits,5,FALSE)="PF","Fail","Info"),"Pass")))</f>
        <v>Pass</v>
      </c>
      <c r="H113" s="3"/>
    </row>
    <row r="114" spans="1:8" ht="13.8" x14ac:dyDescent="0.3">
      <c r="A114" s="16" t="s">
        <v>62</v>
      </c>
      <c r="B114" s="50">
        <f t="shared" si="11"/>
        <v>53.300000000000004</v>
      </c>
      <c r="C114" s="115" t="str">
        <f>IF(B114="","","mA")</f>
        <v>mA</v>
      </c>
      <c r="D114" s="112">
        <f>IF(B114="","",IF(VLOOKUP(A114,Test_Limits,2,FALSE)="","",VLOOKUP(A114,Test_Limits,2,FALSE)))</f>
        <v>10</v>
      </c>
      <c r="E114" s="18" t="str">
        <f>IF(D114="","",IF(TestCycles=1,IF(B114&lt;D114,IF(VLOOKUP(A114,Test_Limits,5,FALSE)="PF","Fail","Info"),"Pass"),IF(#REF!&lt;D114,IF(VLOOKUP(A114,Test_Limits,5,FALSE)="PF","Fail","Info"),"Pass")))</f>
        <v>Pass</v>
      </c>
      <c r="F114" s="112">
        <f>IF(B114="","",IF(VLOOKUP(A114,Test_Limits,3,FALSE)="","",VLOOKUP(A114,Test_Limits,3,FALSE)))</f>
        <v>270.83333333333331</v>
      </c>
      <c r="G114" s="18" t="str">
        <f>IF(F114="","",IF(TestCycles=1,IF(B114&gt;F114,IF(VLOOKUP(A114,Test_Limits,5,FALSE)="PF","Fail","Info"),"Pass"),IF(#REF!&gt;F114,IF(VLOOKUP(A114,Test_Limits,5,FALSE)="PF","Fail","Info"),"Pass")))</f>
        <v>Pass</v>
      </c>
      <c r="H114" s="3"/>
    </row>
    <row r="115" spans="1:8" ht="13.8" x14ac:dyDescent="0.3">
      <c r="A115" s="16" t="s">
        <v>57</v>
      </c>
      <c r="B115" s="50">
        <f t="shared" si="11"/>
        <v>83.075000000000003</v>
      </c>
      <c r="C115" s="115" t="str">
        <f>IF(B115="","","mA")</f>
        <v>mA</v>
      </c>
      <c r="D115" s="112">
        <f>IF(B115="","",IF(VLOOKUP(A115,Test_Limits,2,FALSE)="","",VLOOKUP(A115,Test_Limits,2,FALSE)))</f>
        <v>2.2999999999999998</v>
      </c>
      <c r="E115" s="18" t="str">
        <f>IF(D115="","",IF(TestCycles=1,IF(B115&lt;D115,IF(VLOOKUP(A115,Test_Limits,5,FALSE)="PF","Fail","Info"),"Pass"),IF(#REF!&lt;D115,IF(VLOOKUP(A115,Test_Limits,5,FALSE)="PF","Fail","Info"),"Pass")))</f>
        <v>Pass</v>
      </c>
      <c r="F115" s="112">
        <f>IF(B115="","",IF(VLOOKUP(A115,Test_Limits,3,FALSE)="","",VLOOKUP(A115,Test_Limits,3,FALSE)))</f>
        <v>270.83333333333331</v>
      </c>
      <c r="G115" s="18" t="str">
        <f>IF(F115="","",IF(TestCycles=1,IF(B115&gt;F115,IF(VLOOKUP(A115,Test_Limits,5,FALSE)="PF","Fail","Info"),"Pass"),IF(#REF!&gt;F115,IF(VLOOKUP(A115,Test_Limits,5,FALSE)="PF","Fail","Info"),"Pass")))</f>
        <v>Pass</v>
      </c>
      <c r="H115" s="3"/>
    </row>
    <row r="116" spans="1:8" x14ac:dyDescent="0.25">
      <c r="A116" s="38" t="s">
        <v>30</v>
      </c>
      <c r="B116" s="35"/>
      <c r="C116" s="116"/>
      <c r="D116" s="19"/>
      <c r="E116" s="19"/>
      <c r="F116" s="19"/>
      <c r="G116" s="19"/>
      <c r="H116" s="3"/>
    </row>
    <row r="117" spans="1:8" ht="13.8" x14ac:dyDescent="0.3">
      <c r="A117" s="16" t="s">
        <v>13</v>
      </c>
      <c r="B117" s="50">
        <f t="shared" ref="B117:B123" si="12">IF(B25="","",IF(B48="","",IF(B71="","",IF(B94="","",AVERAGE(B25,B48,B71,B94)))))</f>
        <v>0.79</v>
      </c>
      <c r="C117" s="115" t="str">
        <f>IF(B117="","","mA")</f>
        <v>mA</v>
      </c>
      <c r="D117" s="112">
        <f t="shared" ref="D117:D123" si="13">IF(B117="","",IF(VLOOKUP(A117,Test_Limits,2,FALSE)="","",VLOOKUP(A117,Test_Limits,2,FALSE)))</f>
        <v>0.25</v>
      </c>
      <c r="E117" s="18" t="str">
        <f>IF(D117="","",IF(TestCycles=1,IF(B117&lt;D117,IF(VLOOKUP(A117,Test_Limits,5,FALSE)="PF","Fail","Info"),"Pass"),IF(#REF!&lt;D117,IF(VLOOKUP(A117,Test_Limits,5,FALSE)="PF","Fail","Info"),"Pass")))</f>
        <v>Pass</v>
      </c>
      <c r="F117" s="112">
        <f t="shared" ref="F117:F123" si="14">IF(B117="","",IF(VLOOKUP(A117,Test_Limits,3,FALSE)="","",VLOOKUP(A117,Test_Limits,3,FALSE)))</f>
        <v>4</v>
      </c>
      <c r="G117" s="18" t="str">
        <f>IF(F117="","",IF(TestCycles=1,IF(B117&gt;F117,IF(VLOOKUP(A117,Test_Limits,5,FALSE)="PF","Fail","Info"),"Pass"),IF(#REF!&gt;F117,IF(VLOOKUP(A117,Test_Limits,5,FALSE)="PF","Fail","Info"),"Pass")))</f>
        <v>Pass</v>
      </c>
      <c r="H117" s="3"/>
    </row>
    <row r="118" spans="1:8" ht="13.8" x14ac:dyDescent="0.3">
      <c r="A118" s="16" t="s">
        <v>11</v>
      </c>
      <c r="B118" s="48">
        <f t="shared" si="12"/>
        <v>4.2650000000000006</v>
      </c>
      <c r="C118" s="115" t="str">
        <f>IF(B118="","","Watts")</f>
        <v>Watts</v>
      </c>
      <c r="D118" s="52">
        <f t="shared" si="13"/>
        <v>0</v>
      </c>
      <c r="E118" s="18" t="str">
        <f>IF(D118="","",IF(TestCycles=1,IF(B118&lt;D118,IF(VLOOKUP(A118,Test_Limits,5,FALSE)="PF","Fail","Info"),"Pass"),IF(#REF!&lt;D118,IF(VLOOKUP(A118,Test_Limits,5,FALSE)="PF","Fail","Info"),"Pass")))</f>
        <v>Pass</v>
      </c>
      <c r="F118" s="52">
        <f t="shared" si="14"/>
        <v>25.5</v>
      </c>
      <c r="G118" s="18" t="str">
        <f>IF(F118="","",IF(TestCycles=1,IF(B118&gt;F118,IF(VLOOKUP(A118,Test_Limits,5,FALSE)="PF","Fail","Info"),"Pass"),IF(#REF!&gt;F118,IF(VLOOKUP(A118,Test_Limits,5,FALSE)="PF","Fail","Info"),"Pass")))</f>
        <v>Pass</v>
      </c>
      <c r="H118" s="3"/>
    </row>
    <row r="119" spans="1:8" ht="13.8" x14ac:dyDescent="0.3">
      <c r="A119" s="16" t="s">
        <v>12</v>
      </c>
      <c r="B119" s="48">
        <f t="shared" si="12"/>
        <v>5.5250000000000004</v>
      </c>
      <c r="C119" s="115" t="str">
        <f>IF(B119="","","Watts")</f>
        <v>Watts</v>
      </c>
      <c r="D119" s="52">
        <f t="shared" si="13"/>
        <v>0</v>
      </c>
      <c r="E119" s="18" t="str">
        <f>IF(D119="","",IF(TestCycles=1,IF(B119&lt;D119,IF(VLOOKUP(A119,Test_Limits,5,FALSE)="PF","Fail","Info"),"Pass"),IF(#REF!&lt;D119,IF(VLOOKUP(A119,Test_Limits,5,FALSE)="PF","Fail","Info"),"Pass")))</f>
        <v>Pass</v>
      </c>
      <c r="F119" s="52">
        <f t="shared" si="14"/>
        <v>28.3</v>
      </c>
      <c r="G119" s="18" t="str">
        <f>IF(F119="","",IF(TestCycles=1,IF(B119&gt;F119,IF(VLOOKUP(A119,Test_Limits,5,FALSE)="PF","Fail","Info"),"Pass"),IF(#REF!&gt;F119,IF(VLOOKUP(A119,Test_Limits,5,FALSE)="PF","Fail","Info"),"Pass")))</f>
        <v>Pass</v>
      </c>
      <c r="H119" s="3"/>
    </row>
    <row r="120" spans="1:8" ht="13.8" x14ac:dyDescent="0.3">
      <c r="A120" s="16" t="s">
        <v>17</v>
      </c>
      <c r="B120" s="48">
        <f t="shared" si="12"/>
        <v>2.9725000000000001</v>
      </c>
      <c r="C120" s="115" t="str">
        <f>IF(B120="","","Watts")</f>
        <v>Watts</v>
      </c>
      <c r="D120" s="52">
        <f t="shared" si="13"/>
        <v>0</v>
      </c>
      <c r="E120" s="18" t="str">
        <f>IF(D120="","",IF(TestCycles=1,IF(B120&lt;D120,IF(VLOOKUP(A120,Test_Limits,5,FALSE)="PF","Fail","Info"),"Pass"),IF(#REF!&lt;D120,IF(VLOOKUP(A120,Test_Limits,5,FALSE)="PF","Fail","Info"),"Pass")))</f>
        <v>Pass</v>
      </c>
      <c r="F120" s="52">
        <f t="shared" si="14"/>
        <v>14.4</v>
      </c>
      <c r="G120" s="18" t="str">
        <f>IF(F120="","",IF(TestCycles=1,IF(B120&gt;F120,IF(VLOOKUP(A120,Test_Limits,5,FALSE)="PF","Fail","Info"),"Pass"),IF(#REF!&gt;F120,IF(VLOOKUP(A120,Test_Limits,5,FALSE)="PF","Fail","Info"),"Pass")))</f>
        <v>Pass</v>
      </c>
      <c r="H120" s="3"/>
    </row>
    <row r="121" spans="1:8" ht="13.8" x14ac:dyDescent="0.3">
      <c r="A121" s="16" t="s">
        <v>58</v>
      </c>
      <c r="B121" s="50">
        <f t="shared" si="12"/>
        <v>102.325</v>
      </c>
      <c r="C121" s="115" t="str">
        <f>IF(B121="","","mA")</f>
        <v>mA</v>
      </c>
      <c r="D121" s="112">
        <f t="shared" si="13"/>
        <v>10</v>
      </c>
      <c r="E121" s="18" t="str">
        <f>IF(D121="","",IF(TestCycles=1,IF(B121&lt;D121,IF(VLOOKUP(A121,Test_Limits,5,FALSE)="PF","Fail","Info"),"Pass"),IF(#REF!&lt;D121,IF(VLOOKUP(A121,Test_Limits,5,FALSE)="PF","Fail","Info"),"Pass")))</f>
        <v>Pass</v>
      </c>
      <c r="F121" s="112">
        <f t="shared" si="14"/>
        <v>524.07407407407413</v>
      </c>
      <c r="G121" s="18" t="str">
        <f>IF(F121="","",IF(TestCycles=1,IF(B121&gt;F121,IF(VLOOKUP(A121,Test_Limits,5,FALSE)="PF","Fail","Info"),"Pass"),IF(#REF!&gt;F121,IF(VLOOKUP(A121,Test_Limits,5,FALSE)="PF","Fail","Info"),"Pass")))</f>
        <v>Pass</v>
      </c>
      <c r="H121" s="3"/>
    </row>
    <row r="122" spans="1:8" ht="13.8" x14ac:dyDescent="0.3">
      <c r="A122" s="16" t="s">
        <v>63</v>
      </c>
      <c r="B122" s="50">
        <f t="shared" si="12"/>
        <v>55.1</v>
      </c>
      <c r="C122" s="115" t="str">
        <f>IF(B122="","","mA")</f>
        <v>mA</v>
      </c>
      <c r="D122" s="112">
        <f t="shared" si="13"/>
        <v>10</v>
      </c>
      <c r="E122" s="18" t="str">
        <f>IF(D122="","",IF(TestCycles=1,IF(B122&lt;D122,IF(VLOOKUP(A122,Test_Limits,5,FALSE)="PF","Fail","Info"),"Pass"),IF(#REF!&lt;D122,IF(VLOOKUP(A122,Test_Limits,5,FALSE)="PF","Fail","Info"),"Pass")))</f>
        <v>Pass</v>
      </c>
      <c r="F122" s="112">
        <f t="shared" si="14"/>
        <v>472.22222222222223</v>
      </c>
      <c r="G122" s="18" t="str">
        <f>IF(F122="","",IF(TestCycles=1,IF(B122&gt;F122,IF(VLOOKUP(A122,Test_Limits,5,FALSE)="PF","Fail","Info"),"Pass"),IF(#REF!&gt;F122,IF(VLOOKUP(A122,Test_Limits,5,FALSE)="PF","Fail","Info"),"Pass")))</f>
        <v>Pass</v>
      </c>
      <c r="H122" s="3"/>
    </row>
    <row r="123" spans="1:8" ht="14.4" thickBot="1" x14ac:dyDescent="0.35">
      <c r="A123" s="61" t="s">
        <v>59</v>
      </c>
      <c r="B123" s="88">
        <f t="shared" si="12"/>
        <v>79.075000000000003</v>
      </c>
      <c r="C123" s="117" t="str">
        <f>IF(B123="","","mA")</f>
        <v>mA</v>
      </c>
      <c r="D123" s="114">
        <f t="shared" si="13"/>
        <v>2.2999999999999998</v>
      </c>
      <c r="E123" s="89" t="str">
        <f>IF(D123="","",IF(TestCycles=1,IF(B123&lt;D123,IF(VLOOKUP(A123,Test_Limits,5,FALSE)="PF","Fail","Info"),"Pass"),IF(#REF!&lt;D123,IF(VLOOKUP(A123,Test_Limits,5,FALSE)="PF","Fail","Info"),"Pass")))</f>
        <v>Pass</v>
      </c>
      <c r="F123" s="114">
        <f t="shared" si="14"/>
        <v>472.22222222222223</v>
      </c>
      <c r="G123" s="89" t="str">
        <f>IF(F123="","",IF(TestCycles=1,IF(B123&gt;F123,IF(VLOOKUP(A123,Test_Limits,5,FALSE)="PF","Fail","Info"),"Pass"),IF(#REF!&gt;F123,IF(VLOOKUP(A123,Test_Limits,5,FALSE)="PF","Fail","Info"),"Pass")))</f>
        <v>Pass</v>
      </c>
      <c r="H123" s="3"/>
    </row>
    <row r="124" spans="1:8" x14ac:dyDescent="0.25">
      <c r="A124" s="28"/>
      <c r="B124" s="33"/>
      <c r="C124" s="3"/>
      <c r="D124" s="3"/>
      <c r="E124" s="3"/>
      <c r="F124" s="3"/>
      <c r="G124" s="3"/>
      <c r="H124" s="3"/>
    </row>
    <row r="125" spans="1:8" x14ac:dyDescent="0.25">
      <c r="A125" s="28"/>
      <c r="B125" s="34"/>
      <c r="C125" s="3"/>
      <c r="D125" s="3"/>
      <c r="E125" s="3"/>
      <c r="F125" s="3"/>
      <c r="G125" s="3"/>
      <c r="H125" s="3"/>
    </row>
    <row r="126" spans="1:8" x14ac:dyDescent="0.25">
      <c r="A126" s="28"/>
      <c r="B126" s="3"/>
      <c r="C126" s="3"/>
      <c r="D126" s="3"/>
      <c r="E126" s="3"/>
      <c r="F126" s="3"/>
      <c r="G126" s="3"/>
      <c r="H126" s="3"/>
    </row>
    <row r="127" spans="1:8" x14ac:dyDescent="0.25">
      <c r="A127" s="28"/>
      <c r="B127" s="3"/>
      <c r="C127" s="3"/>
      <c r="D127" s="3"/>
      <c r="E127" s="3"/>
      <c r="F127" s="3"/>
      <c r="G127" s="3"/>
      <c r="H127" s="3"/>
    </row>
    <row r="128" spans="1:8" x14ac:dyDescent="0.25">
      <c r="A128" s="22"/>
    </row>
    <row r="129" spans="1:2" x14ac:dyDescent="0.25">
      <c r="A129" s="22"/>
      <c r="B129" s="22"/>
    </row>
    <row r="130" spans="1:2" x14ac:dyDescent="0.25">
      <c r="A130" s="22"/>
      <c r="B130" s="22"/>
    </row>
    <row r="131" spans="1:2" x14ac:dyDescent="0.25">
      <c r="A131" s="22"/>
      <c r="B131" s="22"/>
    </row>
    <row r="132" spans="1:2" x14ac:dyDescent="0.25">
      <c r="A132" s="22"/>
      <c r="B132" s="22"/>
    </row>
    <row r="133" spans="1:2" x14ac:dyDescent="0.25">
      <c r="A133" s="22"/>
      <c r="B133" s="22"/>
    </row>
    <row r="134" spans="1:2" x14ac:dyDescent="0.25">
      <c r="A134" s="22"/>
      <c r="B134" s="22"/>
    </row>
    <row r="135" spans="1:2" x14ac:dyDescent="0.25">
      <c r="A135" s="22"/>
      <c r="B135" s="22"/>
    </row>
  </sheetData>
  <mergeCells count="3">
    <mergeCell ref="B7:C7"/>
    <mergeCell ref="A1:B1"/>
    <mergeCell ref="D3:E3"/>
  </mergeCells>
  <phoneticPr fontId="0" type="noConversion"/>
  <conditionalFormatting sqref="A10:A17 A19:A23 A94:A100 A25:A31 A111:A115 A42:A46 A65:A69 A117:A123 A48:A54 A88:A92 A71:A77 A33:A40 A56:A63 A79:A86 A102:A109">
    <cfRule type="cellIs" dxfId="89" priority="105" stopIfTrue="1" operator="greaterThan">
      <formula>"""Test:"""</formula>
    </cfRule>
  </conditionalFormatting>
  <conditionalFormatting sqref="E117:E123 E111:E115 E10:E100 E102:E109">
    <cfRule type="cellIs" dxfId="88" priority="106" stopIfTrue="1" operator="equal">
      <formula>"Pass"</formula>
    </cfRule>
    <cfRule type="cellIs" dxfId="87" priority="107" stopIfTrue="1" operator="equal">
      <formula>"Fail"</formula>
    </cfRule>
    <cfRule type="cellIs" dxfId="86" priority="108" stopIfTrue="1" operator="equal">
      <formula>"Info"</formula>
    </cfRule>
  </conditionalFormatting>
  <conditionalFormatting sqref="G117:G123 G111:G115 G10:G100 G102:G109">
    <cfRule type="cellIs" dxfId="85" priority="109" stopIfTrue="1" operator="equal">
      <formula>"Pass"</formula>
    </cfRule>
    <cfRule type="cellIs" dxfId="84" priority="110" stopIfTrue="1" operator="equal">
      <formula>"Fail"</formula>
    </cfRule>
    <cfRule type="cellIs" dxfId="83" priority="111" stopIfTrue="1" operator="equal">
      <formula>"Info"</formula>
    </cfRule>
  </conditionalFormatting>
  <conditionalFormatting sqref="C93 C9:G9 C101:G101 C116:G116 C110:G110 C70 C47 C87 C64 C41 C78 C55 C32 C18 C24 E18 G18 E24 G24 E32 G32 E41 G41 E47 G47 E55 G55 E64 G64 E70 G70 E78 G78 E87 G87 E93 G93">
    <cfRule type="cellIs" dxfId="82" priority="112" stopIfTrue="1" operator="equal">
      <formula>"See Log!"</formula>
    </cfRule>
    <cfRule type="cellIs" dxfId="81" priority="113" stopIfTrue="1" operator="notBetween">
      <formula>$N9</formula>
      <formula>$O9</formula>
    </cfRule>
    <cfRule type="cellIs" dxfId="80" priority="114" stopIfTrue="1" operator="notBetween">
      <formula>$D9</formula>
      <formula>$F9</formula>
    </cfRule>
  </conditionalFormatting>
  <conditionalFormatting sqref="A9 A55 A32 A101 A78">
    <cfRule type="cellIs" dxfId="79" priority="115" stopIfTrue="1" operator="greaterThan">
      <formula>"""Test:"""</formula>
    </cfRule>
  </conditionalFormatting>
  <conditionalFormatting sqref="A18 A110 A41 A64 A87">
    <cfRule type="cellIs" dxfId="78" priority="116" stopIfTrue="1" operator="greaterThan">
      <formula>"""Test:"""</formula>
    </cfRule>
  </conditionalFormatting>
  <conditionalFormatting sqref="A47 A70 A93 A116 A24">
    <cfRule type="cellIs" dxfId="77" priority="117" stopIfTrue="1" operator="greaterThan">
      <formula>"""Test:"""</formula>
    </cfRule>
  </conditionalFormatting>
  <conditionalFormatting sqref="B56:B61 B10:B15 B42:B46 B33:B38 B65:B69 B48:B54 B88:B92 B94:B100 B19:B23 B25:B31 B71:B77 B79:B84 B111:B115 B117:B123 B102:B109">
    <cfRule type="cellIs" dxfId="76" priority="121" stopIfTrue="1" operator="notBetween">
      <formula>$D10</formula>
      <formula>$F10</formula>
    </cfRule>
  </conditionalFormatting>
  <conditionalFormatting sqref="B16:B17 B39:B40 B62:B63 B85:B86">
    <cfRule type="cellIs" dxfId="75" priority="120" stopIfTrue="1" operator="notBetween">
      <formula>$D16</formula>
      <formula>$F16</formula>
    </cfRule>
  </conditionalFormatting>
  <conditionalFormatting sqref="D18">
    <cfRule type="cellIs" dxfId="74" priority="66" stopIfTrue="1" operator="equal">
      <formula>"See Log!"</formula>
    </cfRule>
    <cfRule type="cellIs" dxfId="73" priority="67" stopIfTrue="1" operator="notBetween">
      <formula>$N18</formula>
      <formula>$O18</formula>
    </cfRule>
    <cfRule type="cellIs" dxfId="72" priority="68" stopIfTrue="1" operator="notBetween">
      <formula>$D18</formula>
      <formula>$F18</formula>
    </cfRule>
  </conditionalFormatting>
  <conditionalFormatting sqref="F18">
    <cfRule type="cellIs" dxfId="71" priority="63" stopIfTrue="1" operator="equal">
      <formula>"See Log!"</formula>
    </cfRule>
    <cfRule type="cellIs" dxfId="70" priority="64" stopIfTrue="1" operator="notBetween">
      <formula>$N18</formula>
      <formula>$O18</formula>
    </cfRule>
    <cfRule type="cellIs" dxfId="69" priority="65" stopIfTrue="1" operator="notBetween">
      <formula>$D18</formula>
      <formula>$F18</formula>
    </cfRule>
  </conditionalFormatting>
  <conditionalFormatting sqref="D24">
    <cfRule type="cellIs" dxfId="68" priority="60" stopIfTrue="1" operator="equal">
      <formula>"See Log!"</formula>
    </cfRule>
    <cfRule type="cellIs" dxfId="67" priority="61" stopIfTrue="1" operator="notBetween">
      <formula>$N24</formula>
      <formula>$O24</formula>
    </cfRule>
    <cfRule type="cellIs" dxfId="66" priority="62" stopIfTrue="1" operator="notBetween">
      <formula>$D24</formula>
      <formula>$F24</formula>
    </cfRule>
  </conditionalFormatting>
  <conditionalFormatting sqref="F24">
    <cfRule type="cellIs" dxfId="65" priority="57" stopIfTrue="1" operator="equal">
      <formula>"See Log!"</formula>
    </cfRule>
    <cfRule type="cellIs" dxfId="64" priority="58" stopIfTrue="1" operator="notBetween">
      <formula>$N24</formula>
      <formula>$O24</formula>
    </cfRule>
    <cfRule type="cellIs" dxfId="63" priority="59" stopIfTrue="1" operator="notBetween">
      <formula>$D24</formula>
      <formula>$F24</formula>
    </cfRule>
  </conditionalFormatting>
  <conditionalFormatting sqref="D32">
    <cfRule type="cellIs" dxfId="62" priority="54" stopIfTrue="1" operator="equal">
      <formula>"See Log!"</formula>
    </cfRule>
    <cfRule type="cellIs" dxfId="61" priority="55" stopIfTrue="1" operator="notBetween">
      <formula>$N32</formula>
      <formula>$O32</formula>
    </cfRule>
    <cfRule type="cellIs" dxfId="60" priority="56" stopIfTrue="1" operator="notBetween">
      <formula>$D32</formula>
      <formula>$F32</formula>
    </cfRule>
  </conditionalFormatting>
  <conditionalFormatting sqref="F32">
    <cfRule type="cellIs" dxfId="59" priority="51" stopIfTrue="1" operator="equal">
      <formula>"See Log!"</formula>
    </cfRule>
    <cfRule type="cellIs" dxfId="58" priority="52" stopIfTrue="1" operator="notBetween">
      <formula>$N32</formula>
      <formula>$O32</formula>
    </cfRule>
    <cfRule type="cellIs" dxfId="57" priority="53" stopIfTrue="1" operator="notBetween">
      <formula>$D32</formula>
      <formula>$F32</formula>
    </cfRule>
  </conditionalFormatting>
  <conditionalFormatting sqref="D41">
    <cfRule type="cellIs" dxfId="56" priority="48" stopIfTrue="1" operator="equal">
      <formula>"See Log!"</formula>
    </cfRule>
    <cfRule type="cellIs" dxfId="55" priority="49" stopIfTrue="1" operator="notBetween">
      <formula>$N41</formula>
      <formula>$O41</formula>
    </cfRule>
    <cfRule type="cellIs" dxfId="54" priority="50" stopIfTrue="1" operator="notBetween">
      <formula>$D41</formula>
      <formula>$F41</formula>
    </cfRule>
  </conditionalFormatting>
  <conditionalFormatting sqref="F41">
    <cfRule type="cellIs" dxfId="53" priority="45" stopIfTrue="1" operator="equal">
      <formula>"See Log!"</formula>
    </cfRule>
    <cfRule type="cellIs" dxfId="52" priority="46" stopIfTrue="1" operator="notBetween">
      <formula>$N41</formula>
      <formula>$O41</formula>
    </cfRule>
    <cfRule type="cellIs" dxfId="51" priority="47" stopIfTrue="1" operator="notBetween">
      <formula>$D41</formula>
      <formula>$F41</formula>
    </cfRule>
  </conditionalFormatting>
  <conditionalFormatting sqref="D47">
    <cfRule type="cellIs" dxfId="50" priority="42" stopIfTrue="1" operator="equal">
      <formula>"See Log!"</formula>
    </cfRule>
    <cfRule type="cellIs" dxfId="49" priority="43" stopIfTrue="1" operator="notBetween">
      <formula>$N47</formula>
      <formula>$O47</formula>
    </cfRule>
    <cfRule type="cellIs" dxfId="48" priority="44" stopIfTrue="1" operator="notBetween">
      <formula>$D47</formula>
      <formula>$F47</formula>
    </cfRule>
  </conditionalFormatting>
  <conditionalFormatting sqref="F47">
    <cfRule type="cellIs" dxfId="47" priority="39" stopIfTrue="1" operator="equal">
      <formula>"See Log!"</formula>
    </cfRule>
    <cfRule type="cellIs" dxfId="46" priority="40" stopIfTrue="1" operator="notBetween">
      <formula>$N47</formula>
      <formula>$O47</formula>
    </cfRule>
    <cfRule type="cellIs" dxfId="45" priority="41" stopIfTrue="1" operator="notBetween">
      <formula>$D47</formula>
      <formula>$F47</formula>
    </cfRule>
  </conditionalFormatting>
  <conditionalFormatting sqref="D55">
    <cfRule type="cellIs" dxfId="44" priority="36" stopIfTrue="1" operator="equal">
      <formula>"See Log!"</formula>
    </cfRule>
    <cfRule type="cellIs" dxfId="43" priority="37" stopIfTrue="1" operator="notBetween">
      <formula>$N55</formula>
      <formula>$O55</formula>
    </cfRule>
    <cfRule type="cellIs" dxfId="42" priority="38" stopIfTrue="1" operator="notBetween">
      <formula>$D55</formula>
      <formula>$F55</formula>
    </cfRule>
  </conditionalFormatting>
  <conditionalFormatting sqref="F55">
    <cfRule type="cellIs" dxfId="41" priority="33" stopIfTrue="1" operator="equal">
      <formula>"See Log!"</formula>
    </cfRule>
    <cfRule type="cellIs" dxfId="40" priority="34" stopIfTrue="1" operator="notBetween">
      <formula>$N55</formula>
      <formula>$O55</formula>
    </cfRule>
    <cfRule type="cellIs" dxfId="39" priority="35" stopIfTrue="1" operator="notBetween">
      <formula>$D55</formula>
      <formula>$F55</formula>
    </cfRule>
  </conditionalFormatting>
  <conditionalFormatting sqref="D64">
    <cfRule type="cellIs" dxfId="38" priority="30" stopIfTrue="1" operator="equal">
      <formula>"See Log!"</formula>
    </cfRule>
    <cfRule type="cellIs" dxfId="37" priority="31" stopIfTrue="1" operator="notBetween">
      <formula>$N64</formula>
      <formula>$O64</formula>
    </cfRule>
    <cfRule type="cellIs" dxfId="36" priority="32" stopIfTrue="1" operator="notBetween">
      <formula>$D64</formula>
      <formula>$F64</formula>
    </cfRule>
  </conditionalFormatting>
  <conditionalFormatting sqref="F64">
    <cfRule type="cellIs" dxfId="35" priority="27" stopIfTrue="1" operator="equal">
      <formula>"See Log!"</formula>
    </cfRule>
    <cfRule type="cellIs" dxfId="34" priority="28" stopIfTrue="1" operator="notBetween">
      <formula>$N64</formula>
      <formula>$O64</formula>
    </cfRule>
    <cfRule type="cellIs" dxfId="33" priority="29" stopIfTrue="1" operator="notBetween">
      <formula>$D64</formula>
      <formula>$F64</formula>
    </cfRule>
  </conditionalFormatting>
  <conditionalFormatting sqref="D70">
    <cfRule type="cellIs" dxfId="32" priority="24" stopIfTrue="1" operator="equal">
      <formula>"See Log!"</formula>
    </cfRule>
    <cfRule type="cellIs" dxfId="31" priority="25" stopIfTrue="1" operator="notBetween">
      <formula>$N70</formula>
      <formula>$O70</formula>
    </cfRule>
    <cfRule type="cellIs" dxfId="30" priority="26" stopIfTrue="1" operator="notBetween">
      <formula>$D70</formula>
      <formula>$F70</formula>
    </cfRule>
  </conditionalFormatting>
  <conditionalFormatting sqref="F70">
    <cfRule type="cellIs" dxfId="29" priority="21" stopIfTrue="1" operator="equal">
      <formula>"See Log!"</formula>
    </cfRule>
    <cfRule type="cellIs" dxfId="28" priority="22" stopIfTrue="1" operator="notBetween">
      <formula>$N70</formula>
      <formula>$O70</formula>
    </cfRule>
    <cfRule type="cellIs" dxfId="27" priority="23" stopIfTrue="1" operator="notBetween">
      <formula>$D70</formula>
      <formula>$F70</formula>
    </cfRule>
  </conditionalFormatting>
  <conditionalFormatting sqref="D78">
    <cfRule type="cellIs" dxfId="26" priority="18" stopIfTrue="1" operator="equal">
      <formula>"See Log!"</formula>
    </cfRule>
    <cfRule type="cellIs" dxfId="25" priority="19" stopIfTrue="1" operator="notBetween">
      <formula>$N78</formula>
      <formula>$O78</formula>
    </cfRule>
    <cfRule type="cellIs" dxfId="24" priority="20" stopIfTrue="1" operator="notBetween">
      <formula>$D78</formula>
      <formula>$F78</formula>
    </cfRule>
  </conditionalFormatting>
  <conditionalFormatting sqref="F78">
    <cfRule type="cellIs" dxfId="23" priority="15" stopIfTrue="1" operator="equal">
      <formula>"See Log!"</formula>
    </cfRule>
    <cfRule type="cellIs" dxfId="22" priority="16" stopIfTrue="1" operator="notBetween">
      <formula>$N78</formula>
      <formula>$O78</formula>
    </cfRule>
    <cfRule type="cellIs" dxfId="21" priority="17" stopIfTrue="1" operator="notBetween">
      <formula>$D78</formula>
      <formula>$F78</formula>
    </cfRule>
  </conditionalFormatting>
  <conditionalFormatting sqref="D87">
    <cfRule type="cellIs" dxfId="20" priority="12" stopIfTrue="1" operator="equal">
      <formula>"See Log!"</formula>
    </cfRule>
    <cfRule type="cellIs" dxfId="19" priority="13" stopIfTrue="1" operator="notBetween">
      <formula>$N87</formula>
      <formula>$O87</formula>
    </cfRule>
    <cfRule type="cellIs" dxfId="18" priority="14" stopIfTrue="1" operator="notBetween">
      <formula>$D87</formula>
      <formula>$F87</formula>
    </cfRule>
  </conditionalFormatting>
  <conditionalFormatting sqref="F87">
    <cfRule type="cellIs" dxfId="17" priority="9" stopIfTrue="1" operator="equal">
      <formula>"See Log!"</formula>
    </cfRule>
    <cfRule type="cellIs" dxfId="16" priority="10" stopIfTrue="1" operator="notBetween">
      <formula>$N87</formula>
      <formula>$O87</formula>
    </cfRule>
    <cfRule type="cellIs" dxfId="15" priority="11" stopIfTrue="1" operator="notBetween">
      <formula>$D87</formula>
      <formula>$F87</formula>
    </cfRule>
  </conditionalFormatting>
  <conditionalFormatting sqref="D93">
    <cfRule type="cellIs" dxfId="14" priority="6" stopIfTrue="1" operator="equal">
      <formula>"See Log!"</formula>
    </cfRule>
    <cfRule type="cellIs" dxfId="13" priority="7" stopIfTrue="1" operator="notBetween">
      <formula>$N93</formula>
      <formula>$O93</formula>
    </cfRule>
    <cfRule type="cellIs" dxfId="12" priority="8" stopIfTrue="1" operator="notBetween">
      <formula>$D93</formula>
      <formula>$F93</formula>
    </cfRule>
  </conditionalFormatting>
  <conditionalFormatting sqref="F93">
    <cfRule type="cellIs" dxfId="11" priority="3" stopIfTrue="1" operator="equal">
      <formula>"See Log!"</formula>
    </cfRule>
    <cfRule type="cellIs" dxfId="10" priority="4" stopIfTrue="1" operator="notBetween">
      <formula>$N93</formula>
      <formula>$O93</formula>
    </cfRule>
    <cfRule type="cellIs" dxfId="9" priority="5" stopIfTrue="1" operator="notBetween">
      <formula>$D93</formula>
      <formula>$F93</formula>
    </cfRule>
  </conditionalFormatting>
  <conditionalFormatting sqref="B15:B17 B39:B40 B62:B63 B85:B86">
    <cfRule type="cellIs" dxfId="8" priority="118" stopIfTrue="1" operator="equal">
      <formula>"N/A"</formula>
    </cfRule>
  </conditionalFormatting>
  <conditionalFormatting sqref="B38 B61 B84">
    <cfRule type="cellIs" dxfId="7" priority="2" stopIfTrue="1" operator="equal">
      <formula>"N/A"</formula>
    </cfRule>
  </conditionalFormatting>
  <pageMargins left="0.75" right="0.75" top="0.5" bottom="0.5" header="0.5" footer="0.5"/>
  <pageSetup scale="32"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1"/>
  <sheetViews>
    <sheetView workbookViewId="0">
      <selection activeCell="D24" sqref="D24"/>
    </sheetView>
  </sheetViews>
  <sheetFormatPr defaultRowHeight="13.2" x14ac:dyDescent="0.25"/>
  <cols>
    <col min="1" max="1" width="4" customWidth="1"/>
    <col min="2" max="2" width="33" customWidth="1"/>
    <col min="3" max="3" width="11.5546875" customWidth="1"/>
    <col min="4" max="4" width="11.44140625" customWidth="1"/>
    <col min="5" max="5" width="12.109375" customWidth="1"/>
    <col min="6" max="6" width="9.88671875" customWidth="1"/>
    <col min="7" max="7" width="3" customWidth="1"/>
    <col min="8" max="8" width="4.5546875" customWidth="1"/>
  </cols>
  <sheetData>
    <row r="1" spans="1:8" x14ac:dyDescent="0.25">
      <c r="A1" s="3"/>
      <c r="B1" s="3"/>
      <c r="C1" s="3"/>
      <c r="D1" s="3"/>
      <c r="E1" s="3"/>
      <c r="F1" s="3"/>
      <c r="G1" s="3"/>
      <c r="H1" s="3"/>
    </row>
    <row r="2" spans="1:8" ht="13.8" x14ac:dyDescent="0.25">
      <c r="A2" s="3"/>
      <c r="B2" s="31" t="s">
        <v>36</v>
      </c>
      <c r="C2" s="3"/>
      <c r="D2" s="40" t="s">
        <v>31</v>
      </c>
      <c r="E2" s="20">
        <f>IF(Quadrants=1,PD_Class,MAX(PD_Class,PD_Class_AMDI,PD_Class_BMDI,PD_Class_BMDIX))</f>
        <v>4</v>
      </c>
      <c r="F2" s="3" t="s">
        <v>128</v>
      </c>
      <c r="G2" s="20">
        <v>2</v>
      </c>
      <c r="H2" s="3"/>
    </row>
    <row r="3" spans="1:8" x14ac:dyDescent="0.25">
      <c r="A3" s="3"/>
      <c r="B3" s="3"/>
      <c r="C3" s="3"/>
      <c r="D3" s="3"/>
      <c r="E3" s="3"/>
      <c r="F3" s="3"/>
      <c r="G3" s="3"/>
      <c r="H3" s="3"/>
    </row>
    <row r="4" spans="1:8" ht="14.4" thickBot="1" x14ac:dyDescent="0.3">
      <c r="A4" s="3"/>
      <c r="B4" s="39" t="s">
        <v>43</v>
      </c>
      <c r="C4" s="39" t="s">
        <v>41</v>
      </c>
      <c r="D4" s="39" t="s">
        <v>42</v>
      </c>
      <c r="E4" s="39" t="s">
        <v>45</v>
      </c>
      <c r="F4" s="39" t="s">
        <v>52</v>
      </c>
      <c r="G4" s="3"/>
      <c r="H4" s="3"/>
    </row>
    <row r="5" spans="1:8" x14ac:dyDescent="0.25">
      <c r="A5" s="3"/>
      <c r="B5" s="41" t="s">
        <v>24</v>
      </c>
      <c r="C5" s="17"/>
      <c r="D5" s="17"/>
      <c r="E5" s="17"/>
      <c r="F5" s="17"/>
      <c r="G5" s="3"/>
      <c r="H5" s="3"/>
    </row>
    <row r="6" spans="1:8" ht="13.8" x14ac:dyDescent="0.3">
      <c r="A6" s="3"/>
      <c r="B6" s="15" t="s">
        <v>15</v>
      </c>
      <c r="C6" s="7">
        <v>23.7</v>
      </c>
      <c r="D6" s="7">
        <v>26.3</v>
      </c>
      <c r="E6" s="10" t="s">
        <v>48</v>
      </c>
      <c r="F6" s="10" t="s">
        <v>53</v>
      </c>
      <c r="G6" s="3"/>
      <c r="H6" s="3"/>
    </row>
    <row r="7" spans="1:8" ht="13.8" x14ac:dyDescent="0.3">
      <c r="A7" s="3"/>
      <c r="B7" s="15" t="s">
        <v>16</v>
      </c>
      <c r="C7" s="8">
        <v>0.05</v>
      </c>
      <c r="D7" s="8">
        <v>0.12</v>
      </c>
      <c r="E7" s="14" t="s">
        <v>49</v>
      </c>
      <c r="F7" s="10" t="s">
        <v>53</v>
      </c>
      <c r="G7" s="3"/>
      <c r="H7" s="3"/>
    </row>
    <row r="8" spans="1:8" ht="13.8" x14ac:dyDescent="0.3">
      <c r="A8" s="3"/>
      <c r="B8" s="16" t="s">
        <v>14</v>
      </c>
      <c r="C8" s="8">
        <f>IF(Class=0,0,IF(Class=1,9,IF(Class=2,17,IF(Class=3,26,36))))</f>
        <v>36</v>
      </c>
      <c r="D8" s="8">
        <f>IF(Class=0,4,IF(Class=1,12,IF(Class=2,20,IF(Class=3,30,44))))</f>
        <v>44</v>
      </c>
      <c r="E8" s="12" t="s">
        <v>47</v>
      </c>
      <c r="F8" s="10" t="s">
        <v>53</v>
      </c>
      <c r="G8" s="3"/>
      <c r="H8" s="3"/>
    </row>
    <row r="9" spans="1:8" ht="13.8" x14ac:dyDescent="0.3">
      <c r="A9" s="3"/>
      <c r="B9" s="16" t="s">
        <v>3</v>
      </c>
      <c r="C9" s="8">
        <v>0</v>
      </c>
      <c r="D9" s="8">
        <v>4</v>
      </c>
      <c r="E9" s="12" t="s">
        <v>35</v>
      </c>
      <c r="F9" s="10" t="s">
        <v>53</v>
      </c>
      <c r="G9" s="3"/>
      <c r="H9" s="3"/>
    </row>
    <row r="10" spans="1:8" ht="13.8" x14ac:dyDescent="0.3">
      <c r="A10" s="3"/>
      <c r="B10" s="16" t="s">
        <v>4</v>
      </c>
      <c r="C10" s="8">
        <v>1</v>
      </c>
      <c r="D10" s="8">
        <v>2</v>
      </c>
      <c r="E10" s="12" t="s">
        <v>35</v>
      </c>
      <c r="F10" s="10" t="s">
        <v>53</v>
      </c>
      <c r="G10" s="3"/>
      <c r="H10" s="3"/>
    </row>
    <row r="11" spans="1:8" ht="13.8" x14ac:dyDescent="0.3">
      <c r="A11" s="3"/>
      <c r="B11" s="16" t="s">
        <v>5</v>
      </c>
      <c r="C11" s="8">
        <v>30</v>
      </c>
      <c r="D11" s="8">
        <v>42</v>
      </c>
      <c r="E11" s="12" t="s">
        <v>51</v>
      </c>
      <c r="F11" s="10" t="s">
        <v>53</v>
      </c>
      <c r="G11" s="3"/>
      <c r="H11" s="3"/>
    </row>
    <row r="12" spans="1:8" ht="13.8" x14ac:dyDescent="0.3">
      <c r="A12" s="3"/>
      <c r="B12" s="16" t="s">
        <v>6</v>
      </c>
      <c r="C12" s="8">
        <v>30</v>
      </c>
      <c r="D12" s="8">
        <f>IF(Class&lt;4,37,42.5)</f>
        <v>42.5</v>
      </c>
      <c r="E12" s="12" t="s">
        <v>46</v>
      </c>
      <c r="F12" s="10" t="s">
        <v>53</v>
      </c>
      <c r="G12" s="3"/>
      <c r="H12" s="3"/>
    </row>
    <row r="13" spans="1:8" ht="13.8" x14ac:dyDescent="0.3">
      <c r="A13" s="3"/>
      <c r="B13" s="16" t="s">
        <v>65</v>
      </c>
      <c r="C13" s="8">
        <v>0</v>
      </c>
      <c r="D13" s="8">
        <f>IF($G$2=1,0.38,IF($G$2=2,0.35,0.38))</f>
        <v>0.35</v>
      </c>
      <c r="E13" s="94" t="s">
        <v>66</v>
      </c>
      <c r="F13" s="10" t="s">
        <v>53</v>
      </c>
      <c r="G13" s="3"/>
      <c r="H13" s="3"/>
    </row>
    <row r="14" spans="1:8" x14ac:dyDescent="0.25">
      <c r="A14" s="3"/>
      <c r="B14" s="42" t="s">
        <v>7</v>
      </c>
      <c r="C14" s="9"/>
      <c r="D14" s="9"/>
      <c r="E14" s="13"/>
      <c r="F14" s="13"/>
      <c r="G14" s="3"/>
      <c r="H14" s="3"/>
    </row>
    <row r="15" spans="1:8" ht="13.8" x14ac:dyDescent="0.3">
      <c r="A15" s="3"/>
      <c r="B15" s="21" t="s">
        <v>10</v>
      </c>
      <c r="C15" s="7">
        <v>0</v>
      </c>
      <c r="D15" s="7">
        <f>IF(Class=0,13,IF(Class=1,3.84,IF(Class=2,6.49,13)))</f>
        <v>13</v>
      </c>
      <c r="E15" s="10" t="s">
        <v>50</v>
      </c>
      <c r="F15" s="10" t="s">
        <v>53</v>
      </c>
      <c r="G15" s="3"/>
      <c r="H15" s="3"/>
    </row>
    <row r="16" spans="1:8" ht="13.8" x14ac:dyDescent="0.3">
      <c r="A16" s="3"/>
      <c r="B16" s="16" t="s">
        <v>9</v>
      </c>
      <c r="C16" s="7">
        <v>0</v>
      </c>
      <c r="D16" s="8">
        <f>IF(Class=0,14.4,IF(Class=1,5,IF(Class=2,8.36,14.4)))</f>
        <v>14.4</v>
      </c>
      <c r="E16" s="10" t="s">
        <v>50</v>
      </c>
      <c r="F16" s="10" t="s">
        <v>53</v>
      </c>
      <c r="G16" s="3"/>
      <c r="H16" s="3"/>
    </row>
    <row r="17" spans="1:8" ht="13.8" x14ac:dyDescent="0.3">
      <c r="A17" s="3"/>
      <c r="B17" s="16" t="s">
        <v>56</v>
      </c>
      <c r="C17" s="45">
        <v>10</v>
      </c>
      <c r="D17" s="45">
        <f>1000*IF(Class=0,14.4/Vport_1,IF(Class=1,5/Vport_1,IF(Class=2,8.36/Vport_1,14.4/Vport_1)))</f>
        <v>300</v>
      </c>
      <c r="E17" s="12" t="s">
        <v>47</v>
      </c>
      <c r="F17" s="10" t="s">
        <v>53</v>
      </c>
      <c r="G17" s="3"/>
      <c r="H17" s="3"/>
    </row>
    <row r="18" spans="1:8" ht="13.8" x14ac:dyDescent="0.3">
      <c r="A18" s="3"/>
      <c r="B18" s="16" t="s">
        <v>62</v>
      </c>
      <c r="C18" s="45">
        <v>10</v>
      </c>
      <c r="D18" s="45">
        <f>1000*IF(Class=0,13/Vport_1,IF(Class=1,3.84/Vport_1,IF(Class=2,6.49/Vport_1,13/Vport_1)))</f>
        <v>270.83333333333331</v>
      </c>
      <c r="E18" s="12" t="s">
        <v>47</v>
      </c>
      <c r="F18" s="10" t="s">
        <v>53</v>
      </c>
      <c r="G18" s="3"/>
      <c r="H18" s="3"/>
    </row>
    <row r="19" spans="1:8" ht="13.8" x14ac:dyDescent="0.3">
      <c r="A19" s="3"/>
      <c r="B19" s="16" t="s">
        <v>57</v>
      </c>
      <c r="C19" s="77">
        <v>2.2999999999999998</v>
      </c>
      <c r="D19" s="45">
        <f>D18</f>
        <v>270.83333333333331</v>
      </c>
      <c r="E19" s="12" t="s">
        <v>47</v>
      </c>
      <c r="F19" s="10" t="s">
        <v>53</v>
      </c>
      <c r="G19" s="3"/>
      <c r="H19" s="3"/>
    </row>
    <row r="20" spans="1:8" x14ac:dyDescent="0.25">
      <c r="A20" s="3"/>
      <c r="B20" s="42" t="s">
        <v>8</v>
      </c>
      <c r="C20" s="9"/>
      <c r="D20" s="9"/>
      <c r="E20" s="13"/>
      <c r="F20" s="13"/>
      <c r="G20" s="3"/>
      <c r="H20" s="3"/>
    </row>
    <row r="21" spans="1:8" ht="13.8" x14ac:dyDescent="0.3">
      <c r="A21" s="3"/>
      <c r="B21" s="21" t="s">
        <v>13</v>
      </c>
      <c r="C21" s="7">
        <f>IF(PD_Class=4,0.25,0)</f>
        <v>0.25</v>
      </c>
      <c r="D21" s="7">
        <v>4</v>
      </c>
      <c r="E21" s="10" t="s">
        <v>47</v>
      </c>
      <c r="F21" s="10" t="s">
        <v>53</v>
      </c>
      <c r="G21" s="3"/>
      <c r="H21" s="3"/>
    </row>
    <row r="22" spans="1:8" ht="13.8" x14ac:dyDescent="0.3">
      <c r="A22" s="3"/>
      <c r="B22" s="16" t="s">
        <v>11</v>
      </c>
      <c r="C22" s="8">
        <v>0</v>
      </c>
      <c r="D22" s="7">
        <f>IF(Class=0,13,IF(Class=1,3.84,IF(Class=2,6.49,IF(Class=3,13,25.5))))</f>
        <v>25.5</v>
      </c>
      <c r="E22" s="10" t="s">
        <v>50</v>
      </c>
      <c r="F22" s="10" t="s">
        <v>53</v>
      </c>
      <c r="G22" s="3"/>
      <c r="H22" s="3"/>
    </row>
    <row r="23" spans="1:8" ht="13.8" x14ac:dyDescent="0.3">
      <c r="A23" s="3"/>
      <c r="B23" s="16" t="s">
        <v>12</v>
      </c>
      <c r="C23" s="8">
        <v>0</v>
      </c>
      <c r="D23" s="8">
        <f>IF(Class=0,14.4,IF(Class=1,5,IF(Class=2,8.36,IF(Class=3,14.4,28.3))))</f>
        <v>28.3</v>
      </c>
      <c r="E23" s="10" t="s">
        <v>50</v>
      </c>
      <c r="F23" s="10" t="s">
        <v>53</v>
      </c>
      <c r="G23" s="3"/>
      <c r="H23" s="3"/>
    </row>
    <row r="24" spans="1:8" ht="13.8" x14ac:dyDescent="0.3">
      <c r="A24" s="3"/>
      <c r="B24" s="16" t="s">
        <v>17</v>
      </c>
      <c r="C24" s="8">
        <v>0</v>
      </c>
      <c r="D24" s="8">
        <f>IF(Class=0,14.4,IF(Class=1,5,IF(Class=2,8.36,14.4)))</f>
        <v>14.4</v>
      </c>
      <c r="E24" s="12" t="s">
        <v>50</v>
      </c>
      <c r="F24" s="10" t="s">
        <v>53</v>
      </c>
      <c r="G24" s="3"/>
      <c r="H24" s="3"/>
    </row>
    <row r="25" spans="1:8" ht="13.8" x14ac:dyDescent="0.3">
      <c r="A25" s="3"/>
      <c r="B25" s="16" t="s">
        <v>58</v>
      </c>
      <c r="C25" s="45">
        <v>10</v>
      </c>
      <c r="D25" s="45">
        <f>1000*IF(Class=0,14.4/Vport_2,IF(Class=1,5/Vport_2,IF(Class=2,8.36/Vport_2,IF(Class=3,14.4/Vport_2,28.3/Vport_2))))</f>
        <v>524.07407407407413</v>
      </c>
      <c r="E25" s="12" t="s">
        <v>47</v>
      </c>
      <c r="F25" s="10" t="s">
        <v>53</v>
      </c>
      <c r="G25" s="3"/>
      <c r="H25" s="3"/>
    </row>
    <row r="26" spans="1:8" ht="13.8" x14ac:dyDescent="0.3">
      <c r="A26" s="3"/>
      <c r="B26" s="16" t="s">
        <v>63</v>
      </c>
      <c r="C26" s="45">
        <v>10</v>
      </c>
      <c r="D26" s="45">
        <f>1000*IF(Class=0,13/Vport_2,IF(Class=1,3.84/Vport_2,IF(Class=2,6.49/Vport_2,IF(Class=3,13/Vport_2,25.5/Vport_2))))</f>
        <v>472.22222222222223</v>
      </c>
      <c r="E26" s="12" t="s">
        <v>47</v>
      </c>
      <c r="F26" s="10" t="s">
        <v>53</v>
      </c>
      <c r="G26" s="3"/>
      <c r="H26" s="3"/>
    </row>
    <row r="27" spans="1:8" ht="13.8" x14ac:dyDescent="0.3">
      <c r="A27" s="3"/>
      <c r="B27" s="16" t="s">
        <v>59</v>
      </c>
      <c r="C27" s="77">
        <v>2.2999999999999998</v>
      </c>
      <c r="D27" s="45">
        <f>D26</f>
        <v>472.22222222222223</v>
      </c>
      <c r="E27" s="12" t="s">
        <v>47</v>
      </c>
      <c r="F27" s="10" t="s">
        <v>53</v>
      </c>
      <c r="G27" s="3"/>
      <c r="H27" s="3"/>
    </row>
    <row r="28" spans="1:8" x14ac:dyDescent="0.25">
      <c r="A28" s="3"/>
      <c r="B28" s="3"/>
      <c r="C28" s="3"/>
      <c r="D28" s="3"/>
      <c r="E28" s="3"/>
      <c r="F28" s="3"/>
      <c r="G28" s="3"/>
      <c r="H28" s="3"/>
    </row>
    <row r="29" spans="1:8" x14ac:dyDescent="0.25">
      <c r="A29" s="3"/>
      <c r="B29" s="3"/>
      <c r="C29" s="43" t="s">
        <v>33</v>
      </c>
      <c r="D29" s="43" t="s">
        <v>34</v>
      </c>
      <c r="E29" s="3"/>
      <c r="F29" s="3"/>
      <c r="G29" s="3"/>
      <c r="H29" s="3"/>
    </row>
    <row r="30" spans="1:8" x14ac:dyDescent="0.25">
      <c r="A30" s="3"/>
      <c r="B30" s="46" t="s">
        <v>32</v>
      </c>
      <c r="C30" s="44">
        <v>48</v>
      </c>
      <c r="D30" s="44">
        <v>54</v>
      </c>
      <c r="E30" s="3"/>
      <c r="F30" s="3"/>
      <c r="G30" s="3"/>
      <c r="H30" s="3"/>
    </row>
    <row r="31" spans="1:8" x14ac:dyDescent="0.25">
      <c r="A31" s="3"/>
      <c r="B31" s="3"/>
      <c r="C31" s="3"/>
      <c r="D31" s="3"/>
      <c r="E31" s="3"/>
      <c r="F31" s="3"/>
      <c r="G31" s="3"/>
      <c r="H31" s="3"/>
    </row>
  </sheetData>
  <phoneticPr fontId="0" type="noConversion"/>
  <conditionalFormatting sqref="B21:B27 B15:B19 B6:B12">
    <cfRule type="cellIs" dxfId="6" priority="3" stopIfTrue="1" operator="greaterThan">
      <formula>"""Test:"""</formula>
    </cfRule>
  </conditionalFormatting>
  <conditionalFormatting sqref="B5">
    <cfRule type="cellIs" dxfId="5" priority="4" stopIfTrue="1" operator="greaterThan">
      <formula>"""Test:"""</formula>
    </cfRule>
  </conditionalFormatting>
  <conditionalFormatting sqref="B14">
    <cfRule type="cellIs" dxfId="4" priority="5" stopIfTrue="1" operator="greaterThan">
      <formula>"""Test:"""</formula>
    </cfRule>
  </conditionalFormatting>
  <conditionalFormatting sqref="B20">
    <cfRule type="cellIs" dxfId="3" priority="6" stopIfTrue="1" operator="greaterThan">
      <formula>"""Test:"""</formula>
    </cfRule>
  </conditionalFormatting>
  <conditionalFormatting sqref="B13">
    <cfRule type="cellIs" dxfId="2" priority="2" stopIfTrue="1" operator="greaterThan">
      <formula>"""Test:"""</formula>
    </cfRule>
  </conditionalFormatting>
  <conditionalFormatting sqref="B13">
    <cfRule type="cellIs" dxfId="1" priority="1" stopIfTrue="1" operator="greaterThan">
      <formula>"""Test:"""</formula>
    </cfRule>
  </conditionalFormatting>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30"/>
  <sheetViews>
    <sheetView workbookViewId="0">
      <selection activeCell="C33" sqref="C33"/>
    </sheetView>
  </sheetViews>
  <sheetFormatPr defaultRowHeight="13.2" x14ac:dyDescent="0.25"/>
  <cols>
    <col min="2" max="2" width="33" customWidth="1"/>
    <col min="3" max="3" width="63" customWidth="1"/>
    <col min="4" max="4" width="45.6640625" customWidth="1"/>
  </cols>
  <sheetData>
    <row r="1" spans="1:4" x14ac:dyDescent="0.25">
      <c r="A1" s="3"/>
      <c r="B1" s="3"/>
      <c r="C1" s="3"/>
      <c r="D1" s="3"/>
    </row>
    <row r="2" spans="1:4" ht="13.8" x14ac:dyDescent="0.25">
      <c r="A2" s="3"/>
      <c r="B2" s="2" t="s">
        <v>67</v>
      </c>
      <c r="C2" s="32"/>
      <c r="D2" s="3"/>
    </row>
    <row r="3" spans="1:4" x14ac:dyDescent="0.25">
      <c r="A3" s="3"/>
      <c r="B3" s="3"/>
      <c r="C3" s="3"/>
      <c r="D3" s="3"/>
    </row>
    <row r="4" spans="1:4" ht="14.4" thickBot="1" x14ac:dyDescent="0.3">
      <c r="A4" s="3"/>
      <c r="B4" s="1" t="s">
        <v>43</v>
      </c>
      <c r="C4" s="1" t="s">
        <v>54</v>
      </c>
      <c r="D4" s="1" t="s">
        <v>121</v>
      </c>
    </row>
    <row r="5" spans="1:4" x14ac:dyDescent="0.25">
      <c r="A5" s="3"/>
      <c r="B5" s="108" t="s">
        <v>68</v>
      </c>
      <c r="C5" s="109"/>
      <c r="D5" s="109"/>
    </row>
    <row r="6" spans="1:4" ht="13.8" x14ac:dyDescent="0.25">
      <c r="A6" s="3"/>
      <c r="B6" s="96" t="s">
        <v>72</v>
      </c>
      <c r="C6" s="95" t="s">
        <v>71</v>
      </c>
      <c r="D6" s="99" t="s">
        <v>92</v>
      </c>
    </row>
    <row r="7" spans="1:4" ht="13.8" x14ac:dyDescent="0.25">
      <c r="A7" s="3"/>
      <c r="B7" s="96" t="s">
        <v>73</v>
      </c>
      <c r="C7" s="100" t="s">
        <v>122</v>
      </c>
      <c r="D7" s="100" t="s">
        <v>93</v>
      </c>
    </row>
    <row r="8" spans="1:4" ht="13.8" x14ac:dyDescent="0.25">
      <c r="A8" s="3"/>
      <c r="B8" s="97" t="s">
        <v>74</v>
      </c>
      <c r="C8" s="100" t="s">
        <v>94</v>
      </c>
      <c r="D8" s="100" t="s">
        <v>95</v>
      </c>
    </row>
    <row r="9" spans="1:4" ht="13.8" x14ac:dyDescent="0.25">
      <c r="A9" s="3"/>
      <c r="B9" s="97" t="s">
        <v>75</v>
      </c>
      <c r="C9" s="100" t="s">
        <v>96</v>
      </c>
      <c r="D9" s="100" t="s">
        <v>97</v>
      </c>
    </row>
    <row r="10" spans="1:4" ht="13.8" x14ac:dyDescent="0.25">
      <c r="A10" s="3"/>
      <c r="B10" s="97" t="s">
        <v>76</v>
      </c>
      <c r="C10" s="100" t="s">
        <v>98</v>
      </c>
      <c r="D10" s="100" t="s">
        <v>99</v>
      </c>
    </row>
    <row r="11" spans="1:4" ht="13.8" x14ac:dyDescent="0.25">
      <c r="A11" s="3"/>
      <c r="B11" s="97" t="s">
        <v>77</v>
      </c>
      <c r="C11" s="100" t="s">
        <v>102</v>
      </c>
      <c r="D11" s="100" t="s">
        <v>100</v>
      </c>
    </row>
    <row r="12" spans="1:4" ht="13.8" x14ac:dyDescent="0.25">
      <c r="A12" s="3"/>
      <c r="B12" s="97" t="s">
        <v>78</v>
      </c>
      <c r="C12" s="100" t="s">
        <v>101</v>
      </c>
      <c r="D12" s="101" t="s">
        <v>103</v>
      </c>
    </row>
    <row r="13" spans="1:4" ht="40.200000000000003" thickBot="1" x14ac:dyDescent="0.3">
      <c r="A13" s="3"/>
      <c r="B13" s="97" t="s">
        <v>79</v>
      </c>
      <c r="C13" s="101" t="s">
        <v>123</v>
      </c>
      <c r="D13" s="101" t="s">
        <v>104</v>
      </c>
    </row>
    <row r="14" spans="1:4" x14ac:dyDescent="0.25">
      <c r="A14" s="3"/>
      <c r="B14" s="98" t="s">
        <v>69</v>
      </c>
      <c r="C14" s="107"/>
      <c r="D14" s="107"/>
    </row>
    <row r="15" spans="1:4" ht="13.8" x14ac:dyDescent="0.25">
      <c r="A15" s="3"/>
      <c r="B15" s="97" t="s">
        <v>80</v>
      </c>
      <c r="C15" s="102" t="s">
        <v>105</v>
      </c>
      <c r="D15" s="126" t="s">
        <v>112</v>
      </c>
    </row>
    <row r="16" spans="1:4" ht="37.5" customHeight="1" x14ac:dyDescent="0.25">
      <c r="A16" s="3"/>
      <c r="B16" s="97" t="s">
        <v>81</v>
      </c>
      <c r="C16" s="99" t="s">
        <v>106</v>
      </c>
      <c r="D16" s="127"/>
    </row>
    <row r="17" spans="1:4" ht="26.4" x14ac:dyDescent="0.25">
      <c r="A17" s="3"/>
      <c r="B17" s="97" t="s">
        <v>82</v>
      </c>
      <c r="C17" s="99" t="s">
        <v>106</v>
      </c>
      <c r="D17" s="102" t="s">
        <v>110</v>
      </c>
    </row>
    <row r="18" spans="1:4" ht="39.6" x14ac:dyDescent="0.25">
      <c r="A18" s="3"/>
      <c r="B18" s="97" t="s">
        <v>83</v>
      </c>
      <c r="C18" s="99" t="s">
        <v>108</v>
      </c>
      <c r="D18" s="102" t="s">
        <v>111</v>
      </c>
    </row>
    <row r="19" spans="1:4" ht="14.4" thickBot="1" x14ac:dyDescent="0.3">
      <c r="A19" s="3"/>
      <c r="B19" s="97" t="s">
        <v>84</v>
      </c>
      <c r="C19" s="106" t="s">
        <v>109</v>
      </c>
      <c r="D19" s="102" t="s">
        <v>111</v>
      </c>
    </row>
    <row r="20" spans="1:4" x14ac:dyDescent="0.25">
      <c r="A20" s="3"/>
      <c r="B20" s="98" t="s">
        <v>70</v>
      </c>
      <c r="C20" s="107"/>
      <c r="D20" s="107"/>
    </row>
    <row r="21" spans="1:4" ht="13.8" x14ac:dyDescent="0.25">
      <c r="A21" s="3"/>
      <c r="B21" s="97" t="s">
        <v>85</v>
      </c>
      <c r="C21" s="102" t="s">
        <v>113</v>
      </c>
      <c r="D21" s="102" t="s">
        <v>119</v>
      </c>
    </row>
    <row r="22" spans="1:4" ht="13.8" x14ac:dyDescent="0.25">
      <c r="A22" s="3"/>
      <c r="B22" s="97" t="s">
        <v>86</v>
      </c>
      <c r="C22" s="102" t="s">
        <v>105</v>
      </c>
      <c r="D22" s="102" t="s">
        <v>116</v>
      </c>
    </row>
    <row r="23" spans="1:4" ht="26.4" x14ac:dyDescent="0.25">
      <c r="A23" s="3"/>
      <c r="B23" s="97" t="s">
        <v>87</v>
      </c>
      <c r="C23" s="99" t="s">
        <v>106</v>
      </c>
      <c r="D23" s="102" t="s">
        <v>120</v>
      </c>
    </row>
    <row r="24" spans="1:4" ht="26.4" x14ac:dyDescent="0.25">
      <c r="A24" s="3"/>
      <c r="B24" s="97" t="s">
        <v>88</v>
      </c>
      <c r="C24" s="100" t="s">
        <v>114</v>
      </c>
      <c r="D24" s="106" t="s">
        <v>126</v>
      </c>
    </row>
    <row r="25" spans="1:4" ht="26.4" x14ac:dyDescent="0.25">
      <c r="A25" s="3"/>
      <c r="B25" s="97" t="s">
        <v>89</v>
      </c>
      <c r="C25" s="99" t="s">
        <v>115</v>
      </c>
      <c r="D25" s="106" t="s">
        <v>117</v>
      </c>
    </row>
    <row r="26" spans="1:4" ht="39.6" x14ac:dyDescent="0.25">
      <c r="A26" s="3"/>
      <c r="B26" s="97" t="s">
        <v>90</v>
      </c>
      <c r="C26" s="99" t="s">
        <v>108</v>
      </c>
      <c r="D26" s="106" t="s">
        <v>118</v>
      </c>
    </row>
    <row r="27" spans="1:4" ht="13.8" x14ac:dyDescent="0.25">
      <c r="A27" s="3"/>
      <c r="B27" s="97" t="s">
        <v>91</v>
      </c>
      <c r="C27" s="106" t="s">
        <v>109</v>
      </c>
      <c r="D27" s="106" t="s">
        <v>118</v>
      </c>
    </row>
    <row r="28" spans="1:4" x14ac:dyDescent="0.25">
      <c r="A28" s="3"/>
      <c r="B28" s="3"/>
      <c r="C28" s="3"/>
      <c r="D28" s="3"/>
    </row>
    <row r="29" spans="1:4" ht="39.6" x14ac:dyDescent="0.25">
      <c r="A29" s="3"/>
      <c r="B29" s="103" t="s">
        <v>107</v>
      </c>
      <c r="C29" s="105" t="s">
        <v>124</v>
      </c>
      <c r="D29" s="104"/>
    </row>
    <row r="30" spans="1:4" x14ac:dyDescent="0.25">
      <c r="A30" s="3"/>
      <c r="B30" s="3"/>
      <c r="C30" s="3"/>
      <c r="D30" s="3"/>
    </row>
  </sheetData>
  <mergeCells count="1">
    <mergeCell ref="D15:D16"/>
  </mergeCells>
  <phoneticPr fontId="0" type="noConversion"/>
  <conditionalFormatting sqref="B15:B19 B21:B27 B29 B6:B13">
    <cfRule type="cellIs" dxfId="0" priority="4" stopIfTrue="1" operator="greaterThan">
      <formula>"""Test:"""</formula>
    </cfRule>
  </conditionalFormatting>
  <pageMargins left="0.75" right="0.56999999999999995" top="1" bottom="0.88" header="0.5" footer="0.5"/>
  <pageSetup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Sheet1</vt:lpstr>
      <vt:lpstr>Limits</vt:lpstr>
      <vt:lpstr>Note!</vt:lpstr>
      <vt:lpstr>Class</vt:lpstr>
      <vt:lpstr>PD_Class</vt:lpstr>
      <vt:lpstr>PD_Class_AMDI</vt:lpstr>
      <vt:lpstr>PD_Class_BMDI</vt:lpstr>
      <vt:lpstr>PD_Class_BMDIX</vt:lpstr>
      <vt:lpstr>'Note!'!Print_Area</vt:lpstr>
      <vt:lpstr>Sheet1!Print_Area</vt:lpstr>
      <vt:lpstr>Quadrants</vt:lpstr>
      <vt:lpstr>Test_Limits</vt:lpstr>
      <vt:lpstr>TestCycles</vt:lpstr>
      <vt:lpstr>Time</vt:lpstr>
      <vt:lpstr>Vport_1</vt:lpstr>
      <vt:lpstr>Vport_2</vt:lpstr>
    </vt:vector>
  </TitlesOfParts>
  <Company>DOCSIS Test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PGJ1</dc:creator>
  <cp:lastModifiedBy>Chao, Mark</cp:lastModifiedBy>
  <cp:lastPrinted>2012-04-18T13:55:54Z</cp:lastPrinted>
  <dcterms:created xsi:type="dcterms:W3CDTF">2004-10-19T17:15:51Z</dcterms:created>
  <dcterms:modified xsi:type="dcterms:W3CDTF">2018-07-25T11:15:03Z</dcterms:modified>
</cp:coreProperties>
</file>