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-22.8V, New Design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6" l="1"/>
  <c r="E46" i="6"/>
  <c r="E45" i="6"/>
  <c r="E44" i="6"/>
  <c r="E43" i="6"/>
  <c r="F46" i="6" s="1"/>
  <c r="E51" i="6" s="1"/>
  <c r="E41" i="6"/>
  <c r="E42" i="6" s="1"/>
  <c r="E40" i="6"/>
  <c r="E57" i="6"/>
  <c r="F47" i="6"/>
  <c r="E30" i="6"/>
  <c r="E31" i="6" s="1"/>
  <c r="E28" i="6"/>
  <c r="F15" i="6"/>
  <c r="E19" i="6" s="1"/>
  <c r="F14" i="6"/>
  <c r="E26" i="6" s="1"/>
  <c r="E9" i="6"/>
  <c r="F13" i="6" s="1"/>
  <c r="E59" i="6" l="1"/>
  <c r="E60" i="6" s="1"/>
  <c r="E55" i="6"/>
  <c r="E48" i="6"/>
  <c r="E49" i="6" s="1"/>
  <c r="E33" i="6"/>
  <c r="E16" i="6"/>
  <c r="E17" i="6" s="1"/>
  <c r="E20" i="6"/>
  <c r="F45" i="6"/>
  <c r="E62" i="6" s="1"/>
  <c r="E12" i="6"/>
  <c r="E21" i="6"/>
</calcChain>
</file>

<file path=xl/sharedStrings.xml><?xml version="1.0" encoding="utf-8"?>
<sst xmlns="http://schemas.openxmlformats.org/spreadsheetml/2006/main" count="132" uniqueCount="51">
  <si>
    <t>Vin</t>
  </si>
  <si>
    <t>V</t>
  </si>
  <si>
    <t>Iout</t>
  </si>
  <si>
    <t>A</t>
  </si>
  <si>
    <t>SW Freq</t>
  </si>
  <si>
    <t>KHz</t>
  </si>
  <si>
    <t>MAX Voltage the Reg will Experience</t>
  </si>
  <si>
    <t>|Vout|</t>
  </si>
  <si>
    <t>ΔIL</t>
  </si>
  <si>
    <t>Efficiency</t>
  </si>
  <si>
    <t>Inductor</t>
  </si>
  <si>
    <t>uH</t>
  </si>
  <si>
    <t>Chosen Inductor</t>
  </si>
  <si>
    <t>Actual ΔIL for chosen Inductor</t>
  </si>
  <si>
    <t>Ipeak</t>
  </si>
  <si>
    <t>Ivalley</t>
  </si>
  <si>
    <t>Selected Current rating of inductor</t>
  </si>
  <si>
    <r>
      <t>For C</t>
    </r>
    <r>
      <rPr>
        <sz val="6"/>
        <color rgb="FFFF0000"/>
        <rFont val="ArialMT"/>
      </rPr>
      <t xml:space="preserve">IO </t>
    </r>
    <r>
      <rPr>
        <sz val="10"/>
        <color rgb="FFFF0000"/>
        <rFont val="ArialMT"/>
      </rPr>
      <t>we use the data sheet recommendations.</t>
    </r>
  </si>
  <si>
    <t>Cio</t>
  </si>
  <si>
    <t>uF</t>
  </si>
  <si>
    <t>The values of CBOOT and CVCC
remain the same as with the positive buck</t>
  </si>
  <si>
    <t>Cboot</t>
  </si>
  <si>
    <t>Cvcc</t>
  </si>
  <si>
    <t>Cramp</t>
  </si>
  <si>
    <t>Rramp</t>
  </si>
  <si>
    <t>pF</t>
  </si>
  <si>
    <t>Rsense</t>
  </si>
  <si>
    <t>mOHM</t>
  </si>
  <si>
    <t>Selected Rsense</t>
  </si>
  <si>
    <t>Cout</t>
  </si>
  <si>
    <t>Selected Cramp</t>
  </si>
  <si>
    <t>This should be greater then Ipeak</t>
  </si>
  <si>
    <t>Ios</t>
  </si>
  <si>
    <t>Kohm</t>
  </si>
  <si>
    <t>Δvtransient</t>
  </si>
  <si>
    <t>The capacitor at the VCC pin provides noise filtering and stability for the VCC regulator. The recommended value should be no smaller than 0.1 µF, and should be a good quality, low ESR, ceramic capacitor.</t>
  </si>
  <si>
    <t>Inverting Buck Boost with LM5088</t>
  </si>
  <si>
    <t>LM5088 Datasheet</t>
  </si>
  <si>
    <t>Enter Values</t>
  </si>
  <si>
    <t>H</t>
  </si>
  <si>
    <t>Vout</t>
  </si>
  <si>
    <t>Selecting a ramp capacitor substantially lower or higher than the calculated value will also result in incorrect PWM operation, Recommended capacitor range 100 pF to 2000 pF</t>
  </si>
  <si>
    <t>Enter the available resistance</t>
  </si>
  <si>
    <t>Selected Rramp</t>
  </si>
  <si>
    <t>Enter the available Inductor Value</t>
  </si>
  <si>
    <t>Source Document SNVA856A for Calc below</t>
  </si>
  <si>
    <t>Design Calc by TI Webench at same input parameters as given below</t>
  </si>
  <si>
    <t>Note: Efficiency loss could be 3 to 4 times larger when the buck is used as an IBB converting</t>
  </si>
  <si>
    <t>Calculations according to SNVA856A</t>
  </si>
  <si>
    <t>Calculations according to Datasheet</t>
  </si>
  <si>
    <t>Calc from App note SNVA856A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</si>
</sst>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rgb="FFFF0000"/>
      <name val="ArialMT"/>
    </font>
    <font>
      <sz val="6"/>
      <color rgb="FFFF0000"/>
      <name val="ArialMT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4" tint="-0.499984740745262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right" vertical="center"/>
    </xf>
    <xf numFmtId="9" fontId="0" fillId="2" borderId="0" xfId="0" applyNumberFormat="1" applyFill="1"/>
    <xf numFmtId="0" fontId="0" fillId="0" borderId="0" xfId="0" applyAlignment="1">
      <alignment horizontal="right"/>
    </xf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1"/>
    <xf numFmtId="0" fontId="7" fillId="0" borderId="0" xfId="0" applyFont="1"/>
    <xf numFmtId="0" fontId="6" fillId="3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9" fontId="0" fillId="0" borderId="0" xfId="0" applyNumberFormat="1" applyFill="1"/>
    <xf numFmtId="0" fontId="5" fillId="0" borderId="0" xfId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ebench.ti.com/power-designer/switching-regulator/customize/67" TargetMode="External"/><Relationship Id="rId7" Type="http://schemas.openxmlformats.org/officeDocument/2006/relationships/hyperlink" Target="https://www.digikey.com/product-detail/en/koa-speer-electronics-inc/RN73H1JTTD8562B25/2019-RN73H1JTTD8562B25CT-ND/10707127" TargetMode="External"/><Relationship Id="rId2" Type="http://schemas.openxmlformats.org/officeDocument/2006/relationships/hyperlink" Target="https://www.ti.com/lit/ds/symlink/lm5088.pdf?HQS=TI-null-null-digikeymode-df-pf-null-wwe&amp;ts=1592413509390" TargetMode="External"/><Relationship Id="rId1" Type="http://schemas.openxmlformats.org/officeDocument/2006/relationships/hyperlink" Target="https://www.ti.com/lit/an/snva856a/snva856a.pdf?ts=1592473281111&amp;ref_url=https%253A%252F%252Fwww.google.com%252F" TargetMode="External"/><Relationship Id="rId6" Type="http://schemas.openxmlformats.org/officeDocument/2006/relationships/hyperlink" Target="https://www.digikey.ca/en/products/detail/avx-corporation/06031C202KAT2A/1598712?s=N4IgjCBcpgLFoDGUBmBDANgZwKYBoQB7KAbRADYBOcgJkpAF0CAHAFyhAGVWAnASwB2AcxABfAmADsCEMkjps%2BIqRCwaNWGACsjFu0hdegkeJA0tNGXIW4CxSGQ10wADhAEnlAMwQPayrBuHmAakm5MIGwc3PzCYhKULvTQsqi" TargetMode="External"/><Relationship Id="rId5" Type="http://schemas.openxmlformats.org/officeDocument/2006/relationships/hyperlink" Target="https://www.digikey.com/product-detail/en/vishay-dale/WSLP0805R0350FEA/541-10039-1-ND/9758476" TargetMode="External"/><Relationship Id="rId4" Type="http://schemas.openxmlformats.org/officeDocument/2006/relationships/hyperlink" Target="https://www.digikey.com/products/en/inductors-coils-chokes/fixed-inductors/71?k=&amp;pkeyword=&amp;sv=0&amp;pv252=242904&amp;sf=0&amp;FV=1219%7C269980%2C1219%7C280708%2C1219%7C284740%2C1219%7C96661%2C1989%7C0%2Cmu220&#181;H%7C2087%2C-8%7C71%2Cmu5.5A%7C2088%2Cmu7.4A%7C2088&amp;quant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abSelected="1" zoomScale="85" zoomScaleNormal="85" workbookViewId="0">
      <selection activeCell="O13" sqref="O13"/>
    </sheetView>
  </sheetViews>
  <sheetFormatPr defaultRowHeight="15"/>
  <cols>
    <col min="1" max="1" width="11" customWidth="1"/>
    <col min="4" max="4" width="9.140625" style="4"/>
    <col min="5" max="5" width="12" bestFit="1" customWidth="1"/>
  </cols>
  <sheetData>
    <row r="1" spans="1:27" s="10" customFormat="1" ht="15.75">
      <c r="A1" s="10" t="s">
        <v>36</v>
      </c>
      <c r="D1" s="11"/>
    </row>
    <row r="2" spans="1:27" s="10" customFormat="1" ht="15.75">
      <c r="A2" s="12" t="s">
        <v>46</v>
      </c>
      <c r="D2" s="11"/>
    </row>
    <row r="3" spans="1:27">
      <c r="A3" s="12" t="s">
        <v>45</v>
      </c>
    </row>
    <row r="4" spans="1:27">
      <c r="A4" s="12" t="s">
        <v>37</v>
      </c>
    </row>
    <row r="5" spans="1:27" ht="15.75" thickBot="1">
      <c r="B5" s="15"/>
      <c r="C5" s="15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75">
      <c r="D6" s="10" t="s">
        <v>48</v>
      </c>
    </row>
    <row r="7" spans="1:27">
      <c r="A7" s="9"/>
      <c r="D7" s="4" t="s">
        <v>0</v>
      </c>
      <c r="E7" s="1">
        <v>31</v>
      </c>
      <c r="F7" t="s">
        <v>1</v>
      </c>
    </row>
    <row r="8" spans="1:27">
      <c r="A8" s="1" t="s">
        <v>38</v>
      </c>
      <c r="D8" s="4" t="s">
        <v>40</v>
      </c>
      <c r="E8" s="1">
        <v>-22.8</v>
      </c>
      <c r="F8" t="s">
        <v>1</v>
      </c>
    </row>
    <row r="9" spans="1:27">
      <c r="D9" s="4" t="s">
        <v>7</v>
      </c>
      <c r="E9" s="9">
        <f>-E8</f>
        <v>22.8</v>
      </c>
      <c r="F9" t="s">
        <v>1</v>
      </c>
    </row>
    <row r="10" spans="1:27">
      <c r="D10" s="4" t="s">
        <v>2</v>
      </c>
      <c r="E10" s="1">
        <v>2</v>
      </c>
      <c r="F10" t="s">
        <v>3</v>
      </c>
    </row>
    <row r="11" spans="1:27">
      <c r="D11" s="4" t="s">
        <v>4</v>
      </c>
      <c r="E11" s="1">
        <v>120</v>
      </c>
      <c r="F11" t="s">
        <v>5</v>
      </c>
    </row>
    <row r="12" spans="1:27">
      <c r="D12" s="2" t="s">
        <v>6</v>
      </c>
      <c r="E12">
        <f>E7+E9</f>
        <v>53.8</v>
      </c>
      <c r="F12" t="s">
        <v>1</v>
      </c>
      <c r="H12" s="13" t="s">
        <v>50</v>
      </c>
    </row>
    <row r="13" spans="1:27">
      <c r="D13" s="4" t="s">
        <v>34</v>
      </c>
      <c r="E13" s="3">
        <v>0.01</v>
      </c>
      <c r="F13">
        <f>E9*E13</f>
        <v>0.22800000000000001</v>
      </c>
      <c r="G13" t="s">
        <v>1</v>
      </c>
      <c r="H13" s="13"/>
    </row>
    <row r="14" spans="1:27">
      <c r="D14" s="4" t="s">
        <v>8</v>
      </c>
      <c r="E14" s="3">
        <v>0.3</v>
      </c>
      <c r="F14">
        <f>E10*E14</f>
        <v>0.6</v>
      </c>
      <c r="G14" t="s">
        <v>3</v>
      </c>
    </row>
    <row r="15" spans="1:27">
      <c r="D15" s="4" t="s">
        <v>9</v>
      </c>
      <c r="E15" s="3">
        <v>0.9</v>
      </c>
      <c r="F15" s="5">
        <f>E15</f>
        <v>0.9</v>
      </c>
    </row>
    <row r="16" spans="1:27">
      <c r="D16" s="4" t="s">
        <v>10</v>
      </c>
      <c r="E16">
        <f>(E7/(E11*1000*F14))*(E9/((E7*F15)+E9))</f>
        <v>1.9362261669953975E-4</v>
      </c>
      <c r="F16" t="s">
        <v>39</v>
      </c>
      <c r="H16" s="13" t="s">
        <v>50</v>
      </c>
    </row>
    <row r="17" spans="4:8">
      <c r="D17" s="4" t="s">
        <v>10</v>
      </c>
      <c r="E17">
        <f>E16*1000000</f>
        <v>193.62261669953975</v>
      </c>
      <c r="F17" t="s">
        <v>11</v>
      </c>
      <c r="G17" s="8"/>
      <c r="H17" s="13" t="s">
        <v>50</v>
      </c>
    </row>
    <row r="18" spans="4:8">
      <c r="D18" s="19" t="s">
        <v>12</v>
      </c>
      <c r="E18" s="1">
        <v>220</v>
      </c>
      <c r="F18" t="s">
        <v>11</v>
      </c>
      <c r="H18" s="6" t="s">
        <v>44</v>
      </c>
    </row>
    <row r="19" spans="4:8">
      <c r="D19" s="4" t="s">
        <v>13</v>
      </c>
      <c r="E19">
        <f>(E7*1000000/(E11*1000*E18))*(E9/((E7*F15)+E9))</f>
        <v>0.52806168190783576</v>
      </c>
      <c r="F19" t="s">
        <v>3</v>
      </c>
      <c r="H19" s="13" t="s">
        <v>50</v>
      </c>
    </row>
    <row r="20" spans="4:8">
      <c r="D20" s="4" t="s">
        <v>14</v>
      </c>
      <c r="E20">
        <f>(E10)*(1+(E9/(E7*F15)))+(E19/2)</f>
        <v>3.8984394431044556</v>
      </c>
      <c r="F20" t="s">
        <v>3</v>
      </c>
      <c r="H20" s="13" t="s">
        <v>50</v>
      </c>
    </row>
    <row r="21" spans="4:8">
      <c r="D21" s="4" t="s">
        <v>15</v>
      </c>
      <c r="E21">
        <f>(E10)*(1+(E9/(E7*F15)))-(E19/2)</f>
        <v>3.3703777611966195</v>
      </c>
      <c r="F21" t="s">
        <v>3</v>
      </c>
      <c r="H21" s="13" t="s">
        <v>50</v>
      </c>
    </row>
    <row r="22" spans="4:8">
      <c r="D22" s="4" t="s">
        <v>16</v>
      </c>
      <c r="E22" s="1">
        <v>7.4</v>
      </c>
      <c r="F22" t="s">
        <v>3</v>
      </c>
      <c r="H22" s="6" t="s">
        <v>31</v>
      </c>
    </row>
    <row r="23" spans="4:8">
      <c r="D23" s="4" t="s">
        <v>18</v>
      </c>
      <c r="E23" s="1">
        <v>1</v>
      </c>
      <c r="F23" t="s">
        <v>19</v>
      </c>
      <c r="H23" s="7" t="s">
        <v>17</v>
      </c>
    </row>
    <row r="24" spans="4:8">
      <c r="D24" s="4" t="s">
        <v>21</v>
      </c>
      <c r="E24" s="1">
        <v>0.1</v>
      </c>
      <c r="F24" t="s">
        <v>19</v>
      </c>
      <c r="H24" s="7" t="s">
        <v>20</v>
      </c>
    </row>
    <row r="25" spans="4:8">
      <c r="D25" s="4" t="s">
        <v>22</v>
      </c>
      <c r="E25" s="1">
        <v>1</v>
      </c>
      <c r="F25" t="s">
        <v>19</v>
      </c>
      <c r="H25" s="7" t="s">
        <v>20</v>
      </c>
    </row>
    <row r="26" spans="4:8">
      <c r="D26" s="4" t="s">
        <v>26</v>
      </c>
      <c r="E26">
        <f>(0.12/((1+0.1)*(E10+(0.5*F14))+((E9*1000000)/(E18*E11*1000))))*1000</f>
        <v>35.360300026788103</v>
      </c>
      <c r="F26" t="s">
        <v>27</v>
      </c>
    </row>
    <row r="27" spans="4:8">
      <c r="D27" s="19" t="s">
        <v>28</v>
      </c>
      <c r="E27" s="1">
        <v>35</v>
      </c>
      <c r="F27" t="s">
        <v>27</v>
      </c>
      <c r="H27" s="7" t="s">
        <v>42</v>
      </c>
    </row>
    <row r="28" spans="4:8">
      <c r="D28" s="4" t="s">
        <v>23</v>
      </c>
      <c r="E28">
        <f>((0.000005*E18*1000)/(10*E27*1000000))*1000000000000</f>
        <v>3142.8571428571431</v>
      </c>
      <c r="F28" t="s">
        <v>25</v>
      </c>
    </row>
    <row r="29" spans="4:8">
      <c r="D29" s="19" t="s">
        <v>30</v>
      </c>
      <c r="E29" s="1">
        <v>2000</v>
      </c>
      <c r="F29" t="s">
        <v>25</v>
      </c>
      <c r="H29" s="6" t="s">
        <v>41</v>
      </c>
    </row>
    <row r="30" spans="4:8">
      <c r="D30" s="4" t="s">
        <v>32</v>
      </c>
      <c r="E30">
        <f>E9*0.000005</f>
        <v>1.1400000000000001E-4</v>
      </c>
      <c r="F30" t="s">
        <v>3</v>
      </c>
      <c r="H30" s="6"/>
    </row>
    <row r="31" spans="4:8">
      <c r="D31" s="4" t="s">
        <v>24</v>
      </c>
      <c r="E31" s="9">
        <f>((7.8-0.2)/(E30-0.000025))/1000</f>
        <v>85.39325842696627</v>
      </c>
      <c r="F31" t="s">
        <v>33</v>
      </c>
    </row>
    <row r="32" spans="4:8">
      <c r="D32" s="19" t="s">
        <v>43</v>
      </c>
      <c r="E32" s="9">
        <v>85.6</v>
      </c>
      <c r="F32" t="s">
        <v>33</v>
      </c>
    </row>
    <row r="33" spans="2:27">
      <c r="D33" s="4" t="s">
        <v>29</v>
      </c>
      <c r="E33">
        <f>((E18*(E10+(F14/2))*(E10+(F14/2)))/((((F13+E9)*(F13+E9))-(E9*E9))*1000000))*1000000</f>
        <v>111.38138179523995</v>
      </c>
      <c r="F33" t="s">
        <v>19</v>
      </c>
    </row>
    <row r="34" spans="2:27">
      <c r="D34" s="4" t="s">
        <v>22</v>
      </c>
      <c r="E34">
        <v>1</v>
      </c>
      <c r="F34" t="s">
        <v>19</v>
      </c>
      <c r="H34" s="6" t="s">
        <v>35</v>
      </c>
    </row>
    <row r="35" spans="2:27">
      <c r="D35" s="14" t="s">
        <v>47</v>
      </c>
      <c r="E35" s="14"/>
      <c r="F35" s="14"/>
      <c r="G35" s="14"/>
      <c r="H35" s="14"/>
      <c r="I35" s="14"/>
      <c r="J35" s="14"/>
      <c r="K35" s="14"/>
      <c r="L35" s="14"/>
      <c r="M35" s="14"/>
    </row>
    <row r="37" spans="2:27" ht="15.75" thickBot="1">
      <c r="B37" s="15"/>
      <c r="C37" s="15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2:27">
      <c r="B38" s="8"/>
      <c r="C38" s="8"/>
      <c r="D38" s="1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2:27" ht="15.75">
      <c r="D39" s="10" t="s">
        <v>49</v>
      </c>
    </row>
    <row r="40" spans="2:27">
      <c r="D40" s="4" t="s">
        <v>0</v>
      </c>
      <c r="E40" s="9">
        <f>E7</f>
        <v>31</v>
      </c>
      <c r="F40" t="s">
        <v>1</v>
      </c>
    </row>
    <row r="41" spans="2:27">
      <c r="D41" s="4" t="s">
        <v>40</v>
      </c>
      <c r="E41" s="9">
        <f>E8</f>
        <v>-22.8</v>
      </c>
      <c r="F41" t="s">
        <v>1</v>
      </c>
    </row>
    <row r="42" spans="2:27">
      <c r="D42" s="4" t="s">
        <v>7</v>
      </c>
      <c r="E42" s="9">
        <f>-E41</f>
        <v>22.8</v>
      </c>
      <c r="F42" t="s">
        <v>1</v>
      </c>
    </row>
    <row r="43" spans="2:27">
      <c r="D43" s="4" t="s">
        <v>2</v>
      </c>
      <c r="E43" s="9">
        <f>E10</f>
        <v>2</v>
      </c>
      <c r="F43" t="s">
        <v>3</v>
      </c>
    </row>
    <row r="44" spans="2:27">
      <c r="D44" s="4" t="s">
        <v>4</v>
      </c>
      <c r="E44" s="9">
        <f>E11</f>
        <v>120</v>
      </c>
      <c r="F44" t="s">
        <v>5</v>
      </c>
    </row>
    <row r="45" spans="2:27">
      <c r="D45" s="4" t="s">
        <v>34</v>
      </c>
      <c r="E45" s="18">
        <f>E13</f>
        <v>0.01</v>
      </c>
      <c r="F45">
        <f>E42*E45</f>
        <v>0.22800000000000001</v>
      </c>
      <c r="G45" t="s">
        <v>1</v>
      </c>
      <c r="H45" s="13"/>
    </row>
    <row r="46" spans="2:27">
      <c r="D46" s="4" t="s">
        <v>8</v>
      </c>
      <c r="E46" s="18">
        <f>E14</f>
        <v>0.3</v>
      </c>
      <c r="F46">
        <f>E43*E46</f>
        <v>0.6</v>
      </c>
      <c r="G46" t="s">
        <v>3</v>
      </c>
    </row>
    <row r="47" spans="2:27">
      <c r="D47" s="4" t="s">
        <v>9</v>
      </c>
      <c r="E47" s="18">
        <f>E15</f>
        <v>0.9</v>
      </c>
      <c r="F47" s="5">
        <f>E47</f>
        <v>0.9</v>
      </c>
    </row>
    <row r="48" spans="2:27">
      <c r="D48" s="4" t="s">
        <v>10</v>
      </c>
      <c r="E48">
        <f>(E42/(F46*E44*1000))*(1-(E42/E40))</f>
        <v>8.3763440860215065E-5</v>
      </c>
      <c r="F48" t="s">
        <v>39</v>
      </c>
      <c r="H48" s="13"/>
    </row>
    <row r="49" spans="4:8">
      <c r="D49" s="4" t="s">
        <v>10</v>
      </c>
      <c r="E49">
        <f>E48*1000000</f>
        <v>83.76344086021507</v>
      </c>
      <c r="F49" t="s">
        <v>11</v>
      </c>
      <c r="G49" s="8"/>
      <c r="H49" s="13"/>
    </row>
    <row r="50" spans="4:8">
      <c r="D50" s="4" t="s">
        <v>12</v>
      </c>
      <c r="E50" s="1">
        <v>22</v>
      </c>
      <c r="F50" t="s">
        <v>11</v>
      </c>
      <c r="H50" s="6" t="s">
        <v>44</v>
      </c>
    </row>
    <row r="51" spans="4:8">
      <c r="D51" s="4" t="s">
        <v>16</v>
      </c>
      <c r="E51" s="9">
        <f>E43+F46</f>
        <v>2.6</v>
      </c>
      <c r="F51" t="s">
        <v>3</v>
      </c>
      <c r="H51" s="6" t="s">
        <v>31</v>
      </c>
    </row>
    <row r="52" spans="4:8">
      <c r="D52" s="4" t="s">
        <v>18</v>
      </c>
      <c r="E52" s="1">
        <v>1</v>
      </c>
      <c r="F52" t="s">
        <v>19</v>
      </c>
      <c r="H52" s="7" t="s">
        <v>17</v>
      </c>
    </row>
    <row r="53" spans="4:8">
      <c r="D53" s="4" t="s">
        <v>21</v>
      </c>
      <c r="E53" s="1">
        <v>0.1</v>
      </c>
      <c r="F53" t="s">
        <v>19</v>
      </c>
      <c r="H53" s="7" t="s">
        <v>20</v>
      </c>
    </row>
    <row r="54" spans="4:8">
      <c r="D54" s="4" t="s">
        <v>22</v>
      </c>
      <c r="E54" s="1">
        <v>1</v>
      </c>
      <c r="F54" t="s">
        <v>19</v>
      </c>
      <c r="H54" s="7" t="s">
        <v>20</v>
      </c>
    </row>
    <row r="55" spans="4:8">
      <c r="D55" s="4" t="s">
        <v>26</v>
      </c>
      <c r="E55">
        <f>(0.12/((1+0.1)*(E43+(0.5*F46))+((E42*1000000)/(E50*E44*1000))))*1000</f>
        <v>10.746560286574942</v>
      </c>
      <c r="F55" t="s">
        <v>27</v>
      </c>
    </row>
    <row r="56" spans="4:8">
      <c r="D56" s="4" t="s">
        <v>28</v>
      </c>
      <c r="E56" s="1">
        <v>12</v>
      </c>
      <c r="F56" t="s">
        <v>27</v>
      </c>
      <c r="H56" s="7" t="s">
        <v>42</v>
      </c>
    </row>
    <row r="57" spans="4:8">
      <c r="D57" s="4" t="s">
        <v>23</v>
      </c>
      <c r="E57">
        <f>((0.000005*E50*1000)/(10*E56*1000000))*1000000000000</f>
        <v>916.66666666666674</v>
      </c>
      <c r="F57" t="s">
        <v>25</v>
      </c>
    </row>
    <row r="58" spans="4:8">
      <c r="D58" s="4" t="s">
        <v>30</v>
      </c>
      <c r="E58" s="1">
        <v>920</v>
      </c>
      <c r="F58" t="s">
        <v>25</v>
      </c>
      <c r="H58" s="6" t="s">
        <v>41</v>
      </c>
    </row>
    <row r="59" spans="4:8">
      <c r="D59" s="4" t="s">
        <v>32</v>
      </c>
      <c r="E59">
        <f>E42*0.000005</f>
        <v>1.1400000000000001E-4</v>
      </c>
      <c r="F59" t="s">
        <v>3</v>
      </c>
      <c r="H59" s="6"/>
    </row>
    <row r="60" spans="4:8">
      <c r="D60" s="4" t="s">
        <v>24</v>
      </c>
      <c r="E60" s="9">
        <f>((7.8-0.2)/(E59-0.000025))/1000</f>
        <v>85.39325842696627</v>
      </c>
      <c r="F60" t="s">
        <v>33</v>
      </c>
    </row>
    <row r="61" spans="4:8">
      <c r="D61" s="4" t="s">
        <v>43</v>
      </c>
      <c r="E61" s="9">
        <v>85.6</v>
      </c>
      <c r="F61" t="s">
        <v>33</v>
      </c>
    </row>
    <row r="62" spans="4:8">
      <c r="D62" s="4" t="s">
        <v>29</v>
      </c>
      <c r="E62">
        <f>((E50*(E43+(F46/2))*(E43+(F46/2)))/((((F45+E42)*(F45+E42))-(E42*E42))*1000000))*1000000</f>
        <v>11.138138179523997</v>
      </c>
      <c r="F62" t="s">
        <v>19</v>
      </c>
    </row>
    <row r="63" spans="4:8">
      <c r="D63" s="4" t="s">
        <v>22</v>
      </c>
      <c r="E63">
        <v>1</v>
      </c>
      <c r="F63" t="s">
        <v>19</v>
      </c>
      <c r="H63" s="6" t="s">
        <v>35</v>
      </c>
    </row>
  </sheetData>
  <hyperlinks>
    <hyperlink ref="A3" r:id="rId1" display="Source Document SNVA856A"/>
    <hyperlink ref="A4" r:id="rId2"/>
    <hyperlink ref="A2" r:id="rId3"/>
    <hyperlink ref="D18" r:id="rId4"/>
    <hyperlink ref="D27" r:id="rId5"/>
    <hyperlink ref="D29" r:id="rId6"/>
    <hyperlink ref="D32" r:id="rId7"/>
  </hyperlinks>
  <pageMargins left="0.7" right="0.7" top="0.75" bottom="0.75" header="0.3" footer="0.3"/>
  <pageSetup orientation="portrait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-22.8V, New Design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2020-06-17T16:46:02Z</dcterms:created>
  <dcterms:modified xsi:type="dcterms:W3CDTF">2020-06-18T17:22:54Z</dcterms:modified>
</cp:coreProperties>
</file>