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tables/table1.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508" yWindow="-12" windowWidth="14316" windowHeight="12540" activeTab="1"/>
  </bookViews>
  <sheets>
    <sheet name="Intro" sheetId="5" r:id="rId1"/>
    <sheet name="Design Equations CCM" sheetId="3" r:id="rId2"/>
    <sheet name="Small Signal" sheetId="4" r:id="rId3"/>
    <sheet name="Output Voltage Accuracy" sheetId="13" state="hidden" r:id="rId4"/>
    <sheet name="partdata" sheetId="10" r:id="rId5"/>
    <sheet name="Std. R and C Values" sheetId="12" state="hidden" r:id="rId6"/>
  </sheets>
  <definedNames>
    <definedName name="C_f1">'Std. R and C Values'!$K$18</definedName>
    <definedName name="C_f2">'Std. R and C Values'!$K$25</definedName>
    <definedName name="c_s1">'Std. R and C Values'!$J$7</definedName>
    <definedName name="C_s2">'Std. R and C Values'!$J$20</definedName>
    <definedName name="Cc_ss">'Small Signal'!$B$8</definedName>
    <definedName name="Ccomp">'Design Equations CCM'!$B$151*10^-9</definedName>
    <definedName name="Ce">'Small Signal'!$B$89</definedName>
    <definedName name="Cff">'Design Equations CCM'!$B$157*10^-12</definedName>
    <definedName name="Cff_ss">'Small Signal'!$B$10</definedName>
    <definedName name="Cin">'Design Equations CCM'!$B$104*10^-6</definedName>
    <definedName name="Co">'Design Equations CCM'!$B$94*10^-6</definedName>
    <definedName name="Co_2">'Design Equations CCM'!$B$97*0.000001</definedName>
    <definedName name="Co_derating">'Design Equations CCM'!$B$92</definedName>
    <definedName name="Co_selected">'Design Equations CCM'!$B$93</definedName>
    <definedName name="Co_ss">'Small Signal'!$B$14</definedName>
    <definedName name="Co2_ss">'Small Signal'!$B$16</definedName>
    <definedName name="Coea">'Design Equations CCM'!$B$185*10^-6</definedName>
    <definedName name="Cp_ss">'Small Signal'!$B$9</definedName>
    <definedName name="Cpole">'Design Equations CCM'!$B$155*10^-12</definedName>
    <definedName name="Css">'Design Equations CCM'!$B$134*10^-9</definedName>
    <definedName name="dI">'Design Equations CCM'!$B$13</definedName>
    <definedName name="dV">'Design Equations CCM'!$B$12</definedName>
    <definedName name="dV_percent">'Design Equations CCM'!$B$11</definedName>
    <definedName name="E12_f">'Std. R and C Values'!$F$22</definedName>
    <definedName name="E12_s">'Std. R and C Values'!$E$11</definedName>
    <definedName name="E24_f">'Std. R and C Values'!$F$47</definedName>
    <definedName name="E24_s">'Std. R and C Values'!$E$24</definedName>
    <definedName name="E48_f">'Std. R and C Values'!$F$96</definedName>
    <definedName name="E48_s">'Std. R and C Values'!$E$49</definedName>
    <definedName name="E6_f">'Std. R and C Values'!$F$9</definedName>
    <definedName name="E6_s">'Std. R and C Values'!$E$4</definedName>
    <definedName name="E96_f">'Std. R and C Values'!$H$99</definedName>
    <definedName name="E96_s">'Std. R and C Values'!$G$4</definedName>
    <definedName name="ESR">'Design Equations CCM'!$B$96</definedName>
    <definedName name="ESR_2">'Design Equations CCM'!$B$98</definedName>
    <definedName name="ESR_ss">'Small Signal'!$B$15</definedName>
    <definedName name="ESR2_ss">'Small Signal'!$B$17</definedName>
    <definedName name="FCCM">'Small Signal'!$B$49</definedName>
    <definedName name="fco">'Design Equations CCM'!$B$145*10^3</definedName>
    <definedName name="fco_est">'Design Equations CCM'!$B$89*10^3</definedName>
    <definedName name="fm">'Small Signal'!$B$62</definedName>
    <definedName name="fp_cff">'Small Signal'!$C$29</definedName>
    <definedName name="fpole">'Design Equations CCM'!$B$140*1000</definedName>
    <definedName name="fsw">'Design Equations CCM'!$B$67*10^3</definedName>
    <definedName name="fsw_max">'Design Equations CCM'!$B$186*1000</definedName>
    <definedName name="fsw_min">'Design Equations CCM'!$B$187*10^3</definedName>
    <definedName name="fsw_ss">'Small Signal'!$B$11</definedName>
    <definedName name="fz_cff">'Small Signal'!$C$28</definedName>
    <definedName name="fzero">'Design Equations CCM'!$B$141*1000</definedName>
    <definedName name="gmea">'Design Equations CCM'!$B$177*10^-6</definedName>
    <definedName name="gmps">'Design Equations CCM'!$B$178</definedName>
    <definedName name="I_1">'Design Equations CCM'!$B$181*10^-6</definedName>
    <definedName name="Ihys">'Design Equations CCM'!$B$182*10^-6</definedName>
    <definedName name="Ilim">'Design Equations CCM'!$B$188</definedName>
    <definedName name="Io_dev">'Design Equations CCM'!$B$176</definedName>
    <definedName name="Io_ss">'Small Signal'!$B$4</definedName>
    <definedName name="Iout">'Design Equations CCM'!$B$14</definedName>
    <definedName name="Iout_min">'Design Equations CCM'!$B$15</definedName>
    <definedName name="Iq">'Design Equations CCM'!$B$189*10^-6</definedName>
    <definedName name="Iripple">'Design Equations CCM'!$B$81</definedName>
    <definedName name="Iss">'Design Equations CCM'!$B$193*10^-6</definedName>
    <definedName name="k_2">'Small Signal'!$B$82</definedName>
    <definedName name="Kind">'Design Equations CCM'!$B$76</definedName>
    <definedName name="L">'Design Equations CCM'!$B$79*10^-6</definedName>
    <definedName name="Lo_ss">'Small Signal'!$B$12</definedName>
    <definedName name="mc">'Small Signal'!$B$80</definedName>
    <definedName name="_xlnm.Print_Area" localSheetId="5">'Std. R and C Values'!$A$2:$I$46</definedName>
    <definedName name="q_2">'Small Signal'!$B$85</definedName>
    <definedName name="q_2_vimax">'Small Signal'!$C$85</definedName>
    <definedName name="qp">'Small Signal'!#REF!</definedName>
    <definedName name="Rc_ss">'Small Signal'!$B$7</definedName>
    <definedName name="Rcomp">'Design Equations CCM'!$B$148*1000</definedName>
    <definedName name="Rdc">'Design Equations CCM'!$B$80*10^-3</definedName>
    <definedName name="Rdc_ss">'Small Signal'!$B$13</definedName>
    <definedName name="Rdson_hs">'Design Equations CCM'!$B$191*10^-3</definedName>
    <definedName name="Rdson_ls">'Design Equations CCM'!$B$192*10^-3</definedName>
    <definedName name="Re">'Small Signal'!$B$88</definedName>
    <definedName name="Re_vimax">'Small Signal'!$C$88</definedName>
    <definedName name="Rhs">'Design Equations CCM'!$B$128*1000</definedName>
    <definedName name="Rhs_ss">'Small Signal'!$B$5</definedName>
    <definedName name="Ri">'Small Signal'!$B$53</definedName>
    <definedName name="Rls">'Design Equations CCM'!$B$126*1000</definedName>
    <definedName name="Rls_ss">'Small Signal'!$B$6</definedName>
    <definedName name="Ro">'Small Signal'!$B$38</definedName>
    <definedName name="Rt">'Design Equations CCM'!$B$69*10^3</definedName>
    <definedName name="Ruvlo1">'Design Equations CCM'!$B$109*10^3</definedName>
    <definedName name="Ruvlo2">'Design Equations CCM'!$B$111*10^3</definedName>
    <definedName name="Se">'Design Equations CCM'!$B$179</definedName>
    <definedName name="Se_ss">'Small Signal'!$B$54</definedName>
    <definedName name="Sf">'Small Signal'!$B$64</definedName>
    <definedName name="Sn">'Small Signal'!$B$63</definedName>
    <definedName name="sn_vimax">'Small Signal'!$C$63</definedName>
    <definedName name="ton_min">'Design Equations CCM'!$B$190*10^-9</definedName>
    <definedName name="tss">'Design Equations CCM'!$B$132*10^-3</definedName>
    <definedName name="Vena_start">'Design Equations CCM'!$B$183</definedName>
    <definedName name="Vena_stop">'Design Equations CCM'!$B$184</definedName>
    <definedName name="Vi_ss">'Small Signal'!$B$2</definedName>
    <definedName name="Vin_max">'Design Equations CCM'!$B$7</definedName>
    <definedName name="Vin_min">'Design Equations CCM'!$B$8</definedName>
    <definedName name="Vin_nom">'Design Equations CCM'!$B$6</definedName>
    <definedName name="Vinripple">'Design Equations CCM'!$B$102*10^-3</definedName>
    <definedName name="Vmax_dev">'Design Equations CCM'!$B$175</definedName>
    <definedName name="Vmin_dev">'Design Equations CCM'!$B$174</definedName>
    <definedName name="Vo_ss">'Small Signal'!$B$3</definedName>
    <definedName name="Vout">'Design Equations CCM'!$B$9</definedName>
    <definedName name="Vref">'Design Equations CCM'!$B$180</definedName>
    <definedName name="Vripple">'Design Equations CCM'!$B$10</definedName>
    <definedName name="Vstart">'Design Equations CCM'!$B$16</definedName>
    <definedName name="Vstop">'Design Equations CCM'!$B$17</definedName>
    <definedName name="w_2">'Small Signal'!$B$86</definedName>
    <definedName name="wn">'Small Signal'!#REF!</definedName>
    <definedName name="wp">'Small Signal'!$B$81</definedName>
  </definedNames>
  <calcPr calcId="145621"/>
</workbook>
</file>

<file path=xl/calcChain.xml><?xml version="1.0" encoding="utf-8"?>
<calcChain xmlns="http://schemas.openxmlformats.org/spreadsheetml/2006/main">
  <c r="E11" i="3" l="1"/>
  <c r="E12" i="3"/>
  <c r="E13" i="3"/>
  <c r="E14" i="3"/>
  <c r="E15" i="3"/>
  <c r="E16" i="3"/>
  <c r="E17" i="3"/>
  <c r="E18" i="3"/>
  <c r="E19" i="3"/>
  <c r="E20" i="3"/>
  <c r="E21" i="3"/>
  <c r="B7" i="3" l="1"/>
  <c r="I15" i="10" l="1"/>
  <c r="B13" i="3" l="1"/>
  <c r="B93" i="3" l="1"/>
  <c r="I8" i="10" l="1"/>
  <c r="I14" i="10"/>
  <c r="O12" i="10" l="1"/>
  <c r="O13" i="10"/>
  <c r="O11" i="10"/>
  <c r="O10" i="10"/>
  <c r="O6" i="10"/>
  <c r="O2" i="10"/>
  <c r="O3" i="10"/>
  <c r="O4" i="10"/>
  <c r="B102" i="3" l="1"/>
  <c r="B164" i="3"/>
  <c r="B171" i="3"/>
  <c r="B174" i="3"/>
  <c r="B175" i="3"/>
  <c r="B176" i="3"/>
  <c r="B177" i="3"/>
  <c r="B178" i="3"/>
  <c r="B179" i="3"/>
  <c r="B180" i="3"/>
  <c r="B181" i="3"/>
  <c r="B182" i="3"/>
  <c r="B183" i="3"/>
  <c r="B184" i="3"/>
  <c r="B185" i="3"/>
  <c r="B186" i="3"/>
  <c r="B187" i="3"/>
  <c r="B188" i="3"/>
  <c r="B189" i="3"/>
  <c r="B167" i="3" s="1"/>
  <c r="B190" i="3"/>
  <c r="B191" i="3"/>
  <c r="B192" i="3"/>
  <c r="B193" i="3"/>
  <c r="C17" i="4"/>
  <c r="B17" i="4" s="1"/>
  <c r="C16" i="4"/>
  <c r="B16" i="4" s="1"/>
  <c r="B117" i="3" l="1"/>
  <c r="B133" i="3"/>
  <c r="B108" i="3"/>
  <c r="B135" i="3"/>
  <c r="B136" i="3" s="1"/>
  <c r="B127" i="3"/>
  <c r="B8" i="3"/>
  <c r="B101" i="3" s="1"/>
  <c r="O7" i="10" l="1"/>
  <c r="B52" i="4" l="1"/>
  <c r="B49" i="4"/>
  <c r="B53" i="4"/>
  <c r="E8" i="3" l="1"/>
  <c r="E9" i="3"/>
  <c r="E10" i="3"/>
  <c r="D32" i="4" l="1"/>
  <c r="D31" i="4"/>
  <c r="C15" i="13" l="1"/>
  <c r="B15" i="13" s="1"/>
  <c r="B6" i="13" l="1"/>
  <c r="C7" i="13" l="1"/>
  <c r="B7" i="13"/>
  <c r="B2" i="13"/>
  <c r="D6" i="13"/>
  <c r="E7" i="13" l="1"/>
  <c r="D7" i="13"/>
  <c r="E6" i="13"/>
  <c r="J6" i="10" l="1"/>
  <c r="B12" i="3" l="1"/>
  <c r="B10" i="3"/>
  <c r="C15" i="4" l="1"/>
  <c r="B15" i="4" s="1"/>
  <c r="C164" i="3"/>
  <c r="K4" i="12"/>
  <c r="B94" i="3"/>
  <c r="C2" i="4"/>
  <c r="B2" i="4" s="1"/>
  <c r="O5" i="10"/>
  <c r="O9" i="10"/>
  <c r="L7" i="12"/>
  <c r="L2" i="4"/>
  <c r="L3" i="4"/>
  <c r="L4" i="4"/>
  <c r="L5" i="4"/>
  <c r="L6" i="4"/>
  <c r="L7" i="4"/>
  <c r="L8"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95" i="4"/>
  <c r="L96" i="4"/>
  <c r="L97" i="4"/>
  <c r="L98" i="4"/>
  <c r="L99" i="4"/>
  <c r="L100" i="4"/>
  <c r="L101" i="4"/>
  <c r="L102" i="4"/>
  <c r="L103" i="4"/>
  <c r="L104" i="4"/>
  <c r="L105" i="4"/>
  <c r="L106" i="4"/>
  <c r="L107" i="4"/>
  <c r="L108" i="4"/>
  <c r="L109" i="4"/>
  <c r="L110" i="4"/>
  <c r="L111" i="4"/>
  <c r="L112" i="4"/>
  <c r="L113" i="4"/>
  <c r="L114" i="4"/>
  <c r="L115" i="4"/>
  <c r="L116" i="4"/>
  <c r="L117" i="4"/>
  <c r="L118" i="4"/>
  <c r="L119" i="4"/>
  <c r="L120" i="4"/>
  <c r="L121" i="4"/>
  <c r="L122" i="4"/>
  <c r="L123" i="4"/>
  <c r="L124" i="4"/>
  <c r="L125" i="4"/>
  <c r="L126" i="4"/>
  <c r="L127" i="4"/>
  <c r="L128" i="4"/>
  <c r="L129" i="4"/>
  <c r="L130" i="4"/>
  <c r="L131" i="4"/>
  <c r="L132" i="4"/>
  <c r="L133" i="4"/>
  <c r="L134" i="4"/>
  <c r="L135" i="4"/>
  <c r="L136" i="4"/>
  <c r="L137" i="4"/>
  <c r="L138" i="4"/>
  <c r="L139" i="4"/>
  <c r="L140" i="4"/>
  <c r="L141" i="4"/>
  <c r="L142" i="4"/>
  <c r="L143" i="4"/>
  <c r="L144" i="4"/>
  <c r="L145" i="4"/>
  <c r="L146" i="4"/>
  <c r="L147" i="4"/>
  <c r="L148" i="4"/>
  <c r="L149" i="4"/>
  <c r="L150" i="4"/>
  <c r="L151" i="4"/>
  <c r="L152" i="4"/>
  <c r="L153" i="4"/>
  <c r="L154" i="4"/>
  <c r="L155" i="4"/>
  <c r="L156" i="4"/>
  <c r="L157" i="4"/>
  <c r="L158" i="4"/>
  <c r="L159" i="4"/>
  <c r="L160" i="4"/>
  <c r="L161" i="4"/>
  <c r="L162" i="4"/>
  <c r="L163" i="4"/>
  <c r="L164" i="4"/>
  <c r="L165" i="4"/>
  <c r="L166" i="4"/>
  <c r="L167" i="4"/>
  <c r="L168" i="4"/>
  <c r="L169" i="4"/>
  <c r="L170" i="4"/>
  <c r="L171" i="4"/>
  <c r="L172" i="4"/>
  <c r="L173" i="4"/>
  <c r="L174" i="4"/>
  <c r="L175" i="4"/>
  <c r="L176" i="4"/>
  <c r="L177" i="4"/>
  <c r="L178" i="4"/>
  <c r="L179" i="4"/>
  <c r="L180" i="4"/>
  <c r="L181" i="4"/>
  <c r="L182" i="4"/>
  <c r="L183" i="4"/>
  <c r="L184" i="4"/>
  <c r="L185" i="4"/>
  <c r="L186" i="4"/>
  <c r="L187" i="4"/>
  <c r="L188" i="4"/>
  <c r="L189" i="4"/>
  <c r="L190" i="4"/>
  <c r="L191" i="4"/>
  <c r="L192" i="4"/>
  <c r="L193" i="4"/>
  <c r="L194" i="4"/>
  <c r="L195" i="4"/>
  <c r="L196" i="4"/>
  <c r="L197" i="4"/>
  <c r="L198" i="4"/>
  <c r="L199" i="4"/>
  <c r="L200" i="4"/>
  <c r="L201" i="4"/>
  <c r="L202" i="4"/>
  <c r="L203" i="4"/>
  <c r="L204" i="4"/>
  <c r="L205" i="4"/>
  <c r="L206" i="4"/>
  <c r="L207" i="4"/>
  <c r="L208" i="4"/>
  <c r="L209" i="4"/>
  <c r="L210" i="4"/>
  <c r="L211" i="4"/>
  <c r="L212" i="4"/>
  <c r="C25" i="3"/>
  <c r="B27" i="3"/>
  <c r="B26" i="3"/>
  <c r="C4" i="4"/>
  <c r="B4" i="4" s="1"/>
  <c r="D37" i="3"/>
  <c r="B23" i="3"/>
  <c r="C33" i="3"/>
  <c r="C13" i="4"/>
  <c r="B13" i="4" s="1"/>
  <c r="C6" i="4"/>
  <c r="B6" i="4" s="1"/>
  <c r="C126" i="3"/>
  <c r="D26" i="3"/>
  <c r="B50" i="4"/>
  <c r="C23" i="3"/>
  <c r="C27" i="3"/>
  <c r="D36" i="3"/>
  <c r="D35" i="3"/>
  <c r="L20" i="12"/>
  <c r="C9" i="12"/>
  <c r="C8" i="12"/>
  <c r="C7" i="12"/>
  <c r="C6" i="12"/>
  <c r="C5" i="12"/>
  <c r="B46" i="4"/>
  <c r="C3" i="4"/>
  <c r="B3" i="4" s="1"/>
  <c r="B47" i="4"/>
  <c r="C28" i="3"/>
  <c r="C12" i="4"/>
  <c r="B12" i="4" s="1"/>
  <c r="D24" i="3"/>
  <c r="D164" i="3"/>
  <c r="D25" i="3"/>
  <c r="E25" i="3"/>
  <c r="M211" i="4" l="1"/>
  <c r="AK211" i="4" s="1"/>
  <c r="M207" i="4"/>
  <c r="AK207" i="4" s="1"/>
  <c r="M203" i="4"/>
  <c r="AK203" i="4" s="1"/>
  <c r="M199" i="4"/>
  <c r="AK199" i="4" s="1"/>
  <c r="M195" i="4"/>
  <c r="AK195" i="4" s="1"/>
  <c r="M191" i="4"/>
  <c r="AK191" i="4" s="1"/>
  <c r="M187" i="4"/>
  <c r="AK187" i="4" s="1"/>
  <c r="M183" i="4"/>
  <c r="AK183" i="4" s="1"/>
  <c r="M179" i="4"/>
  <c r="AK179" i="4" s="1"/>
  <c r="M175" i="4"/>
  <c r="AK175" i="4" s="1"/>
  <c r="M171" i="4"/>
  <c r="AK171" i="4" s="1"/>
  <c r="M167" i="4"/>
  <c r="AK167" i="4" s="1"/>
  <c r="M163" i="4"/>
  <c r="AK163" i="4" s="1"/>
  <c r="M159" i="4"/>
  <c r="AK159" i="4" s="1"/>
  <c r="M155" i="4"/>
  <c r="AK155" i="4" s="1"/>
  <c r="M151" i="4"/>
  <c r="AK151" i="4" s="1"/>
  <c r="M147" i="4"/>
  <c r="AK147" i="4" s="1"/>
  <c r="M143" i="4"/>
  <c r="AK143" i="4" s="1"/>
  <c r="M139" i="4"/>
  <c r="AK139" i="4" s="1"/>
  <c r="M135" i="4"/>
  <c r="AK135" i="4" s="1"/>
  <c r="M131" i="4"/>
  <c r="AK131" i="4" s="1"/>
  <c r="M127" i="4"/>
  <c r="AK127" i="4" s="1"/>
  <c r="M123" i="4"/>
  <c r="AK123" i="4" s="1"/>
  <c r="M119" i="4"/>
  <c r="AK119" i="4" s="1"/>
  <c r="M115" i="4"/>
  <c r="AK115" i="4" s="1"/>
  <c r="M111" i="4"/>
  <c r="AK111" i="4" s="1"/>
  <c r="M107" i="4"/>
  <c r="AK107" i="4" s="1"/>
  <c r="M103" i="4"/>
  <c r="AK103" i="4" s="1"/>
  <c r="M99" i="4"/>
  <c r="AK99" i="4" s="1"/>
  <c r="M95" i="4"/>
  <c r="AK95" i="4" s="1"/>
  <c r="M91" i="4"/>
  <c r="AK91" i="4" s="1"/>
  <c r="M87" i="4"/>
  <c r="AK87" i="4" s="1"/>
  <c r="M83" i="4"/>
  <c r="AK83" i="4" s="1"/>
  <c r="M79" i="4"/>
  <c r="AK79" i="4" s="1"/>
  <c r="M75" i="4"/>
  <c r="AK75" i="4" s="1"/>
  <c r="M71" i="4"/>
  <c r="AK71" i="4" s="1"/>
  <c r="M67" i="4"/>
  <c r="AK67" i="4" s="1"/>
  <c r="M63" i="4"/>
  <c r="AK63" i="4" s="1"/>
  <c r="M59" i="4"/>
  <c r="AK59" i="4" s="1"/>
  <c r="M55" i="4"/>
  <c r="AK55" i="4" s="1"/>
  <c r="M51" i="4"/>
  <c r="AK51" i="4" s="1"/>
  <c r="M47" i="4"/>
  <c r="AK47" i="4" s="1"/>
  <c r="M43" i="4"/>
  <c r="AK43" i="4" s="1"/>
  <c r="M39" i="4"/>
  <c r="AK39" i="4" s="1"/>
  <c r="M35" i="4"/>
  <c r="AK35" i="4" s="1"/>
  <c r="M31" i="4"/>
  <c r="AK31" i="4" s="1"/>
  <c r="M27" i="4"/>
  <c r="AK27" i="4" s="1"/>
  <c r="M23" i="4"/>
  <c r="AK23" i="4" s="1"/>
  <c r="M19" i="4"/>
  <c r="AK19" i="4" s="1"/>
  <c r="M15" i="4"/>
  <c r="AK15" i="4" s="1"/>
  <c r="M11" i="4"/>
  <c r="AK11" i="4" s="1"/>
  <c r="M7" i="4"/>
  <c r="AK7" i="4" s="1"/>
  <c r="M3" i="4"/>
  <c r="AK3" i="4" s="1"/>
  <c r="M210" i="4"/>
  <c r="AK210" i="4" s="1"/>
  <c r="M206" i="4"/>
  <c r="AK206" i="4" s="1"/>
  <c r="M202" i="4"/>
  <c r="AK202" i="4" s="1"/>
  <c r="M198" i="4"/>
  <c r="AK198" i="4" s="1"/>
  <c r="M194" i="4"/>
  <c r="AK194" i="4" s="1"/>
  <c r="M190" i="4"/>
  <c r="AK190" i="4" s="1"/>
  <c r="M186" i="4"/>
  <c r="AK186" i="4" s="1"/>
  <c r="M182" i="4"/>
  <c r="AK182" i="4" s="1"/>
  <c r="M178" i="4"/>
  <c r="AK178" i="4" s="1"/>
  <c r="M174" i="4"/>
  <c r="AK174" i="4" s="1"/>
  <c r="M170" i="4"/>
  <c r="AK170" i="4" s="1"/>
  <c r="M166" i="4"/>
  <c r="AK166" i="4" s="1"/>
  <c r="M162" i="4"/>
  <c r="AK162" i="4" s="1"/>
  <c r="M158" i="4"/>
  <c r="AK158" i="4" s="1"/>
  <c r="M154" i="4"/>
  <c r="AK154" i="4" s="1"/>
  <c r="M150" i="4"/>
  <c r="AK150" i="4" s="1"/>
  <c r="M146" i="4"/>
  <c r="AK146" i="4" s="1"/>
  <c r="M142" i="4"/>
  <c r="AK142" i="4" s="1"/>
  <c r="M138" i="4"/>
  <c r="AK138" i="4" s="1"/>
  <c r="M134" i="4"/>
  <c r="AK134" i="4" s="1"/>
  <c r="M130" i="4"/>
  <c r="AK130" i="4" s="1"/>
  <c r="M126" i="4"/>
  <c r="AK126" i="4" s="1"/>
  <c r="M122" i="4"/>
  <c r="AK122" i="4" s="1"/>
  <c r="M118" i="4"/>
  <c r="AK118" i="4" s="1"/>
  <c r="M114" i="4"/>
  <c r="AK114" i="4" s="1"/>
  <c r="M110" i="4"/>
  <c r="AK110" i="4" s="1"/>
  <c r="M106" i="4"/>
  <c r="AK106" i="4" s="1"/>
  <c r="M102" i="4"/>
  <c r="AK102" i="4" s="1"/>
  <c r="M98" i="4"/>
  <c r="AK98" i="4" s="1"/>
  <c r="M94" i="4"/>
  <c r="AK94" i="4" s="1"/>
  <c r="M90" i="4"/>
  <c r="AK90" i="4" s="1"/>
  <c r="M86" i="4"/>
  <c r="AK86" i="4" s="1"/>
  <c r="M82" i="4"/>
  <c r="AK82" i="4" s="1"/>
  <c r="M78" i="4"/>
  <c r="AK78" i="4" s="1"/>
  <c r="M74" i="4"/>
  <c r="AK74" i="4" s="1"/>
  <c r="M70" i="4"/>
  <c r="AK70" i="4" s="1"/>
  <c r="M66" i="4"/>
  <c r="AK66" i="4" s="1"/>
  <c r="M62" i="4"/>
  <c r="AK62" i="4" s="1"/>
  <c r="M58" i="4"/>
  <c r="AK58" i="4" s="1"/>
  <c r="M54" i="4"/>
  <c r="AK54" i="4" s="1"/>
  <c r="M50" i="4"/>
  <c r="AK50" i="4" s="1"/>
  <c r="M46" i="4"/>
  <c r="AK46" i="4" s="1"/>
  <c r="M42" i="4"/>
  <c r="AK42" i="4" s="1"/>
  <c r="M38" i="4"/>
  <c r="AK38" i="4" s="1"/>
  <c r="M34" i="4"/>
  <c r="AK34" i="4" s="1"/>
  <c r="M30" i="4"/>
  <c r="AK30" i="4" s="1"/>
  <c r="M26" i="4"/>
  <c r="AK26" i="4" s="1"/>
  <c r="M22" i="4"/>
  <c r="AK22" i="4" s="1"/>
  <c r="M18" i="4"/>
  <c r="AK18" i="4" s="1"/>
  <c r="M14" i="4"/>
  <c r="AK14" i="4" s="1"/>
  <c r="M10" i="4"/>
  <c r="AK10" i="4" s="1"/>
  <c r="M6" i="4"/>
  <c r="AK6" i="4" s="1"/>
  <c r="M2" i="4"/>
  <c r="AK2" i="4" s="1"/>
  <c r="M209" i="4"/>
  <c r="AK209" i="4" s="1"/>
  <c r="M205" i="4"/>
  <c r="AK205" i="4" s="1"/>
  <c r="M201" i="4"/>
  <c r="AK201" i="4" s="1"/>
  <c r="M197" i="4"/>
  <c r="AK197" i="4" s="1"/>
  <c r="M193" i="4"/>
  <c r="AK193" i="4" s="1"/>
  <c r="M189" i="4"/>
  <c r="AK189" i="4" s="1"/>
  <c r="M185" i="4"/>
  <c r="AK185" i="4" s="1"/>
  <c r="M181" i="4"/>
  <c r="AK181" i="4" s="1"/>
  <c r="M177" i="4"/>
  <c r="AK177" i="4" s="1"/>
  <c r="M173" i="4"/>
  <c r="AK173" i="4" s="1"/>
  <c r="M169" i="4"/>
  <c r="AK169" i="4" s="1"/>
  <c r="M165" i="4"/>
  <c r="AK165" i="4" s="1"/>
  <c r="M161" i="4"/>
  <c r="AK161" i="4" s="1"/>
  <c r="M157" i="4"/>
  <c r="AK157" i="4" s="1"/>
  <c r="M153" i="4"/>
  <c r="AK153" i="4" s="1"/>
  <c r="M149" i="4"/>
  <c r="AK149" i="4" s="1"/>
  <c r="M145" i="4"/>
  <c r="AK145" i="4" s="1"/>
  <c r="M141" i="4"/>
  <c r="AK141" i="4" s="1"/>
  <c r="M137" i="4"/>
  <c r="AK137" i="4" s="1"/>
  <c r="M133" i="4"/>
  <c r="AK133" i="4" s="1"/>
  <c r="M129" i="4"/>
  <c r="AK129" i="4" s="1"/>
  <c r="M125" i="4"/>
  <c r="AK125" i="4" s="1"/>
  <c r="M121" i="4"/>
  <c r="AK121" i="4" s="1"/>
  <c r="M117" i="4"/>
  <c r="AK117" i="4" s="1"/>
  <c r="M113" i="4"/>
  <c r="AK113" i="4" s="1"/>
  <c r="M109" i="4"/>
  <c r="AK109" i="4" s="1"/>
  <c r="M105" i="4"/>
  <c r="AK105" i="4" s="1"/>
  <c r="M101" i="4"/>
  <c r="AK101" i="4" s="1"/>
  <c r="M97" i="4"/>
  <c r="AK97" i="4" s="1"/>
  <c r="M93" i="4"/>
  <c r="AK93" i="4" s="1"/>
  <c r="M89" i="4"/>
  <c r="AK89" i="4" s="1"/>
  <c r="M85" i="4"/>
  <c r="AK85" i="4" s="1"/>
  <c r="M81" i="4"/>
  <c r="AK81" i="4" s="1"/>
  <c r="M77" i="4"/>
  <c r="AK77" i="4" s="1"/>
  <c r="M73" i="4"/>
  <c r="AK73" i="4" s="1"/>
  <c r="M69" i="4"/>
  <c r="AK69" i="4" s="1"/>
  <c r="M65" i="4"/>
  <c r="AK65" i="4" s="1"/>
  <c r="M61" i="4"/>
  <c r="AK61" i="4" s="1"/>
  <c r="M57" i="4"/>
  <c r="AK57" i="4" s="1"/>
  <c r="M53" i="4"/>
  <c r="AK53" i="4" s="1"/>
  <c r="M49" i="4"/>
  <c r="AK49" i="4" s="1"/>
  <c r="M45" i="4"/>
  <c r="AK45" i="4" s="1"/>
  <c r="M41" i="4"/>
  <c r="AK41" i="4" s="1"/>
  <c r="M37" i="4"/>
  <c r="AK37" i="4" s="1"/>
  <c r="M33" i="4"/>
  <c r="AK33" i="4" s="1"/>
  <c r="M29" i="4"/>
  <c r="AK29" i="4" s="1"/>
  <c r="M25" i="4"/>
  <c r="AK25" i="4" s="1"/>
  <c r="M21" i="4"/>
  <c r="AK21" i="4" s="1"/>
  <c r="M17" i="4"/>
  <c r="AK17" i="4" s="1"/>
  <c r="M13" i="4"/>
  <c r="AK13" i="4" s="1"/>
  <c r="M9" i="4"/>
  <c r="AK9" i="4" s="1"/>
  <c r="M5" i="4"/>
  <c r="AK5" i="4" s="1"/>
  <c r="M212" i="4"/>
  <c r="AK212" i="4" s="1"/>
  <c r="M208" i="4"/>
  <c r="AK208" i="4" s="1"/>
  <c r="M204" i="4"/>
  <c r="AK204" i="4" s="1"/>
  <c r="M200" i="4"/>
  <c r="AK200" i="4" s="1"/>
  <c r="M196" i="4"/>
  <c r="AK196" i="4" s="1"/>
  <c r="M192" i="4"/>
  <c r="AK192" i="4" s="1"/>
  <c r="M188" i="4"/>
  <c r="AK188" i="4" s="1"/>
  <c r="M184" i="4"/>
  <c r="AK184" i="4" s="1"/>
  <c r="M180" i="4"/>
  <c r="AK180" i="4" s="1"/>
  <c r="M176" i="4"/>
  <c r="AK176" i="4" s="1"/>
  <c r="M172" i="4"/>
  <c r="AK172" i="4" s="1"/>
  <c r="M168" i="4"/>
  <c r="AK168" i="4" s="1"/>
  <c r="M164" i="4"/>
  <c r="AK164" i="4" s="1"/>
  <c r="M160" i="4"/>
  <c r="AK160" i="4" s="1"/>
  <c r="M156" i="4"/>
  <c r="AK156" i="4" s="1"/>
  <c r="M152" i="4"/>
  <c r="AK152" i="4" s="1"/>
  <c r="M148" i="4"/>
  <c r="AK148" i="4" s="1"/>
  <c r="M144" i="4"/>
  <c r="AK144" i="4" s="1"/>
  <c r="M140" i="4"/>
  <c r="AK140" i="4" s="1"/>
  <c r="M136" i="4"/>
  <c r="AK136" i="4" s="1"/>
  <c r="M132" i="4"/>
  <c r="AK132" i="4" s="1"/>
  <c r="M128" i="4"/>
  <c r="AK128" i="4" s="1"/>
  <c r="M124" i="4"/>
  <c r="AK124" i="4" s="1"/>
  <c r="M120" i="4"/>
  <c r="AK120" i="4" s="1"/>
  <c r="M116" i="4"/>
  <c r="AK116" i="4" s="1"/>
  <c r="M112" i="4"/>
  <c r="AK112" i="4" s="1"/>
  <c r="M108" i="4"/>
  <c r="AK108" i="4" s="1"/>
  <c r="M104" i="4"/>
  <c r="AK104" i="4" s="1"/>
  <c r="M100" i="4"/>
  <c r="AK100" i="4" s="1"/>
  <c r="M96" i="4"/>
  <c r="AK96" i="4" s="1"/>
  <c r="M92" i="4"/>
  <c r="AK92" i="4" s="1"/>
  <c r="M88" i="4"/>
  <c r="AK88" i="4" s="1"/>
  <c r="M84" i="4"/>
  <c r="AK84" i="4" s="1"/>
  <c r="M80" i="4"/>
  <c r="AK80" i="4" s="1"/>
  <c r="M76" i="4"/>
  <c r="AK76" i="4" s="1"/>
  <c r="M72" i="4"/>
  <c r="AK72" i="4" s="1"/>
  <c r="M68" i="4"/>
  <c r="AK68" i="4" s="1"/>
  <c r="M64" i="4"/>
  <c r="AK64" i="4" s="1"/>
  <c r="M60" i="4"/>
  <c r="AK60" i="4" s="1"/>
  <c r="M56" i="4"/>
  <c r="AK56" i="4" s="1"/>
  <c r="M52" i="4"/>
  <c r="AK52" i="4" s="1"/>
  <c r="M48" i="4"/>
  <c r="AK48" i="4" s="1"/>
  <c r="M44" i="4"/>
  <c r="AK44" i="4" s="1"/>
  <c r="M40" i="4"/>
  <c r="AK40" i="4" s="1"/>
  <c r="M36" i="4"/>
  <c r="AK36" i="4" s="1"/>
  <c r="M32" i="4"/>
  <c r="AK32" i="4" s="1"/>
  <c r="M28" i="4"/>
  <c r="AK28" i="4" s="1"/>
  <c r="M24" i="4"/>
  <c r="AK24" i="4" s="1"/>
  <c r="M20" i="4"/>
  <c r="AK20" i="4" s="1"/>
  <c r="M16" i="4"/>
  <c r="AK16" i="4" s="1"/>
  <c r="M12" i="4"/>
  <c r="AK12" i="4" s="1"/>
  <c r="M8" i="4"/>
  <c r="AK8" i="4" s="1"/>
  <c r="M4" i="4"/>
  <c r="AK4" i="4" s="1"/>
  <c r="B141" i="3"/>
  <c r="B140" i="3"/>
  <c r="B42" i="4"/>
  <c r="AN2" i="4"/>
  <c r="B64" i="4"/>
  <c r="C63" i="4"/>
  <c r="B56" i="4"/>
  <c r="B57" i="4"/>
  <c r="AN46" i="4"/>
  <c r="AN174" i="4"/>
  <c r="AN190" i="4"/>
  <c r="AN202" i="4"/>
  <c r="AN206" i="4"/>
  <c r="AN210" i="4"/>
  <c r="AN7" i="4"/>
  <c r="AN11" i="4"/>
  <c r="AN15" i="4"/>
  <c r="AN23" i="4"/>
  <c r="AN27" i="4"/>
  <c r="AN31" i="4"/>
  <c r="AN39" i="4"/>
  <c r="AN43" i="4"/>
  <c r="AN47" i="4"/>
  <c r="AN55" i="4"/>
  <c r="AN59" i="4"/>
  <c r="AN63" i="4"/>
  <c r="AN71" i="4"/>
  <c r="AN75" i="4"/>
  <c r="AN79" i="4"/>
  <c r="AN87" i="4"/>
  <c r="AN91" i="4"/>
  <c r="AN95" i="4"/>
  <c r="AN103" i="4"/>
  <c r="AN107" i="4"/>
  <c r="AN111" i="4"/>
  <c r="AN119" i="4"/>
  <c r="AN123" i="4"/>
  <c r="AN127" i="4"/>
  <c r="AN135" i="4"/>
  <c r="AN139" i="4"/>
  <c r="AN143" i="4"/>
  <c r="AN151" i="4"/>
  <c r="AN155" i="4"/>
  <c r="AN159" i="4"/>
  <c r="AN167" i="4"/>
  <c r="AN171" i="4"/>
  <c r="AN175" i="4"/>
  <c r="AN183" i="4"/>
  <c r="AN187" i="4"/>
  <c r="AN191" i="4"/>
  <c r="AN199" i="4"/>
  <c r="AN203" i="4"/>
  <c r="AN207" i="4"/>
  <c r="AN80" i="4"/>
  <c r="AN208" i="4"/>
  <c r="B63" i="4"/>
  <c r="C26" i="3"/>
  <c r="B44" i="4"/>
  <c r="C108" i="3"/>
  <c r="B109" i="3" s="1"/>
  <c r="C117" i="3"/>
  <c r="B118" i="3" s="1"/>
  <c r="B66" i="3"/>
  <c r="D167" i="3"/>
  <c r="C167" i="3"/>
  <c r="C14" i="4"/>
  <c r="B14" i="4" s="1"/>
  <c r="B41" i="4"/>
  <c r="B43" i="4"/>
  <c r="B67" i="4"/>
  <c r="B38" i="4"/>
  <c r="AJ2" i="4" s="1"/>
  <c r="C127" i="3"/>
  <c r="B128" i="3" s="1"/>
  <c r="C133" i="3"/>
  <c r="C38" i="3" s="1"/>
  <c r="B119" i="3" l="1"/>
  <c r="G42" i="4"/>
  <c r="G148" i="4"/>
  <c r="G40" i="4"/>
  <c r="G72" i="4"/>
  <c r="G88" i="4"/>
  <c r="G104" i="4"/>
  <c r="G120" i="4"/>
  <c r="G136" i="4"/>
  <c r="G152" i="4"/>
  <c r="G168" i="4"/>
  <c r="G184" i="4"/>
  <c r="G200" i="4"/>
  <c r="G5" i="4"/>
  <c r="G21" i="4"/>
  <c r="G37" i="4"/>
  <c r="G53" i="4"/>
  <c r="G69" i="4"/>
  <c r="G85" i="4"/>
  <c r="G101" i="4"/>
  <c r="G117" i="4"/>
  <c r="G137" i="4"/>
  <c r="G157" i="4"/>
  <c r="G14" i="4"/>
  <c r="Z15" i="10"/>
  <c r="B89" i="3"/>
  <c r="B90" i="3" s="1"/>
  <c r="B103" i="3"/>
  <c r="Z8" i="10"/>
  <c r="B105" i="3"/>
  <c r="B166" i="3"/>
  <c r="B165" i="3"/>
  <c r="Z7" i="10"/>
  <c r="B78" i="3"/>
  <c r="Z5" i="10"/>
  <c r="Z4" i="10"/>
  <c r="C105" i="3"/>
  <c r="Z12" i="10"/>
  <c r="Z2" i="10"/>
  <c r="D105" i="3"/>
  <c r="Z3" i="10"/>
  <c r="Z11" i="10"/>
  <c r="Z14" i="10"/>
  <c r="Z10" i="10"/>
  <c r="Z13" i="10"/>
  <c r="Z6" i="10"/>
  <c r="D85" i="3"/>
  <c r="B82" i="3"/>
  <c r="B73" i="3"/>
  <c r="Z9" i="10"/>
  <c r="C11" i="4"/>
  <c r="B11" i="4" s="1"/>
  <c r="D165" i="3"/>
  <c r="D81" i="3"/>
  <c r="D84" i="3" s="1"/>
  <c r="C166" i="3"/>
  <c r="D166" i="3"/>
  <c r="C81" i="3"/>
  <c r="C84" i="3" s="1"/>
  <c r="D82" i="3"/>
  <c r="D83" i="3" s="1"/>
  <c r="B81" i="3"/>
  <c r="B85" i="3"/>
  <c r="B88" i="3"/>
  <c r="E26" i="3" s="1"/>
  <c r="B77" i="3"/>
  <c r="H190" i="4"/>
  <c r="H174" i="4"/>
  <c r="H158" i="4"/>
  <c r="H142" i="4"/>
  <c r="H126" i="4"/>
  <c r="H110" i="4"/>
  <c r="H94" i="4"/>
  <c r="H78" i="4"/>
  <c r="H62" i="4"/>
  <c r="H46" i="4"/>
  <c r="H30" i="4"/>
  <c r="H14" i="4"/>
  <c r="H189" i="4"/>
  <c r="H173" i="4"/>
  <c r="H157" i="4"/>
  <c r="H141" i="4"/>
  <c r="H125" i="4"/>
  <c r="H109" i="4"/>
  <c r="H93" i="4"/>
  <c r="H77" i="4"/>
  <c r="H61" i="4"/>
  <c r="H45" i="4"/>
  <c r="H29" i="4"/>
  <c r="H13" i="4"/>
  <c r="H208" i="4"/>
  <c r="H192" i="4"/>
  <c r="H176" i="4"/>
  <c r="H160" i="4"/>
  <c r="H144" i="4"/>
  <c r="H128" i="4"/>
  <c r="H112" i="4"/>
  <c r="H96" i="4"/>
  <c r="H80" i="4"/>
  <c r="H64" i="4"/>
  <c r="H48" i="4"/>
  <c r="H32" i="4"/>
  <c r="H16" i="4"/>
  <c r="H211" i="4"/>
  <c r="H195" i="4"/>
  <c r="H179" i="4"/>
  <c r="H163" i="4"/>
  <c r="H147" i="4"/>
  <c r="H131" i="4"/>
  <c r="H115" i="4"/>
  <c r="H99" i="4"/>
  <c r="H83" i="4"/>
  <c r="H67" i="4"/>
  <c r="H51" i="4"/>
  <c r="H35" i="4"/>
  <c r="H19" i="4"/>
  <c r="H3" i="4"/>
  <c r="H206" i="4"/>
  <c r="H198" i="4"/>
  <c r="H209" i="4"/>
  <c r="H201" i="4"/>
  <c r="H193" i="4"/>
  <c r="G189" i="4"/>
  <c r="G173" i="4"/>
  <c r="G195" i="4"/>
  <c r="G179" i="4"/>
  <c r="G163" i="4"/>
  <c r="G147" i="4"/>
  <c r="G131" i="4"/>
  <c r="G115" i="4"/>
  <c r="G99" i="4"/>
  <c r="G83" i="4"/>
  <c r="G67" i="4"/>
  <c r="G51" i="4"/>
  <c r="G35" i="4"/>
  <c r="G19" i="4"/>
  <c r="G3" i="4"/>
  <c r="G178" i="4"/>
  <c r="G162" i="4"/>
  <c r="G146" i="4"/>
  <c r="G130" i="4"/>
  <c r="G114" i="4"/>
  <c r="G98" i="4"/>
  <c r="G82" i="4"/>
  <c r="G66" i="4"/>
  <c r="G50" i="4"/>
  <c r="G34" i="4"/>
  <c r="G18" i="4"/>
  <c r="G2" i="4"/>
  <c r="G149" i="4"/>
  <c r="G133" i="4"/>
  <c r="H186" i="4"/>
  <c r="H170" i="4"/>
  <c r="H154" i="4"/>
  <c r="H138" i="4"/>
  <c r="H122" i="4"/>
  <c r="H106" i="4"/>
  <c r="H90" i="4"/>
  <c r="H74" i="4"/>
  <c r="H58" i="4"/>
  <c r="H42" i="4"/>
  <c r="H26" i="4"/>
  <c r="H10" i="4"/>
  <c r="H185" i="4"/>
  <c r="H169" i="4"/>
  <c r="H153" i="4"/>
  <c r="H137" i="4"/>
  <c r="H121" i="4"/>
  <c r="H105" i="4"/>
  <c r="H89" i="4"/>
  <c r="H73" i="4"/>
  <c r="H57" i="4"/>
  <c r="H41" i="4"/>
  <c r="H25" i="4"/>
  <c r="H9" i="4"/>
  <c r="H204" i="4"/>
  <c r="H188" i="4"/>
  <c r="H172" i="4"/>
  <c r="H156" i="4"/>
  <c r="H140" i="4"/>
  <c r="H124" i="4"/>
  <c r="H108" i="4"/>
  <c r="H92" i="4"/>
  <c r="H76" i="4"/>
  <c r="H60" i="4"/>
  <c r="H44" i="4"/>
  <c r="H28" i="4"/>
  <c r="H12" i="4"/>
  <c r="H207" i="4"/>
  <c r="H191" i="4"/>
  <c r="H175" i="4"/>
  <c r="H159" i="4"/>
  <c r="H143" i="4"/>
  <c r="H127" i="4"/>
  <c r="H111" i="4"/>
  <c r="H95" i="4"/>
  <c r="H79" i="4"/>
  <c r="H63" i="4"/>
  <c r="H47" i="4"/>
  <c r="H31" i="4"/>
  <c r="H15" i="4"/>
  <c r="G210" i="4"/>
  <c r="G202" i="4"/>
  <c r="G194" i="4"/>
  <c r="G205" i="4"/>
  <c r="G197" i="4"/>
  <c r="G211" i="4"/>
  <c r="G185" i="4"/>
  <c r="G169" i="4"/>
  <c r="G191" i="4"/>
  <c r="G175" i="4"/>
  <c r="G159" i="4"/>
  <c r="G143" i="4"/>
  <c r="G127" i="4"/>
  <c r="G111" i="4"/>
  <c r="G95" i="4"/>
  <c r="G79" i="4"/>
  <c r="G63" i="4"/>
  <c r="G47" i="4"/>
  <c r="G31" i="4"/>
  <c r="G15" i="4"/>
  <c r="G190" i="4"/>
  <c r="G174" i="4"/>
  <c r="G158" i="4"/>
  <c r="G142" i="4"/>
  <c r="G126" i="4"/>
  <c r="G110" i="4"/>
  <c r="G94" i="4"/>
  <c r="G78" i="4"/>
  <c r="G62" i="4"/>
  <c r="G46" i="4"/>
  <c r="H182" i="4"/>
  <c r="H166" i="4"/>
  <c r="H150" i="4"/>
  <c r="H134" i="4"/>
  <c r="H118" i="4"/>
  <c r="H102" i="4"/>
  <c r="H86" i="4"/>
  <c r="H70" i="4"/>
  <c r="H54" i="4"/>
  <c r="H38" i="4"/>
  <c r="H22" i="4"/>
  <c r="H6" i="4"/>
  <c r="H181" i="4"/>
  <c r="H165" i="4"/>
  <c r="H149" i="4"/>
  <c r="H133" i="4"/>
  <c r="H117" i="4"/>
  <c r="H101" i="4"/>
  <c r="H85" i="4"/>
  <c r="H69" i="4"/>
  <c r="H53" i="4"/>
  <c r="H37" i="4"/>
  <c r="H21" i="4"/>
  <c r="H5" i="4"/>
  <c r="H200" i="4"/>
  <c r="H184" i="4"/>
  <c r="H168" i="4"/>
  <c r="H152" i="4"/>
  <c r="H136" i="4"/>
  <c r="H120" i="4"/>
  <c r="H104" i="4"/>
  <c r="H88" i="4"/>
  <c r="H72" i="4"/>
  <c r="H56" i="4"/>
  <c r="H40" i="4"/>
  <c r="H24" i="4"/>
  <c r="H8" i="4"/>
  <c r="H203" i="4"/>
  <c r="H187" i="4"/>
  <c r="H171" i="4"/>
  <c r="H155" i="4"/>
  <c r="H139" i="4"/>
  <c r="H123" i="4"/>
  <c r="H107" i="4"/>
  <c r="H91" i="4"/>
  <c r="H75" i="4"/>
  <c r="H59" i="4"/>
  <c r="H43" i="4"/>
  <c r="H27" i="4"/>
  <c r="H11" i="4"/>
  <c r="H210" i="4"/>
  <c r="H202" i="4"/>
  <c r="H194" i="4"/>
  <c r="H205" i="4"/>
  <c r="H197" i="4"/>
  <c r="G207" i="4"/>
  <c r="G181" i="4"/>
  <c r="G165" i="4"/>
  <c r="G187" i="4"/>
  <c r="G171" i="4"/>
  <c r="G155" i="4"/>
  <c r="G139" i="4"/>
  <c r="G123" i="4"/>
  <c r="G107" i="4"/>
  <c r="G91" i="4"/>
  <c r="G75" i="4"/>
  <c r="G59" i="4"/>
  <c r="G43" i="4"/>
  <c r="G27" i="4"/>
  <c r="G11" i="4"/>
  <c r="G186" i="4"/>
  <c r="G170" i="4"/>
  <c r="G154" i="4"/>
  <c r="G138" i="4"/>
  <c r="G122" i="4"/>
  <c r="G106" i="4"/>
  <c r="H178" i="4"/>
  <c r="H162" i="4"/>
  <c r="H146" i="4"/>
  <c r="H130" i="4"/>
  <c r="H114" i="4"/>
  <c r="H98" i="4"/>
  <c r="H82" i="4"/>
  <c r="H66" i="4"/>
  <c r="H50" i="4"/>
  <c r="H34" i="4"/>
  <c r="H18" i="4"/>
  <c r="H2" i="4"/>
  <c r="H177" i="4"/>
  <c r="H161" i="4"/>
  <c r="H145" i="4"/>
  <c r="H129" i="4"/>
  <c r="H113" i="4"/>
  <c r="H97" i="4"/>
  <c r="H81" i="4"/>
  <c r="H65" i="4"/>
  <c r="H49" i="4"/>
  <c r="H33" i="4"/>
  <c r="H17" i="4"/>
  <c r="H212" i="4"/>
  <c r="H196" i="4"/>
  <c r="H180" i="4"/>
  <c r="H164" i="4"/>
  <c r="H148" i="4"/>
  <c r="H132" i="4"/>
  <c r="H116" i="4"/>
  <c r="H100" i="4"/>
  <c r="H84" i="4"/>
  <c r="H68" i="4"/>
  <c r="H52" i="4"/>
  <c r="H36" i="4"/>
  <c r="H20" i="4"/>
  <c r="H4" i="4"/>
  <c r="H199" i="4"/>
  <c r="H183" i="4"/>
  <c r="H167" i="4"/>
  <c r="H151" i="4"/>
  <c r="H135" i="4"/>
  <c r="H119" i="4"/>
  <c r="H103" i="4"/>
  <c r="H87" i="4"/>
  <c r="H71" i="4"/>
  <c r="H55" i="4"/>
  <c r="H39" i="4"/>
  <c r="H23" i="4"/>
  <c r="H7" i="4"/>
  <c r="G206" i="4"/>
  <c r="G198" i="4"/>
  <c r="G209" i="4"/>
  <c r="G201" i="4"/>
  <c r="G193" i="4"/>
  <c r="G203" i="4"/>
  <c r="G177" i="4"/>
  <c r="G199" i="4"/>
  <c r="G183" i="4"/>
  <c r="G167" i="4"/>
  <c r="G151" i="4"/>
  <c r="G135" i="4"/>
  <c r="G119" i="4"/>
  <c r="G103" i="4"/>
  <c r="G87" i="4"/>
  <c r="G71" i="4"/>
  <c r="G55" i="4"/>
  <c r="G39" i="4"/>
  <c r="G23" i="4"/>
  <c r="G7" i="4"/>
  <c r="G182" i="4"/>
  <c r="G166" i="4"/>
  <c r="G150" i="4"/>
  <c r="G134" i="4"/>
  <c r="G118" i="4"/>
  <c r="G102" i="4"/>
  <c r="G86" i="4"/>
  <c r="G70" i="4"/>
  <c r="G54" i="4"/>
  <c r="G38" i="4"/>
  <c r="G12" i="4"/>
  <c r="G44" i="4"/>
  <c r="G60" i="4"/>
  <c r="G76" i="4"/>
  <c r="G92" i="4"/>
  <c r="G124" i="4"/>
  <c r="G140" i="4"/>
  <c r="G156" i="4"/>
  <c r="G172" i="4"/>
  <c r="G188" i="4"/>
  <c r="G204" i="4"/>
  <c r="G9" i="4"/>
  <c r="G25" i="4"/>
  <c r="G41" i="4"/>
  <c r="G57" i="4"/>
  <c r="G73" i="4"/>
  <c r="G89" i="4"/>
  <c r="G105" i="4"/>
  <c r="G121" i="4"/>
  <c r="G141" i="4"/>
  <c r="G161" i="4"/>
  <c r="G22" i="4"/>
  <c r="G58" i="4"/>
  <c r="G28" i="4"/>
  <c r="G108" i="4"/>
  <c r="C85" i="3"/>
  <c r="C165" i="3"/>
  <c r="C168" i="3" s="1"/>
  <c r="B91" i="3"/>
  <c r="B71" i="3"/>
  <c r="G16" i="4"/>
  <c r="G32" i="4"/>
  <c r="G48" i="4"/>
  <c r="G64" i="4"/>
  <c r="G80" i="4"/>
  <c r="G96" i="4"/>
  <c r="G112" i="4"/>
  <c r="G128" i="4"/>
  <c r="G144" i="4"/>
  <c r="G160" i="4"/>
  <c r="G176" i="4"/>
  <c r="G192" i="4"/>
  <c r="G208" i="4"/>
  <c r="G13" i="4"/>
  <c r="G29" i="4"/>
  <c r="G45" i="4"/>
  <c r="G61" i="4"/>
  <c r="G77" i="4"/>
  <c r="G93" i="4"/>
  <c r="G109" i="4"/>
  <c r="G125" i="4"/>
  <c r="G145" i="4"/>
  <c r="G6" i="4"/>
  <c r="G26" i="4"/>
  <c r="G74" i="4"/>
  <c r="B72" i="3"/>
  <c r="G4" i="4"/>
  <c r="G36" i="4"/>
  <c r="G68" i="4"/>
  <c r="G84" i="4"/>
  <c r="G100" i="4"/>
  <c r="G116" i="4"/>
  <c r="G132" i="4"/>
  <c r="G164" i="4"/>
  <c r="G180" i="4"/>
  <c r="G196" i="4"/>
  <c r="G212" i="4"/>
  <c r="G17" i="4"/>
  <c r="G33" i="4"/>
  <c r="G49" i="4"/>
  <c r="G65" i="4"/>
  <c r="G81" i="4"/>
  <c r="G97" i="4"/>
  <c r="G113" i="4"/>
  <c r="G129" i="4"/>
  <c r="G153" i="4"/>
  <c r="G10" i="4"/>
  <c r="G30" i="4"/>
  <c r="G90" i="4"/>
  <c r="AN211" i="4"/>
  <c r="AN195" i="4"/>
  <c r="AN179" i="4"/>
  <c r="AN163" i="4"/>
  <c r="AN147" i="4"/>
  <c r="AN131" i="4"/>
  <c r="AN115" i="4"/>
  <c r="AN99" i="4"/>
  <c r="AN83" i="4"/>
  <c r="AN67" i="4"/>
  <c r="AN51" i="4"/>
  <c r="AN35" i="4"/>
  <c r="AN19" i="4"/>
  <c r="AN3" i="4"/>
  <c r="AN198" i="4"/>
  <c r="AN125" i="4"/>
  <c r="AN16" i="4"/>
  <c r="AN186" i="4"/>
  <c r="AN189" i="4"/>
  <c r="AN144" i="4"/>
  <c r="AN194" i="4"/>
  <c r="AN110" i="4"/>
  <c r="AN61" i="4"/>
  <c r="AN176" i="4"/>
  <c r="AN48" i="4"/>
  <c r="AN142" i="4"/>
  <c r="AN14" i="4"/>
  <c r="AN93" i="4"/>
  <c r="AN112" i="4"/>
  <c r="AN182" i="4"/>
  <c r="AN78" i="4"/>
  <c r="AN157" i="4"/>
  <c r="AN29" i="4"/>
  <c r="AN160" i="4"/>
  <c r="AN96" i="4"/>
  <c r="AN32" i="4"/>
  <c r="AN158" i="4"/>
  <c r="AN94" i="4"/>
  <c r="AN30" i="4"/>
  <c r="AN173" i="4"/>
  <c r="AN109" i="4"/>
  <c r="AN45" i="4"/>
  <c r="AN192" i="4"/>
  <c r="AN128" i="4"/>
  <c r="AN64" i="4"/>
  <c r="AN126" i="4"/>
  <c r="AN62" i="4"/>
  <c r="AN205" i="4"/>
  <c r="AN141" i="4"/>
  <c r="AN77" i="4"/>
  <c r="AN13" i="4"/>
  <c r="AN200" i="4"/>
  <c r="AN168" i="4"/>
  <c r="AN136" i="4"/>
  <c r="AN104" i="4"/>
  <c r="AN72" i="4"/>
  <c r="AN40" i="4"/>
  <c r="AN8" i="4"/>
  <c r="AN166" i="4"/>
  <c r="AN134" i="4"/>
  <c r="AN102" i="4"/>
  <c r="AN70" i="4"/>
  <c r="AN38" i="4"/>
  <c r="AN6" i="4"/>
  <c r="AN181" i="4"/>
  <c r="AN149" i="4"/>
  <c r="AN117" i="4"/>
  <c r="AN85" i="4"/>
  <c r="AN53" i="4"/>
  <c r="AN21" i="4"/>
  <c r="AN184" i="4"/>
  <c r="AN152" i="4"/>
  <c r="AN120" i="4"/>
  <c r="AN88" i="4"/>
  <c r="AN56" i="4"/>
  <c r="AN24" i="4"/>
  <c r="AN178" i="4"/>
  <c r="AN150" i="4"/>
  <c r="AN118" i="4"/>
  <c r="AN86" i="4"/>
  <c r="AN54" i="4"/>
  <c r="AN22" i="4"/>
  <c r="AN197" i="4"/>
  <c r="AN165" i="4"/>
  <c r="AN133" i="4"/>
  <c r="AN101" i="4"/>
  <c r="AN69" i="4"/>
  <c r="AN37" i="4"/>
  <c r="AN5" i="4"/>
  <c r="AN196" i="4"/>
  <c r="AN180" i="4"/>
  <c r="AN164" i="4"/>
  <c r="AN148" i="4"/>
  <c r="AN132" i="4"/>
  <c r="AN116" i="4"/>
  <c r="AN100" i="4"/>
  <c r="AN84" i="4"/>
  <c r="AN68" i="4"/>
  <c r="AN52" i="4"/>
  <c r="AN36" i="4"/>
  <c r="AN20" i="4"/>
  <c r="AN4" i="4"/>
  <c r="AN170" i="4"/>
  <c r="AN154" i="4"/>
  <c r="AN138" i="4"/>
  <c r="AN122" i="4"/>
  <c r="AN106" i="4"/>
  <c r="AN90" i="4"/>
  <c r="AN74" i="4"/>
  <c r="AN58" i="4"/>
  <c r="AN42" i="4"/>
  <c r="AN26" i="4"/>
  <c r="AN10" i="4"/>
  <c r="AN201" i="4"/>
  <c r="AN185" i="4"/>
  <c r="AN169" i="4"/>
  <c r="AN153" i="4"/>
  <c r="AN137" i="4"/>
  <c r="AN121" i="4"/>
  <c r="AN105" i="4"/>
  <c r="AN89" i="4"/>
  <c r="AN73" i="4"/>
  <c r="AN57" i="4"/>
  <c r="AN41" i="4"/>
  <c r="AN25" i="4"/>
  <c r="AN9" i="4"/>
  <c r="AN212" i="4"/>
  <c r="AN204" i="4"/>
  <c r="AN188" i="4"/>
  <c r="AN172" i="4"/>
  <c r="AN156" i="4"/>
  <c r="AN140" i="4"/>
  <c r="AN124" i="4"/>
  <c r="AN108" i="4"/>
  <c r="AN92" i="4"/>
  <c r="AN76" i="4"/>
  <c r="AN60" i="4"/>
  <c r="AN44" i="4"/>
  <c r="AN28" i="4"/>
  <c r="AN12" i="4"/>
  <c r="AN162" i="4"/>
  <c r="AN146" i="4"/>
  <c r="AN130" i="4"/>
  <c r="AN114" i="4"/>
  <c r="AN98" i="4"/>
  <c r="AN82" i="4"/>
  <c r="AN66" i="4"/>
  <c r="AN50" i="4"/>
  <c r="AN34" i="4"/>
  <c r="AN18" i="4"/>
  <c r="AN209" i="4"/>
  <c r="AN193" i="4"/>
  <c r="AN177" i="4"/>
  <c r="AN161" i="4"/>
  <c r="AN145" i="4"/>
  <c r="AN129" i="4"/>
  <c r="AN113" i="4"/>
  <c r="AN97" i="4"/>
  <c r="AN81" i="4"/>
  <c r="AN65" i="4"/>
  <c r="AN49" i="4"/>
  <c r="AN33" i="4"/>
  <c r="AN17" i="4"/>
  <c r="B143" i="3"/>
  <c r="B142" i="3"/>
  <c r="B129" i="3"/>
  <c r="B110" i="3"/>
  <c r="AJ3" i="4"/>
  <c r="AJ7" i="4"/>
  <c r="AJ11" i="4"/>
  <c r="AJ15" i="4"/>
  <c r="AJ19" i="4"/>
  <c r="AJ23" i="4"/>
  <c r="AJ27" i="4"/>
  <c r="AJ31" i="4"/>
  <c r="AJ35" i="4"/>
  <c r="AJ39" i="4"/>
  <c r="AJ43" i="4"/>
  <c r="AJ47" i="4"/>
  <c r="AJ51" i="4"/>
  <c r="AJ55" i="4"/>
  <c r="AJ59" i="4"/>
  <c r="AJ63" i="4"/>
  <c r="AJ67" i="4"/>
  <c r="AJ71" i="4"/>
  <c r="AJ75" i="4"/>
  <c r="AJ79" i="4"/>
  <c r="AJ83" i="4"/>
  <c r="AJ87" i="4"/>
  <c r="AJ91" i="4"/>
  <c r="AJ95" i="4"/>
  <c r="AJ99" i="4"/>
  <c r="AJ103" i="4"/>
  <c r="AJ107" i="4"/>
  <c r="AJ111" i="4"/>
  <c r="AJ115" i="4"/>
  <c r="AJ119" i="4"/>
  <c r="AJ123" i="4"/>
  <c r="AJ127" i="4"/>
  <c r="AJ131" i="4"/>
  <c r="AJ135" i="4"/>
  <c r="AJ139" i="4"/>
  <c r="AJ143" i="4"/>
  <c r="AJ147" i="4"/>
  <c r="AJ151" i="4"/>
  <c r="AJ155" i="4"/>
  <c r="AJ159" i="4"/>
  <c r="AJ163" i="4"/>
  <c r="AJ167" i="4"/>
  <c r="AJ171" i="4"/>
  <c r="AJ175" i="4"/>
  <c r="AJ179" i="4"/>
  <c r="AJ183" i="4"/>
  <c r="AJ187" i="4"/>
  <c r="AJ191" i="4"/>
  <c r="AJ195" i="4"/>
  <c r="AJ199" i="4"/>
  <c r="AJ203" i="4"/>
  <c r="AJ207" i="4"/>
  <c r="AJ211" i="4"/>
  <c r="AJ184" i="4"/>
  <c r="AJ192" i="4"/>
  <c r="AJ200" i="4"/>
  <c r="AJ208" i="4"/>
  <c r="AJ4" i="4"/>
  <c r="AJ8" i="4"/>
  <c r="AJ12" i="4"/>
  <c r="AJ16" i="4"/>
  <c r="AJ20" i="4"/>
  <c r="AJ24" i="4"/>
  <c r="AJ28" i="4"/>
  <c r="AJ32" i="4"/>
  <c r="AJ36" i="4"/>
  <c r="AJ40" i="4"/>
  <c r="AJ44" i="4"/>
  <c r="AJ48" i="4"/>
  <c r="AJ52" i="4"/>
  <c r="AJ56" i="4"/>
  <c r="AJ60" i="4"/>
  <c r="AJ64" i="4"/>
  <c r="AJ68" i="4"/>
  <c r="AJ72" i="4"/>
  <c r="AJ76" i="4"/>
  <c r="AJ80" i="4"/>
  <c r="AJ84" i="4"/>
  <c r="AJ88" i="4"/>
  <c r="AJ92" i="4"/>
  <c r="AJ96" i="4"/>
  <c r="AJ100" i="4"/>
  <c r="AJ104" i="4"/>
  <c r="AJ108" i="4"/>
  <c r="AJ112" i="4"/>
  <c r="AJ116" i="4"/>
  <c r="AJ120" i="4"/>
  <c r="AJ124" i="4"/>
  <c r="AJ128" i="4"/>
  <c r="AJ132" i="4"/>
  <c r="AJ136" i="4"/>
  <c r="AJ140" i="4"/>
  <c r="AJ144" i="4"/>
  <c r="AJ148" i="4"/>
  <c r="AJ152" i="4"/>
  <c r="AJ156" i="4"/>
  <c r="AJ160" i="4"/>
  <c r="AJ164" i="4"/>
  <c r="AJ168" i="4"/>
  <c r="AJ172" i="4"/>
  <c r="AJ176" i="4"/>
  <c r="AJ180" i="4"/>
  <c r="AJ188" i="4"/>
  <c r="AJ196" i="4"/>
  <c r="AJ204" i="4"/>
  <c r="AJ212" i="4"/>
  <c r="AJ5" i="4"/>
  <c r="AJ9" i="4"/>
  <c r="AJ13" i="4"/>
  <c r="AJ17" i="4"/>
  <c r="AJ21" i="4"/>
  <c r="AJ25" i="4"/>
  <c r="AJ29" i="4"/>
  <c r="AJ33" i="4"/>
  <c r="AJ37" i="4"/>
  <c r="AJ41" i="4"/>
  <c r="AJ45" i="4"/>
  <c r="AJ49" i="4"/>
  <c r="AJ53" i="4"/>
  <c r="AJ57" i="4"/>
  <c r="AJ61" i="4"/>
  <c r="AJ65" i="4"/>
  <c r="AJ69" i="4"/>
  <c r="AJ73" i="4"/>
  <c r="AJ77" i="4"/>
  <c r="AJ81" i="4"/>
  <c r="AJ85" i="4"/>
  <c r="AJ89" i="4"/>
  <c r="AJ93" i="4"/>
  <c r="AJ97" i="4"/>
  <c r="AJ101" i="4"/>
  <c r="AJ105" i="4"/>
  <c r="AJ109" i="4"/>
  <c r="AJ113" i="4"/>
  <c r="AJ117" i="4"/>
  <c r="AJ121" i="4"/>
  <c r="AJ125" i="4"/>
  <c r="AJ129" i="4"/>
  <c r="AJ133" i="4"/>
  <c r="AJ137" i="4"/>
  <c r="AJ141" i="4"/>
  <c r="AJ145" i="4"/>
  <c r="AJ149" i="4"/>
  <c r="AJ153" i="4"/>
  <c r="AJ157" i="4"/>
  <c r="AJ161" i="4"/>
  <c r="AJ165" i="4"/>
  <c r="AJ169" i="4"/>
  <c r="AJ173" i="4"/>
  <c r="AJ177" i="4"/>
  <c r="AJ181" i="4"/>
  <c r="AJ185" i="4"/>
  <c r="AJ189" i="4"/>
  <c r="AJ193" i="4"/>
  <c r="AJ197" i="4"/>
  <c r="AJ201" i="4"/>
  <c r="AJ205" i="4"/>
  <c r="AJ209" i="4"/>
  <c r="AJ6" i="4"/>
  <c r="AJ10" i="4"/>
  <c r="AJ14" i="4"/>
  <c r="AJ18" i="4"/>
  <c r="AJ22" i="4"/>
  <c r="AJ26" i="4"/>
  <c r="AJ30" i="4"/>
  <c r="AJ34" i="4"/>
  <c r="AJ38" i="4"/>
  <c r="AJ42" i="4"/>
  <c r="AJ46" i="4"/>
  <c r="AJ50" i="4"/>
  <c r="AJ54" i="4"/>
  <c r="AJ58" i="4"/>
  <c r="AJ62" i="4"/>
  <c r="AJ66" i="4"/>
  <c r="AJ70" i="4"/>
  <c r="AJ74" i="4"/>
  <c r="AJ78" i="4"/>
  <c r="AJ82" i="4"/>
  <c r="AJ86" i="4"/>
  <c r="AJ90" i="4"/>
  <c r="AJ94" i="4"/>
  <c r="AJ98" i="4"/>
  <c r="AJ102" i="4"/>
  <c r="AJ106" i="4"/>
  <c r="AJ110" i="4"/>
  <c r="AJ114" i="4"/>
  <c r="AJ118" i="4"/>
  <c r="AJ122" i="4"/>
  <c r="AJ126" i="4"/>
  <c r="AJ130" i="4"/>
  <c r="AJ134" i="4"/>
  <c r="AJ138" i="4"/>
  <c r="AJ142" i="4"/>
  <c r="AJ146" i="4"/>
  <c r="AJ150" i="4"/>
  <c r="AJ154" i="4"/>
  <c r="AJ158" i="4"/>
  <c r="AJ162" i="4"/>
  <c r="AJ166" i="4"/>
  <c r="AJ170" i="4"/>
  <c r="AJ174" i="4"/>
  <c r="AJ178" i="4"/>
  <c r="AJ182" i="4"/>
  <c r="AJ186" i="4"/>
  <c r="AJ190" i="4"/>
  <c r="AJ194" i="4"/>
  <c r="AJ198" i="4"/>
  <c r="AJ202" i="4"/>
  <c r="AJ206" i="4"/>
  <c r="AJ210" i="4"/>
  <c r="B59" i="4"/>
  <c r="B40" i="4"/>
  <c r="C24" i="4"/>
  <c r="C37" i="3"/>
  <c r="B39" i="4"/>
  <c r="B70" i="4"/>
  <c r="B71" i="4"/>
  <c r="G56" i="4" l="1"/>
  <c r="G20" i="4"/>
  <c r="G24" i="4"/>
  <c r="B156" i="3"/>
  <c r="B68" i="3"/>
  <c r="C68" i="3" s="1"/>
  <c r="AA10" i="10" s="1"/>
  <c r="G8" i="4"/>
  <c r="C82" i="3"/>
  <c r="C83" i="3" s="1"/>
  <c r="G52" i="4"/>
  <c r="D168" i="3"/>
  <c r="B83" i="3"/>
  <c r="E28" i="3"/>
  <c r="B168" i="3"/>
  <c r="B68" i="4"/>
  <c r="B69" i="4" s="1"/>
  <c r="B61" i="4"/>
  <c r="B45" i="4"/>
  <c r="B86" i="4"/>
  <c r="B89" i="4" s="1"/>
  <c r="B54" i="4"/>
  <c r="B84" i="3"/>
  <c r="B95" i="3"/>
  <c r="C29" i="3"/>
  <c r="B72" i="4"/>
  <c r="AI2" i="4"/>
  <c r="AI3" i="4"/>
  <c r="AL3" i="4" s="1"/>
  <c r="AI7" i="4"/>
  <c r="AL7" i="4" s="1"/>
  <c r="AI11" i="4"/>
  <c r="AL11" i="4" s="1"/>
  <c r="AI15" i="4"/>
  <c r="AL15" i="4" s="1"/>
  <c r="AI19" i="4"/>
  <c r="AL19" i="4" s="1"/>
  <c r="AI23" i="4"/>
  <c r="AL23" i="4" s="1"/>
  <c r="AI27" i="4"/>
  <c r="AL27" i="4" s="1"/>
  <c r="AI31" i="4"/>
  <c r="AL31" i="4" s="1"/>
  <c r="AI35" i="4"/>
  <c r="AL35" i="4" s="1"/>
  <c r="AI39" i="4"/>
  <c r="AL39" i="4" s="1"/>
  <c r="AI43" i="4"/>
  <c r="AL43" i="4" s="1"/>
  <c r="AI4" i="4"/>
  <c r="AL4" i="4" s="1"/>
  <c r="AI8" i="4"/>
  <c r="AL8" i="4" s="1"/>
  <c r="AI12" i="4"/>
  <c r="AL12" i="4" s="1"/>
  <c r="AI16" i="4"/>
  <c r="AL16" i="4" s="1"/>
  <c r="AI20" i="4"/>
  <c r="AL20" i="4" s="1"/>
  <c r="AI24" i="4"/>
  <c r="AL24" i="4" s="1"/>
  <c r="AI28" i="4"/>
  <c r="AL28" i="4" s="1"/>
  <c r="AI32" i="4"/>
  <c r="AL32" i="4" s="1"/>
  <c r="AI36" i="4"/>
  <c r="AL36" i="4" s="1"/>
  <c r="AI40" i="4"/>
  <c r="AL40" i="4" s="1"/>
  <c r="AI44" i="4"/>
  <c r="AL44" i="4" s="1"/>
  <c r="AI48" i="4"/>
  <c r="AL48" i="4" s="1"/>
  <c r="AI52" i="4"/>
  <c r="AL52" i="4" s="1"/>
  <c r="AI56" i="4"/>
  <c r="AL56" i="4" s="1"/>
  <c r="AI60" i="4"/>
  <c r="AL60" i="4" s="1"/>
  <c r="AI64" i="4"/>
  <c r="AL64" i="4" s="1"/>
  <c r="AI68" i="4"/>
  <c r="AL68" i="4" s="1"/>
  <c r="AI72" i="4"/>
  <c r="AL72" i="4" s="1"/>
  <c r="AI76" i="4"/>
  <c r="AL76" i="4" s="1"/>
  <c r="AI80" i="4"/>
  <c r="AL80" i="4" s="1"/>
  <c r="AI84" i="4"/>
  <c r="AL84" i="4" s="1"/>
  <c r="AI88" i="4"/>
  <c r="AL88" i="4" s="1"/>
  <c r="AI92" i="4"/>
  <c r="AL92" i="4" s="1"/>
  <c r="AI96" i="4"/>
  <c r="AL96" i="4" s="1"/>
  <c r="AI100" i="4"/>
  <c r="AL100" i="4" s="1"/>
  <c r="AI104" i="4"/>
  <c r="AL104" i="4" s="1"/>
  <c r="AI108" i="4"/>
  <c r="AL108" i="4" s="1"/>
  <c r="AI6" i="4"/>
  <c r="AL6" i="4" s="1"/>
  <c r="AI10" i="4"/>
  <c r="AL10" i="4" s="1"/>
  <c r="AI14" i="4"/>
  <c r="AL14" i="4" s="1"/>
  <c r="AI18" i="4"/>
  <c r="AL18" i="4" s="1"/>
  <c r="AI22" i="4"/>
  <c r="AL22" i="4" s="1"/>
  <c r="AI26" i="4"/>
  <c r="AL26" i="4" s="1"/>
  <c r="AI30" i="4"/>
  <c r="AL30" i="4" s="1"/>
  <c r="AI34" i="4"/>
  <c r="AL34" i="4" s="1"/>
  <c r="AI38" i="4"/>
  <c r="AL38" i="4" s="1"/>
  <c r="AI42" i="4"/>
  <c r="AL42" i="4" s="1"/>
  <c r="AI46" i="4"/>
  <c r="AL46" i="4" s="1"/>
  <c r="AI50" i="4"/>
  <c r="AL50" i="4" s="1"/>
  <c r="AI54" i="4"/>
  <c r="AL54" i="4" s="1"/>
  <c r="AI58" i="4"/>
  <c r="AL58" i="4" s="1"/>
  <c r="AI62" i="4"/>
  <c r="AL62" i="4" s="1"/>
  <c r="AI66" i="4"/>
  <c r="AL66" i="4" s="1"/>
  <c r="AI70" i="4"/>
  <c r="AL70" i="4" s="1"/>
  <c r="AI74" i="4"/>
  <c r="AL74" i="4" s="1"/>
  <c r="AI78" i="4"/>
  <c r="AL78" i="4" s="1"/>
  <c r="AI82" i="4"/>
  <c r="AL82" i="4" s="1"/>
  <c r="AI86" i="4"/>
  <c r="AL86" i="4" s="1"/>
  <c r="AI90" i="4"/>
  <c r="AL90" i="4" s="1"/>
  <c r="AI94" i="4"/>
  <c r="AL94" i="4" s="1"/>
  <c r="AI98" i="4"/>
  <c r="AL98" i="4" s="1"/>
  <c r="AI102" i="4"/>
  <c r="AL102" i="4" s="1"/>
  <c r="AI106" i="4"/>
  <c r="AL106" i="4" s="1"/>
  <c r="AI110" i="4"/>
  <c r="AL110" i="4" s="1"/>
  <c r="AI17" i="4"/>
  <c r="AL17" i="4" s="1"/>
  <c r="AI33" i="4"/>
  <c r="AL33" i="4" s="1"/>
  <c r="AI47" i="4"/>
  <c r="AL47" i="4" s="1"/>
  <c r="AI55" i="4"/>
  <c r="AL55" i="4" s="1"/>
  <c r="AI63" i="4"/>
  <c r="AL63" i="4" s="1"/>
  <c r="AI71" i="4"/>
  <c r="AL71" i="4" s="1"/>
  <c r="AI79" i="4"/>
  <c r="AL79" i="4" s="1"/>
  <c r="AI87" i="4"/>
  <c r="AL87" i="4" s="1"/>
  <c r="AI95" i="4"/>
  <c r="AL95" i="4" s="1"/>
  <c r="AI103" i="4"/>
  <c r="AL103" i="4" s="1"/>
  <c r="AI111" i="4"/>
  <c r="AL111" i="4" s="1"/>
  <c r="AI115" i="4"/>
  <c r="AL115" i="4" s="1"/>
  <c r="AI119" i="4"/>
  <c r="AL119" i="4" s="1"/>
  <c r="AI123" i="4"/>
  <c r="AL123" i="4" s="1"/>
  <c r="AI127" i="4"/>
  <c r="AL127" i="4" s="1"/>
  <c r="AI131" i="4"/>
  <c r="AL131" i="4" s="1"/>
  <c r="AI135" i="4"/>
  <c r="AL135" i="4" s="1"/>
  <c r="AI139" i="4"/>
  <c r="AL139" i="4" s="1"/>
  <c r="AI143" i="4"/>
  <c r="AL143" i="4" s="1"/>
  <c r="AI147" i="4"/>
  <c r="AL147" i="4" s="1"/>
  <c r="AI151" i="4"/>
  <c r="AL151" i="4" s="1"/>
  <c r="AI155" i="4"/>
  <c r="AL155" i="4" s="1"/>
  <c r="AI159" i="4"/>
  <c r="AL159" i="4" s="1"/>
  <c r="AI163" i="4"/>
  <c r="AL163" i="4" s="1"/>
  <c r="AI167" i="4"/>
  <c r="AL167" i="4" s="1"/>
  <c r="AI171" i="4"/>
  <c r="AL171" i="4" s="1"/>
  <c r="AI175" i="4"/>
  <c r="AL175" i="4" s="1"/>
  <c r="AI179" i="4"/>
  <c r="AL179" i="4" s="1"/>
  <c r="AI183" i="4"/>
  <c r="AL183" i="4" s="1"/>
  <c r="AI187" i="4"/>
  <c r="AL187" i="4" s="1"/>
  <c r="AI191" i="4"/>
  <c r="AL191" i="4" s="1"/>
  <c r="AI195" i="4"/>
  <c r="AL195" i="4" s="1"/>
  <c r="AI199" i="4"/>
  <c r="AL199" i="4" s="1"/>
  <c r="AI207" i="4"/>
  <c r="AL207" i="4" s="1"/>
  <c r="AI5" i="4"/>
  <c r="AL5" i="4" s="1"/>
  <c r="AI21" i="4"/>
  <c r="AL21" i="4" s="1"/>
  <c r="AI37" i="4"/>
  <c r="AL37" i="4" s="1"/>
  <c r="AI49" i="4"/>
  <c r="AL49" i="4" s="1"/>
  <c r="AI57" i="4"/>
  <c r="AL57" i="4" s="1"/>
  <c r="AI65" i="4"/>
  <c r="AL65" i="4" s="1"/>
  <c r="AI73" i="4"/>
  <c r="AL73" i="4" s="1"/>
  <c r="AI81" i="4"/>
  <c r="AL81" i="4" s="1"/>
  <c r="AI89" i="4"/>
  <c r="AL89" i="4" s="1"/>
  <c r="AI97" i="4"/>
  <c r="AL97" i="4" s="1"/>
  <c r="AI105" i="4"/>
  <c r="AL105" i="4" s="1"/>
  <c r="AI112" i="4"/>
  <c r="AL112" i="4" s="1"/>
  <c r="AI116" i="4"/>
  <c r="AL116" i="4" s="1"/>
  <c r="AI120" i="4"/>
  <c r="AL120" i="4" s="1"/>
  <c r="AI124" i="4"/>
  <c r="AL124" i="4" s="1"/>
  <c r="AI128" i="4"/>
  <c r="AL128" i="4" s="1"/>
  <c r="AI132" i="4"/>
  <c r="AL132" i="4" s="1"/>
  <c r="AI136" i="4"/>
  <c r="AL136" i="4" s="1"/>
  <c r="AI140" i="4"/>
  <c r="AL140" i="4" s="1"/>
  <c r="AI144" i="4"/>
  <c r="AL144" i="4" s="1"/>
  <c r="AI148" i="4"/>
  <c r="AL148" i="4" s="1"/>
  <c r="AI152" i="4"/>
  <c r="AL152" i="4" s="1"/>
  <c r="AI156" i="4"/>
  <c r="AL156" i="4" s="1"/>
  <c r="AI160" i="4"/>
  <c r="AL160" i="4" s="1"/>
  <c r="AI164" i="4"/>
  <c r="AL164" i="4" s="1"/>
  <c r="AI168" i="4"/>
  <c r="AL168" i="4" s="1"/>
  <c r="AI172" i="4"/>
  <c r="AL172" i="4" s="1"/>
  <c r="AI176" i="4"/>
  <c r="AL176" i="4" s="1"/>
  <c r="AI180" i="4"/>
  <c r="AL180" i="4" s="1"/>
  <c r="AI184" i="4"/>
  <c r="AL184" i="4" s="1"/>
  <c r="AI188" i="4"/>
  <c r="AL188" i="4" s="1"/>
  <c r="AI192" i="4"/>
  <c r="AL192" i="4" s="1"/>
  <c r="AI196" i="4"/>
  <c r="AL196" i="4" s="1"/>
  <c r="AI200" i="4"/>
  <c r="AL200" i="4" s="1"/>
  <c r="AI204" i="4"/>
  <c r="AL204" i="4" s="1"/>
  <c r="AI208" i="4"/>
  <c r="AL208" i="4" s="1"/>
  <c r="AI212" i="4"/>
  <c r="AL212" i="4" s="1"/>
  <c r="AI211" i="4"/>
  <c r="AL211" i="4" s="1"/>
  <c r="AI9" i="4"/>
  <c r="AL9" i="4" s="1"/>
  <c r="AI25" i="4"/>
  <c r="AL25" i="4" s="1"/>
  <c r="AI41" i="4"/>
  <c r="AL41" i="4" s="1"/>
  <c r="AI51" i="4"/>
  <c r="AL51" i="4" s="1"/>
  <c r="AI59" i="4"/>
  <c r="AL59" i="4" s="1"/>
  <c r="AI67" i="4"/>
  <c r="AL67" i="4" s="1"/>
  <c r="AI75" i="4"/>
  <c r="AL75" i="4" s="1"/>
  <c r="AI83" i="4"/>
  <c r="AL83" i="4" s="1"/>
  <c r="AI91" i="4"/>
  <c r="AL91" i="4" s="1"/>
  <c r="AI99" i="4"/>
  <c r="AL99" i="4" s="1"/>
  <c r="AI107" i="4"/>
  <c r="AL107" i="4" s="1"/>
  <c r="AI113" i="4"/>
  <c r="AL113" i="4" s="1"/>
  <c r="AI117" i="4"/>
  <c r="AL117" i="4" s="1"/>
  <c r="AI121" i="4"/>
  <c r="AL121" i="4" s="1"/>
  <c r="AI125" i="4"/>
  <c r="AL125" i="4" s="1"/>
  <c r="AI129" i="4"/>
  <c r="AL129" i="4" s="1"/>
  <c r="AI133" i="4"/>
  <c r="AL133" i="4" s="1"/>
  <c r="AI137" i="4"/>
  <c r="AL137" i="4" s="1"/>
  <c r="AI141" i="4"/>
  <c r="AL141" i="4" s="1"/>
  <c r="AI145" i="4"/>
  <c r="AL145" i="4" s="1"/>
  <c r="AI149" i="4"/>
  <c r="AL149" i="4" s="1"/>
  <c r="AI153" i="4"/>
  <c r="AL153" i="4" s="1"/>
  <c r="AI157" i="4"/>
  <c r="AL157" i="4" s="1"/>
  <c r="AI161" i="4"/>
  <c r="AL161" i="4" s="1"/>
  <c r="AI165" i="4"/>
  <c r="AL165" i="4" s="1"/>
  <c r="AI169" i="4"/>
  <c r="AL169" i="4" s="1"/>
  <c r="AI173" i="4"/>
  <c r="AL173" i="4" s="1"/>
  <c r="AI177" i="4"/>
  <c r="AL177" i="4" s="1"/>
  <c r="AI181" i="4"/>
  <c r="AL181" i="4" s="1"/>
  <c r="AI185" i="4"/>
  <c r="AL185" i="4" s="1"/>
  <c r="AI189" i="4"/>
  <c r="AL189" i="4" s="1"/>
  <c r="AI193" i="4"/>
  <c r="AL193" i="4" s="1"/>
  <c r="AI197" i="4"/>
  <c r="AL197" i="4" s="1"/>
  <c r="AI201" i="4"/>
  <c r="AL201" i="4" s="1"/>
  <c r="AI205" i="4"/>
  <c r="AL205" i="4" s="1"/>
  <c r="AI209" i="4"/>
  <c r="AL209" i="4" s="1"/>
  <c r="AI13" i="4"/>
  <c r="AL13" i="4" s="1"/>
  <c r="AI29" i="4"/>
  <c r="AL29" i="4" s="1"/>
  <c r="AI45" i="4"/>
  <c r="AL45" i="4" s="1"/>
  <c r="AI53" i="4"/>
  <c r="AL53" i="4" s="1"/>
  <c r="AI61" i="4"/>
  <c r="AL61" i="4" s="1"/>
  <c r="AI69" i="4"/>
  <c r="AL69" i="4" s="1"/>
  <c r="AI77" i="4"/>
  <c r="AL77" i="4" s="1"/>
  <c r="AI85" i="4"/>
  <c r="AL85" i="4" s="1"/>
  <c r="AI93" i="4"/>
  <c r="AL93" i="4" s="1"/>
  <c r="AI101" i="4"/>
  <c r="AL101" i="4" s="1"/>
  <c r="AI109" i="4"/>
  <c r="AL109" i="4" s="1"/>
  <c r="AI114" i="4"/>
  <c r="AL114" i="4" s="1"/>
  <c r="AI118" i="4"/>
  <c r="AL118" i="4" s="1"/>
  <c r="AI122" i="4"/>
  <c r="AL122" i="4" s="1"/>
  <c r="AI126" i="4"/>
  <c r="AL126" i="4" s="1"/>
  <c r="AI130" i="4"/>
  <c r="AL130" i="4" s="1"/>
  <c r="AI134" i="4"/>
  <c r="AL134" i="4" s="1"/>
  <c r="AI138" i="4"/>
  <c r="AL138" i="4" s="1"/>
  <c r="AI142" i="4"/>
  <c r="AL142" i="4" s="1"/>
  <c r="AI146" i="4"/>
  <c r="AL146" i="4" s="1"/>
  <c r="AI150" i="4"/>
  <c r="AL150" i="4" s="1"/>
  <c r="AI154" i="4"/>
  <c r="AL154" i="4" s="1"/>
  <c r="AI158" i="4"/>
  <c r="AL158" i="4" s="1"/>
  <c r="AI162" i="4"/>
  <c r="AL162" i="4" s="1"/>
  <c r="AI166" i="4"/>
  <c r="AL166" i="4" s="1"/>
  <c r="AI170" i="4"/>
  <c r="AL170" i="4" s="1"/>
  <c r="AI174" i="4"/>
  <c r="AL174" i="4" s="1"/>
  <c r="AI178" i="4"/>
  <c r="AL178" i="4" s="1"/>
  <c r="AI182" i="4"/>
  <c r="AL182" i="4" s="1"/>
  <c r="AI186" i="4"/>
  <c r="AL186" i="4" s="1"/>
  <c r="AI190" i="4"/>
  <c r="AL190" i="4" s="1"/>
  <c r="AI194" i="4"/>
  <c r="AL194" i="4" s="1"/>
  <c r="AI198" i="4"/>
  <c r="AL198" i="4" s="1"/>
  <c r="AI202" i="4"/>
  <c r="AL202" i="4" s="1"/>
  <c r="AI206" i="4"/>
  <c r="AL206" i="4" s="1"/>
  <c r="AI210" i="4"/>
  <c r="AL210" i="4" s="1"/>
  <c r="AI203" i="4"/>
  <c r="AL203" i="4" s="1"/>
  <c r="B58" i="4"/>
  <c r="C23" i="4"/>
  <c r="B78" i="4"/>
  <c r="B65" i="4"/>
  <c r="C110" i="3"/>
  <c r="B111" i="3" s="1"/>
  <c r="C119" i="3"/>
  <c r="B120" i="3" s="1"/>
  <c r="C30" i="3"/>
  <c r="C32" i="3"/>
  <c r="B5" i="13"/>
  <c r="B10" i="13" s="1"/>
  <c r="D10" i="13" s="1"/>
  <c r="C5" i="4"/>
  <c r="B5" i="4" s="1"/>
  <c r="AA14" i="10" l="1"/>
  <c r="AA12" i="10"/>
  <c r="AA5" i="10"/>
  <c r="B70" i="3" s="1"/>
  <c r="AA8" i="10"/>
  <c r="AA2" i="10"/>
  <c r="AA13" i="10"/>
  <c r="AA4" i="10"/>
  <c r="AA11" i="10"/>
  <c r="AA6" i="10"/>
  <c r="AA3" i="10"/>
  <c r="B123" i="3"/>
  <c r="B121" i="3"/>
  <c r="B122" i="3" s="1"/>
  <c r="AA7" i="10"/>
  <c r="AA15" i="10"/>
  <c r="B62" i="4"/>
  <c r="R30" i="4" s="1"/>
  <c r="B80" i="4"/>
  <c r="B81" i="4" s="1"/>
  <c r="C85" i="4"/>
  <c r="C88" i="4" s="1"/>
  <c r="B85" i="4"/>
  <c r="B82" i="4" s="1"/>
  <c r="B83" i="4" s="1"/>
  <c r="E24" i="3"/>
  <c r="D28" i="3"/>
  <c r="AL2" i="4"/>
  <c r="B114" i="3"/>
  <c r="B112" i="3"/>
  <c r="B113" i="3"/>
  <c r="R204" i="4"/>
  <c r="R137" i="4"/>
  <c r="R172" i="4"/>
  <c r="R38" i="4"/>
  <c r="R146" i="4"/>
  <c r="R177" i="4"/>
  <c r="R55" i="4"/>
  <c r="R17" i="4"/>
  <c r="R198" i="4"/>
  <c r="R149" i="4"/>
  <c r="R169" i="4"/>
  <c r="R33" i="4"/>
  <c r="R115" i="4"/>
  <c r="R59" i="4"/>
  <c r="R191" i="4"/>
  <c r="R161" i="4"/>
  <c r="C31" i="3"/>
  <c r="E5" i="13"/>
  <c r="B11" i="13" s="1"/>
  <c r="D11" i="13" s="1"/>
  <c r="D5" i="13"/>
  <c r="B12" i="13" s="1"/>
  <c r="D12" i="13" s="1"/>
  <c r="R197" i="4" l="1"/>
  <c r="R145" i="4"/>
  <c r="R106" i="4"/>
  <c r="R42" i="4"/>
  <c r="R102" i="4"/>
  <c r="R173" i="4"/>
  <c r="R131" i="4"/>
  <c r="R65" i="4"/>
  <c r="R9" i="4"/>
  <c r="R118" i="4"/>
  <c r="R201" i="4"/>
  <c r="R69" i="4"/>
  <c r="R24" i="4"/>
  <c r="R87" i="4"/>
  <c r="R170" i="4"/>
  <c r="R199" i="4"/>
  <c r="R195" i="4"/>
  <c r="R181" i="4"/>
  <c r="R26" i="4"/>
  <c r="R91" i="4"/>
  <c r="R52" i="4"/>
  <c r="R158" i="4"/>
  <c r="R81" i="4"/>
  <c r="R72" i="4"/>
  <c r="R97" i="4"/>
  <c r="R99" i="4"/>
  <c r="R84" i="4"/>
  <c r="R171" i="4"/>
  <c r="B75" i="4"/>
  <c r="R68" i="4"/>
  <c r="R157" i="4"/>
  <c r="B76" i="4"/>
  <c r="R61" i="4"/>
  <c r="R39" i="4"/>
  <c r="R64" i="4"/>
  <c r="R21" i="4"/>
  <c r="R108" i="4"/>
  <c r="R159" i="4"/>
  <c r="R44" i="4"/>
  <c r="R186" i="4"/>
  <c r="R74" i="4"/>
  <c r="R14" i="4"/>
  <c r="R29" i="4"/>
  <c r="R107" i="4"/>
  <c r="R140" i="4"/>
  <c r="R124" i="4"/>
  <c r="R53" i="4"/>
  <c r="R150" i="4"/>
  <c r="R203" i="4"/>
  <c r="R202" i="4"/>
  <c r="R193" i="4"/>
  <c r="R165" i="4"/>
  <c r="R129" i="4"/>
  <c r="R71" i="4"/>
  <c r="R155" i="4"/>
  <c r="R162" i="4"/>
  <c r="R189" i="4"/>
  <c r="R75" i="4"/>
  <c r="R79" i="4"/>
  <c r="R200" i="4"/>
  <c r="R25" i="4"/>
  <c r="R183" i="4"/>
  <c r="R58" i="4"/>
  <c r="B74" i="4"/>
  <c r="U111" i="4" s="1"/>
  <c r="W111" i="4" s="1"/>
  <c r="R104" i="4"/>
  <c r="R31" i="4"/>
  <c r="R45" i="4"/>
  <c r="R76" i="4"/>
  <c r="R117" i="4"/>
  <c r="R86" i="4"/>
  <c r="R41" i="4"/>
  <c r="R122" i="4"/>
  <c r="R6" i="4"/>
  <c r="R178" i="4"/>
  <c r="R78" i="4"/>
  <c r="R192" i="4"/>
  <c r="R190" i="4"/>
  <c r="R12" i="4"/>
  <c r="R66" i="4"/>
  <c r="R96" i="4"/>
  <c r="R67" i="4"/>
  <c r="R130" i="4"/>
  <c r="R114" i="4"/>
  <c r="R49" i="4"/>
  <c r="R116" i="4"/>
  <c r="R176" i="4"/>
  <c r="R142" i="4"/>
  <c r="R15" i="4"/>
  <c r="R3" i="4"/>
  <c r="R113" i="4"/>
  <c r="R27" i="4"/>
  <c r="R94" i="4"/>
  <c r="R135" i="4"/>
  <c r="R123" i="4"/>
  <c r="R63" i="4"/>
  <c r="R185" i="4"/>
  <c r="R70" i="4"/>
  <c r="R153" i="4"/>
  <c r="R34" i="4"/>
  <c r="R88" i="4"/>
  <c r="R47" i="4"/>
  <c r="R40" i="4"/>
  <c r="R132" i="4"/>
  <c r="R92" i="4"/>
  <c r="R56" i="4"/>
  <c r="R77" i="4"/>
  <c r="R101" i="4"/>
  <c r="R51" i="4"/>
  <c r="R103" i="4"/>
  <c r="R174" i="4"/>
  <c r="R125" i="4"/>
  <c r="R73" i="4"/>
  <c r="B88" i="4"/>
  <c r="AM2" i="4" s="1"/>
  <c r="R98" i="4"/>
  <c r="R93" i="4"/>
  <c r="R22" i="4"/>
  <c r="R154" i="4"/>
  <c r="R152" i="4"/>
  <c r="R50" i="4"/>
  <c r="R11" i="4"/>
  <c r="R120" i="4"/>
  <c r="R194" i="4"/>
  <c r="R156" i="4"/>
  <c r="R110" i="4"/>
  <c r="R13" i="4"/>
  <c r="R46" i="4"/>
  <c r="R166" i="4"/>
  <c r="R35" i="4"/>
  <c r="R10" i="4"/>
  <c r="R133" i="4"/>
  <c r="R127" i="4"/>
  <c r="R28" i="4"/>
  <c r="R36" i="4"/>
  <c r="R16" i="4"/>
  <c r="R48" i="4"/>
  <c r="R126" i="4"/>
  <c r="R112" i="4"/>
  <c r="R18" i="4"/>
  <c r="R37" i="4"/>
  <c r="R119" i="4"/>
  <c r="R19" i="4"/>
  <c r="R147" i="4"/>
  <c r="R207" i="4"/>
  <c r="R188" i="4"/>
  <c r="R43" i="4"/>
  <c r="R196" i="4"/>
  <c r="R139" i="4"/>
  <c r="R5" i="4"/>
  <c r="R7" i="4"/>
  <c r="R141" i="4"/>
  <c r="R4" i="4"/>
  <c r="R89" i="4"/>
  <c r="R60" i="4"/>
  <c r="R109" i="4"/>
  <c r="R163" i="4"/>
  <c r="R182" i="4"/>
  <c r="R54" i="4"/>
  <c r="R148" i="4"/>
  <c r="R105" i="4"/>
  <c r="R121" i="4"/>
  <c r="R180" i="4"/>
  <c r="R168" i="4"/>
  <c r="R83" i="4"/>
  <c r="R151" i="4"/>
  <c r="R160" i="4"/>
  <c r="R167" i="4"/>
  <c r="R179" i="4"/>
  <c r="R134" i="4"/>
  <c r="R85" i="4"/>
  <c r="R205" i="4"/>
  <c r="R80" i="4"/>
  <c r="R210" i="4"/>
  <c r="R62" i="4"/>
  <c r="R212" i="4"/>
  <c r="R138" i="4"/>
  <c r="R128" i="4"/>
  <c r="R90" i="4"/>
  <c r="R164" i="4"/>
  <c r="R187" i="4"/>
  <c r="R143" i="4"/>
  <c r="R20" i="4"/>
  <c r="R111" i="4"/>
  <c r="R184" i="4"/>
  <c r="R175" i="4"/>
  <c r="R82" i="4"/>
  <c r="R136" i="4"/>
  <c r="R208" i="4"/>
  <c r="R23" i="4"/>
  <c r="R32" i="4"/>
  <c r="R209" i="4"/>
  <c r="B77" i="4"/>
  <c r="R57" i="4"/>
  <c r="R211" i="4"/>
  <c r="R100" i="4"/>
  <c r="R206" i="4"/>
  <c r="R8" i="4"/>
  <c r="R95" i="4"/>
  <c r="AS2" i="4"/>
  <c r="AS6" i="4"/>
  <c r="AT6" i="4" s="1"/>
  <c r="AS22" i="4"/>
  <c r="AT22" i="4" s="1"/>
  <c r="AS38" i="4"/>
  <c r="AT38" i="4" s="1"/>
  <c r="AS54" i="4"/>
  <c r="AT54" i="4" s="1"/>
  <c r="AS70" i="4"/>
  <c r="AT70" i="4" s="1"/>
  <c r="AS86" i="4"/>
  <c r="AT86" i="4" s="1"/>
  <c r="AS102" i="4"/>
  <c r="AT102" i="4" s="1"/>
  <c r="AS118" i="4"/>
  <c r="AT118" i="4" s="1"/>
  <c r="AS134" i="4"/>
  <c r="AT134" i="4" s="1"/>
  <c r="AS150" i="4"/>
  <c r="AT150" i="4" s="1"/>
  <c r="AS166" i="4"/>
  <c r="AT166" i="4" s="1"/>
  <c r="AS182" i="4"/>
  <c r="AT182" i="4" s="1"/>
  <c r="AS198" i="4"/>
  <c r="AT198" i="4" s="1"/>
  <c r="AS211" i="4"/>
  <c r="AT211" i="4" s="1"/>
  <c r="AS15" i="4"/>
  <c r="AT15" i="4" s="1"/>
  <c r="AS31" i="4"/>
  <c r="AT31" i="4" s="1"/>
  <c r="AS47" i="4"/>
  <c r="AT47" i="4" s="1"/>
  <c r="AS63" i="4"/>
  <c r="AT63" i="4" s="1"/>
  <c r="AS79" i="4"/>
  <c r="AT79" i="4" s="1"/>
  <c r="AS95" i="4"/>
  <c r="AT95" i="4" s="1"/>
  <c r="AS111" i="4"/>
  <c r="AT111" i="4" s="1"/>
  <c r="AS127" i="4"/>
  <c r="AT127" i="4" s="1"/>
  <c r="AS143" i="4"/>
  <c r="AT143" i="4" s="1"/>
  <c r="AS159" i="4"/>
  <c r="AT159" i="4" s="1"/>
  <c r="AS175" i="4"/>
  <c r="AT175" i="4" s="1"/>
  <c r="AS191" i="4"/>
  <c r="AT191" i="4" s="1"/>
  <c r="AS207" i="4"/>
  <c r="AT207" i="4" s="1"/>
  <c r="AS16" i="4"/>
  <c r="AT16" i="4" s="1"/>
  <c r="AS32" i="4"/>
  <c r="AT32" i="4" s="1"/>
  <c r="AS48" i="4"/>
  <c r="AT48" i="4" s="1"/>
  <c r="AS64" i="4"/>
  <c r="AT64" i="4" s="1"/>
  <c r="AS80" i="4"/>
  <c r="AT80" i="4" s="1"/>
  <c r="AS96" i="4"/>
  <c r="AT96" i="4" s="1"/>
  <c r="AS112" i="4"/>
  <c r="AT112" i="4" s="1"/>
  <c r="AS128" i="4"/>
  <c r="AT128" i="4" s="1"/>
  <c r="AS144" i="4"/>
  <c r="AT144" i="4" s="1"/>
  <c r="AS160" i="4"/>
  <c r="AT160" i="4" s="1"/>
  <c r="AS176" i="4"/>
  <c r="AT176" i="4" s="1"/>
  <c r="AS192" i="4"/>
  <c r="AT192" i="4" s="1"/>
  <c r="AS208" i="4"/>
  <c r="AT208" i="4" s="1"/>
  <c r="AS13" i="4"/>
  <c r="AT13" i="4" s="1"/>
  <c r="AS29" i="4"/>
  <c r="AT29" i="4" s="1"/>
  <c r="AS45" i="4"/>
  <c r="AT45" i="4" s="1"/>
  <c r="AS61" i="4"/>
  <c r="AT61" i="4" s="1"/>
  <c r="AS77" i="4"/>
  <c r="AT77" i="4" s="1"/>
  <c r="AS93" i="4"/>
  <c r="AT93" i="4" s="1"/>
  <c r="AS109" i="4"/>
  <c r="AT109" i="4" s="1"/>
  <c r="AS125" i="4"/>
  <c r="AT125" i="4" s="1"/>
  <c r="AS141" i="4"/>
  <c r="AT141" i="4" s="1"/>
  <c r="AS157" i="4"/>
  <c r="AT157" i="4" s="1"/>
  <c r="AS173" i="4"/>
  <c r="AT173" i="4" s="1"/>
  <c r="AS189" i="4"/>
  <c r="AT189" i="4" s="1"/>
  <c r="AS205" i="4"/>
  <c r="AT205" i="4" s="1"/>
  <c r="AS177" i="4"/>
  <c r="AT177" i="4" s="1"/>
  <c r="AS209" i="4"/>
  <c r="AT209" i="4" s="1"/>
  <c r="AS5" i="4"/>
  <c r="AT5" i="4" s="1"/>
  <c r="AS69" i="4"/>
  <c r="AT69" i="4" s="1"/>
  <c r="AS117" i="4"/>
  <c r="AT117" i="4" s="1"/>
  <c r="AS181" i="4"/>
  <c r="AT181" i="4" s="1"/>
  <c r="AS10" i="4"/>
  <c r="AT10" i="4" s="1"/>
  <c r="AS26" i="4"/>
  <c r="AT26" i="4" s="1"/>
  <c r="AS42" i="4"/>
  <c r="AT42" i="4" s="1"/>
  <c r="AS58" i="4"/>
  <c r="AT58" i="4" s="1"/>
  <c r="AS74" i="4"/>
  <c r="AT74" i="4" s="1"/>
  <c r="AS90" i="4"/>
  <c r="AT90" i="4" s="1"/>
  <c r="AS106" i="4"/>
  <c r="AT106" i="4" s="1"/>
  <c r="AS122" i="4"/>
  <c r="AT122" i="4" s="1"/>
  <c r="AS138" i="4"/>
  <c r="AT138" i="4" s="1"/>
  <c r="AS154" i="4"/>
  <c r="AT154" i="4" s="1"/>
  <c r="AS170" i="4"/>
  <c r="AT170" i="4" s="1"/>
  <c r="AS186" i="4"/>
  <c r="AT186" i="4" s="1"/>
  <c r="AS202" i="4"/>
  <c r="AT202" i="4" s="1"/>
  <c r="AS3" i="4"/>
  <c r="AT3" i="4" s="1"/>
  <c r="AS19" i="4"/>
  <c r="AT19" i="4" s="1"/>
  <c r="AS35" i="4"/>
  <c r="AT35" i="4" s="1"/>
  <c r="AS51" i="4"/>
  <c r="AT51" i="4" s="1"/>
  <c r="AS67" i="4"/>
  <c r="AT67" i="4" s="1"/>
  <c r="AS83" i="4"/>
  <c r="AT83" i="4" s="1"/>
  <c r="AS99" i="4"/>
  <c r="AT99" i="4" s="1"/>
  <c r="AS115" i="4"/>
  <c r="AT115" i="4" s="1"/>
  <c r="AS131" i="4"/>
  <c r="AT131" i="4" s="1"/>
  <c r="AS147" i="4"/>
  <c r="AT147" i="4" s="1"/>
  <c r="AS163" i="4"/>
  <c r="AT163" i="4" s="1"/>
  <c r="AS179" i="4"/>
  <c r="AT179" i="4" s="1"/>
  <c r="AS195" i="4"/>
  <c r="AT195" i="4" s="1"/>
  <c r="AS4" i="4"/>
  <c r="AT4" i="4" s="1"/>
  <c r="AS20" i="4"/>
  <c r="AT20" i="4" s="1"/>
  <c r="AS36" i="4"/>
  <c r="AT36" i="4" s="1"/>
  <c r="AS52" i="4"/>
  <c r="AT52" i="4" s="1"/>
  <c r="AS68" i="4"/>
  <c r="AT68" i="4" s="1"/>
  <c r="AS84" i="4"/>
  <c r="AT84" i="4" s="1"/>
  <c r="AS100" i="4"/>
  <c r="AT100" i="4" s="1"/>
  <c r="AS116" i="4"/>
  <c r="AT116" i="4" s="1"/>
  <c r="AS132" i="4"/>
  <c r="AT132" i="4" s="1"/>
  <c r="AS148" i="4"/>
  <c r="AT148" i="4" s="1"/>
  <c r="AS164" i="4"/>
  <c r="AT164" i="4" s="1"/>
  <c r="AS180" i="4"/>
  <c r="AT180" i="4" s="1"/>
  <c r="AS196" i="4"/>
  <c r="AT196" i="4" s="1"/>
  <c r="AS212" i="4"/>
  <c r="AT212" i="4" s="1"/>
  <c r="AS17" i="4"/>
  <c r="AT17" i="4" s="1"/>
  <c r="AS33" i="4"/>
  <c r="AT33" i="4" s="1"/>
  <c r="AS49" i="4"/>
  <c r="AT49" i="4" s="1"/>
  <c r="AS65" i="4"/>
  <c r="AT65" i="4" s="1"/>
  <c r="AS81" i="4"/>
  <c r="AT81" i="4" s="1"/>
  <c r="AS97" i="4"/>
  <c r="AT97" i="4" s="1"/>
  <c r="AS113" i="4"/>
  <c r="AT113" i="4" s="1"/>
  <c r="AS129" i="4"/>
  <c r="AT129" i="4" s="1"/>
  <c r="AS145" i="4"/>
  <c r="AT145" i="4" s="1"/>
  <c r="AS161" i="4"/>
  <c r="AT161" i="4" s="1"/>
  <c r="AS193" i="4"/>
  <c r="AT193" i="4" s="1"/>
  <c r="AS184" i="4"/>
  <c r="AT184" i="4" s="1"/>
  <c r="AS37" i="4"/>
  <c r="AT37" i="4" s="1"/>
  <c r="AS101" i="4"/>
  <c r="AT101" i="4" s="1"/>
  <c r="AS165" i="4"/>
  <c r="AT165" i="4" s="1"/>
  <c r="AS14" i="4"/>
  <c r="AT14" i="4" s="1"/>
  <c r="AS30" i="4"/>
  <c r="AT30" i="4" s="1"/>
  <c r="AS46" i="4"/>
  <c r="AT46" i="4" s="1"/>
  <c r="AS62" i="4"/>
  <c r="AT62" i="4" s="1"/>
  <c r="AS78" i="4"/>
  <c r="AT78" i="4" s="1"/>
  <c r="AS94" i="4"/>
  <c r="AT94" i="4" s="1"/>
  <c r="AS110" i="4"/>
  <c r="AT110" i="4" s="1"/>
  <c r="AS126" i="4"/>
  <c r="AT126" i="4" s="1"/>
  <c r="AS142" i="4"/>
  <c r="AT142" i="4" s="1"/>
  <c r="AS158" i="4"/>
  <c r="AT158" i="4" s="1"/>
  <c r="AS174" i="4"/>
  <c r="AT174" i="4" s="1"/>
  <c r="AS190" i="4"/>
  <c r="AT190" i="4" s="1"/>
  <c r="AS206" i="4"/>
  <c r="AT206" i="4" s="1"/>
  <c r="AS7" i="4"/>
  <c r="AT7" i="4" s="1"/>
  <c r="AS23" i="4"/>
  <c r="AT23" i="4" s="1"/>
  <c r="AS39" i="4"/>
  <c r="AT39" i="4" s="1"/>
  <c r="AS55" i="4"/>
  <c r="AT55" i="4" s="1"/>
  <c r="AS71" i="4"/>
  <c r="AT71" i="4" s="1"/>
  <c r="AS87" i="4"/>
  <c r="AT87" i="4" s="1"/>
  <c r="AS103" i="4"/>
  <c r="AT103" i="4" s="1"/>
  <c r="AS119" i="4"/>
  <c r="AT119" i="4" s="1"/>
  <c r="AS135" i="4"/>
  <c r="AT135" i="4" s="1"/>
  <c r="AS151" i="4"/>
  <c r="AT151" i="4" s="1"/>
  <c r="AS167" i="4"/>
  <c r="AT167" i="4" s="1"/>
  <c r="AS183" i="4"/>
  <c r="AT183" i="4" s="1"/>
  <c r="AS199" i="4"/>
  <c r="AT199" i="4" s="1"/>
  <c r="AS8" i="4"/>
  <c r="AT8" i="4" s="1"/>
  <c r="AS24" i="4"/>
  <c r="AT24" i="4" s="1"/>
  <c r="AS40" i="4"/>
  <c r="AT40" i="4" s="1"/>
  <c r="AS56" i="4"/>
  <c r="AT56" i="4" s="1"/>
  <c r="AS72" i="4"/>
  <c r="AT72" i="4" s="1"/>
  <c r="AS88" i="4"/>
  <c r="AT88" i="4" s="1"/>
  <c r="AS104" i="4"/>
  <c r="AT104" i="4" s="1"/>
  <c r="AS120" i="4"/>
  <c r="AT120" i="4" s="1"/>
  <c r="AS136" i="4"/>
  <c r="AT136" i="4" s="1"/>
  <c r="AS152" i="4"/>
  <c r="AT152" i="4" s="1"/>
  <c r="AS168" i="4"/>
  <c r="AT168" i="4" s="1"/>
  <c r="AS200" i="4"/>
  <c r="AT200" i="4" s="1"/>
  <c r="AS53" i="4"/>
  <c r="AT53" i="4" s="1"/>
  <c r="AS133" i="4"/>
  <c r="AT133" i="4" s="1"/>
  <c r="AS197" i="4"/>
  <c r="AT197" i="4" s="1"/>
  <c r="AS18" i="4"/>
  <c r="AT18" i="4" s="1"/>
  <c r="AS34" i="4"/>
  <c r="AT34" i="4" s="1"/>
  <c r="AS50" i="4"/>
  <c r="AT50" i="4" s="1"/>
  <c r="AS66" i="4"/>
  <c r="AT66" i="4" s="1"/>
  <c r="AS82" i="4"/>
  <c r="AT82" i="4" s="1"/>
  <c r="AS98" i="4"/>
  <c r="AT98" i="4" s="1"/>
  <c r="AS114" i="4"/>
  <c r="AT114" i="4" s="1"/>
  <c r="AS130" i="4"/>
  <c r="AT130" i="4" s="1"/>
  <c r="AS146" i="4"/>
  <c r="AT146" i="4" s="1"/>
  <c r="AS162" i="4"/>
  <c r="AT162" i="4" s="1"/>
  <c r="AS178" i="4"/>
  <c r="AT178" i="4" s="1"/>
  <c r="AS194" i="4"/>
  <c r="AT194" i="4" s="1"/>
  <c r="AS210" i="4"/>
  <c r="AT210" i="4" s="1"/>
  <c r="AS11" i="4"/>
  <c r="AT11" i="4" s="1"/>
  <c r="AS27" i="4"/>
  <c r="AT27" i="4" s="1"/>
  <c r="AS43" i="4"/>
  <c r="AT43" i="4" s="1"/>
  <c r="AS59" i="4"/>
  <c r="AT59" i="4" s="1"/>
  <c r="AS75" i="4"/>
  <c r="AT75" i="4" s="1"/>
  <c r="AS91" i="4"/>
  <c r="AT91" i="4" s="1"/>
  <c r="AS107" i="4"/>
  <c r="AT107" i="4" s="1"/>
  <c r="AS123" i="4"/>
  <c r="AT123" i="4" s="1"/>
  <c r="AS139" i="4"/>
  <c r="AT139" i="4" s="1"/>
  <c r="AS155" i="4"/>
  <c r="AT155" i="4" s="1"/>
  <c r="AS171" i="4"/>
  <c r="AT171" i="4" s="1"/>
  <c r="AS187" i="4"/>
  <c r="AT187" i="4" s="1"/>
  <c r="AS203" i="4"/>
  <c r="AT203" i="4" s="1"/>
  <c r="AS12" i="4"/>
  <c r="AT12" i="4" s="1"/>
  <c r="AS28" i="4"/>
  <c r="AT28" i="4" s="1"/>
  <c r="AS44" i="4"/>
  <c r="AT44" i="4" s="1"/>
  <c r="AS60" i="4"/>
  <c r="AT60" i="4" s="1"/>
  <c r="AS76" i="4"/>
  <c r="AT76" i="4" s="1"/>
  <c r="AS92" i="4"/>
  <c r="AT92" i="4" s="1"/>
  <c r="AS108" i="4"/>
  <c r="AT108" i="4" s="1"/>
  <c r="AS124" i="4"/>
  <c r="AT124" i="4" s="1"/>
  <c r="AS140" i="4"/>
  <c r="AT140" i="4" s="1"/>
  <c r="AS156" i="4"/>
  <c r="AT156" i="4" s="1"/>
  <c r="AS172" i="4"/>
  <c r="AT172" i="4" s="1"/>
  <c r="AS188" i="4"/>
  <c r="AT188" i="4" s="1"/>
  <c r="AS204" i="4"/>
  <c r="AT204" i="4" s="1"/>
  <c r="AS9" i="4"/>
  <c r="AT9" i="4" s="1"/>
  <c r="AS25" i="4"/>
  <c r="AT25" i="4" s="1"/>
  <c r="AS41" i="4"/>
  <c r="AT41" i="4" s="1"/>
  <c r="AS57" i="4"/>
  <c r="AT57" i="4" s="1"/>
  <c r="AS73" i="4"/>
  <c r="AT73" i="4" s="1"/>
  <c r="AS89" i="4"/>
  <c r="AT89" i="4" s="1"/>
  <c r="AS105" i="4"/>
  <c r="AT105" i="4" s="1"/>
  <c r="AS121" i="4"/>
  <c r="AT121" i="4" s="1"/>
  <c r="AS137" i="4"/>
  <c r="AT137" i="4" s="1"/>
  <c r="AS153" i="4"/>
  <c r="AT153" i="4" s="1"/>
  <c r="AS169" i="4"/>
  <c r="AT169" i="4" s="1"/>
  <c r="AS185" i="4"/>
  <c r="AT185" i="4" s="1"/>
  <c r="AS201" i="4"/>
  <c r="AT201" i="4" s="1"/>
  <c r="AS21" i="4"/>
  <c r="AT21" i="4" s="1"/>
  <c r="AS85" i="4"/>
  <c r="AT85" i="4" s="1"/>
  <c r="AS149" i="4"/>
  <c r="AT149" i="4" s="1"/>
  <c r="AT2" i="4"/>
  <c r="AV2" i="4" s="1"/>
  <c r="R144" i="4"/>
  <c r="R2" i="4"/>
  <c r="AM86" i="4"/>
  <c r="AO86" i="4" s="1"/>
  <c r="AQ86" i="4" s="1"/>
  <c r="T86" i="4" s="1"/>
  <c r="AM30" i="4"/>
  <c r="AO30" i="4" s="1"/>
  <c r="AP30" i="4" s="1"/>
  <c r="S30" i="4" s="1"/>
  <c r="N30" i="4" s="1"/>
  <c r="AM36" i="4"/>
  <c r="AO36" i="4" s="1"/>
  <c r="AQ36" i="4" s="1"/>
  <c r="T36" i="4" s="1"/>
  <c r="AM129" i="4"/>
  <c r="AO129" i="4" s="1"/>
  <c r="AP129" i="4" s="1"/>
  <c r="S129" i="4" s="1"/>
  <c r="N129" i="4" s="1"/>
  <c r="AM178" i="4"/>
  <c r="AO178" i="4" s="1"/>
  <c r="AP178" i="4" s="1"/>
  <c r="S178" i="4" s="1"/>
  <c r="N178" i="4" s="1"/>
  <c r="AM73" i="4"/>
  <c r="AO73" i="4" s="1"/>
  <c r="AP73" i="4" s="1"/>
  <c r="S73" i="4" s="1"/>
  <c r="N73" i="4" s="1"/>
  <c r="AM46" i="4"/>
  <c r="AO46" i="4" s="1"/>
  <c r="AM41" i="4"/>
  <c r="AO41" i="4" s="1"/>
  <c r="AQ41" i="4" s="1"/>
  <c r="T41" i="4" s="1"/>
  <c r="AM130" i="4"/>
  <c r="AO130" i="4" s="1"/>
  <c r="AQ130" i="4" s="1"/>
  <c r="T130" i="4" s="1"/>
  <c r="AM14" i="4"/>
  <c r="AO14" i="4" s="1"/>
  <c r="AQ14" i="4" s="1"/>
  <c r="T14" i="4" s="1"/>
  <c r="AM134" i="4"/>
  <c r="AO134" i="4" s="1"/>
  <c r="AQ134" i="4" s="1"/>
  <c r="T134" i="4" s="1"/>
  <c r="AM105" i="4"/>
  <c r="AO105" i="4" s="1"/>
  <c r="AP105" i="4" s="1"/>
  <c r="S105" i="4" s="1"/>
  <c r="N105" i="4" s="1"/>
  <c r="AM157" i="4"/>
  <c r="AO157" i="4" s="1"/>
  <c r="AP157" i="4" s="1"/>
  <c r="S157" i="4" s="1"/>
  <c r="N157" i="4" s="1"/>
  <c r="AM62" i="4"/>
  <c r="AO62" i="4" s="1"/>
  <c r="AQ62" i="4" s="1"/>
  <c r="T62" i="4" s="1"/>
  <c r="AM177" i="4"/>
  <c r="AO177" i="4" s="1"/>
  <c r="AP177" i="4" s="1"/>
  <c r="S177" i="4" s="1"/>
  <c r="N177" i="4" s="1"/>
  <c r="AM57" i="4"/>
  <c r="AO57" i="4" s="1"/>
  <c r="AM148" i="4"/>
  <c r="AO148" i="4" s="1"/>
  <c r="AQ148" i="4" s="1"/>
  <c r="T148" i="4" s="1"/>
  <c r="AM89" i="4"/>
  <c r="AO89" i="4" s="1"/>
  <c r="AP89" i="4" s="1"/>
  <c r="S89" i="4" s="1"/>
  <c r="N89" i="4" s="1"/>
  <c r="AM182" i="4"/>
  <c r="AO182" i="4" s="1"/>
  <c r="AQ182" i="4" s="1"/>
  <c r="T182" i="4" s="1"/>
  <c r="AM100" i="4"/>
  <c r="AO100" i="4" s="1"/>
  <c r="AP100" i="4" s="1"/>
  <c r="S100" i="4" s="1"/>
  <c r="N100" i="4" s="1"/>
  <c r="AM9" i="4"/>
  <c r="AO9" i="4" s="1"/>
  <c r="AP9" i="4" s="1"/>
  <c r="S9" i="4" s="1"/>
  <c r="N9" i="4" s="1"/>
  <c r="AM196" i="4"/>
  <c r="AO196" i="4" s="1"/>
  <c r="AP196" i="4" s="1"/>
  <c r="S196" i="4" s="1"/>
  <c r="N196" i="4" s="1"/>
  <c r="AM126" i="4"/>
  <c r="AO126" i="4" s="1"/>
  <c r="AQ126" i="4" s="1"/>
  <c r="T126" i="4" s="1"/>
  <c r="AM21" i="4"/>
  <c r="AO21" i="4" s="1"/>
  <c r="AP21" i="4" s="1"/>
  <c r="S21" i="4" s="1"/>
  <c r="N21" i="4" s="1"/>
  <c r="AM25" i="4"/>
  <c r="AO25" i="4" s="1"/>
  <c r="AQ25" i="4" s="1"/>
  <c r="T25" i="4" s="1"/>
  <c r="AM201" i="4"/>
  <c r="AO201" i="4" s="1"/>
  <c r="AP201" i="4" s="1"/>
  <c r="S201" i="4" s="1"/>
  <c r="N201" i="4" s="1"/>
  <c r="AM132" i="4"/>
  <c r="AO132" i="4" s="1"/>
  <c r="AQ132" i="4" s="1"/>
  <c r="T132" i="4" s="1"/>
  <c r="AM207" i="4"/>
  <c r="AO207" i="4" s="1"/>
  <c r="AM164" i="4"/>
  <c r="AO164" i="4" s="1"/>
  <c r="AP164" i="4" s="1"/>
  <c r="S164" i="4" s="1"/>
  <c r="N164" i="4" s="1"/>
  <c r="AM68" i="4"/>
  <c r="AO68" i="4" s="1"/>
  <c r="AQ68" i="4" s="1"/>
  <c r="T68" i="4" s="1"/>
  <c r="AM143" i="4"/>
  <c r="AO143" i="4" s="1"/>
  <c r="AQ143" i="4" s="1"/>
  <c r="T143" i="4" s="1"/>
  <c r="AM180" i="4"/>
  <c r="AO180" i="4" s="1"/>
  <c r="AQ180" i="4" s="1"/>
  <c r="T180" i="4" s="1"/>
  <c r="AM116" i="4"/>
  <c r="AO116" i="4" s="1"/>
  <c r="AP116" i="4" s="1"/>
  <c r="S116" i="4" s="1"/>
  <c r="N116" i="4" s="1"/>
  <c r="AM4" i="4"/>
  <c r="AO4" i="4" s="1"/>
  <c r="AP4" i="4" s="1"/>
  <c r="S4" i="4" s="1"/>
  <c r="N4" i="4" s="1"/>
  <c r="AM79" i="4"/>
  <c r="AO79" i="4" s="1"/>
  <c r="AQ79" i="4" s="1"/>
  <c r="T79" i="4" s="1"/>
  <c r="AM52" i="4"/>
  <c r="AO52" i="4" s="1"/>
  <c r="AP52" i="4" s="1"/>
  <c r="S52" i="4" s="1"/>
  <c r="N52" i="4" s="1"/>
  <c r="AM189" i="4"/>
  <c r="AO189" i="4" s="1"/>
  <c r="AQ189" i="4" s="1"/>
  <c r="T189" i="4" s="1"/>
  <c r="AM15" i="4"/>
  <c r="AO15" i="4" s="1"/>
  <c r="AQ15" i="4" s="1"/>
  <c r="T15" i="4" s="1"/>
  <c r="AM174" i="4"/>
  <c r="AO174" i="4" s="1"/>
  <c r="AQ174" i="4" s="1"/>
  <c r="T174" i="4" s="1"/>
  <c r="AM175" i="4"/>
  <c r="AO175" i="4" s="1"/>
  <c r="AQ175" i="4" s="1"/>
  <c r="T175" i="4" s="1"/>
  <c r="AM78" i="4"/>
  <c r="AO78" i="4" s="1"/>
  <c r="AM149" i="4"/>
  <c r="AO149" i="4" s="1"/>
  <c r="AP149" i="4" s="1"/>
  <c r="S149" i="4" s="1"/>
  <c r="N149" i="4" s="1"/>
  <c r="AM95" i="4"/>
  <c r="AO95" i="4" s="1"/>
  <c r="AQ95" i="4" s="1"/>
  <c r="T95" i="4" s="1"/>
  <c r="AM26" i="4"/>
  <c r="AO26" i="4" s="1"/>
  <c r="AQ26" i="4" s="1"/>
  <c r="T26" i="4" s="1"/>
  <c r="AM159" i="4"/>
  <c r="AO159" i="4" s="1"/>
  <c r="AP159" i="4" s="1"/>
  <c r="S159" i="4" s="1"/>
  <c r="N159" i="4" s="1"/>
  <c r="AM31" i="4"/>
  <c r="AO31" i="4" s="1"/>
  <c r="AP31" i="4" s="1"/>
  <c r="S31" i="4" s="1"/>
  <c r="N31" i="4" s="1"/>
  <c r="AM69" i="4"/>
  <c r="AO69" i="4" s="1"/>
  <c r="AQ69" i="4" s="1"/>
  <c r="T69" i="4" s="1"/>
  <c r="AM84" i="4"/>
  <c r="AO84" i="4" s="1"/>
  <c r="AQ84" i="4" s="1"/>
  <c r="T84" i="4" s="1"/>
  <c r="AM20" i="4"/>
  <c r="AO20" i="4" s="1"/>
  <c r="AP20" i="4" s="1"/>
  <c r="S20" i="4" s="1"/>
  <c r="N20" i="4" s="1"/>
  <c r="AM82" i="4"/>
  <c r="AO82" i="4" s="1"/>
  <c r="AP82" i="4" s="1"/>
  <c r="S82" i="4" s="1"/>
  <c r="N82" i="4" s="1"/>
  <c r="AM191" i="4"/>
  <c r="AO191" i="4" s="1"/>
  <c r="AQ191" i="4" s="1"/>
  <c r="T191" i="4" s="1"/>
  <c r="AM127" i="4"/>
  <c r="AO127" i="4" s="1"/>
  <c r="AM63" i="4"/>
  <c r="AO63" i="4" s="1"/>
  <c r="AM166" i="4"/>
  <c r="AO166" i="4" s="1"/>
  <c r="AP166" i="4" s="1"/>
  <c r="S166" i="4" s="1"/>
  <c r="N166" i="4" s="1"/>
  <c r="AM10" i="4"/>
  <c r="AO10" i="4" s="1"/>
  <c r="AM122" i="4"/>
  <c r="AO122" i="4" s="1"/>
  <c r="AQ122" i="4" s="1"/>
  <c r="T122" i="4" s="1"/>
  <c r="AM111" i="4"/>
  <c r="AO111" i="4" s="1"/>
  <c r="AP111" i="4" s="1"/>
  <c r="S111" i="4" s="1"/>
  <c r="N111" i="4" s="1"/>
  <c r="AM47" i="4"/>
  <c r="AO47" i="4" s="1"/>
  <c r="AP47" i="4" s="1"/>
  <c r="S47" i="4" s="1"/>
  <c r="N47" i="4" s="1"/>
  <c r="AM118" i="4"/>
  <c r="AO118" i="4" s="1"/>
  <c r="AP118" i="4" s="1"/>
  <c r="S118" i="4" s="1"/>
  <c r="N118" i="4" s="1"/>
  <c r="AM117" i="4"/>
  <c r="AO117" i="4" s="1"/>
  <c r="AP117" i="4" s="1"/>
  <c r="S117" i="4" s="1"/>
  <c r="N117" i="4" s="1"/>
  <c r="AM74" i="4"/>
  <c r="AO74" i="4" s="1"/>
  <c r="AQ74" i="4" s="1"/>
  <c r="T74" i="4" s="1"/>
  <c r="AM42" i="4"/>
  <c r="AO42" i="4" s="1"/>
  <c r="AQ42" i="4" s="1"/>
  <c r="T42" i="4" s="1"/>
  <c r="AM101" i="4"/>
  <c r="AO101" i="4" s="1"/>
  <c r="AM208" i="4"/>
  <c r="AO208" i="4" s="1"/>
  <c r="AQ208" i="4" s="1"/>
  <c r="T208" i="4" s="1"/>
  <c r="AM58" i="4"/>
  <c r="AO58" i="4" s="1"/>
  <c r="AP58" i="4" s="1"/>
  <c r="S58" i="4" s="1"/>
  <c r="N58" i="4" s="1"/>
  <c r="AM165" i="4"/>
  <c r="AO165" i="4" s="1"/>
  <c r="AP165" i="4" s="1"/>
  <c r="S165" i="4" s="1"/>
  <c r="N165" i="4" s="1"/>
  <c r="AM53" i="4"/>
  <c r="AO53" i="4" s="1"/>
  <c r="AP53" i="4" s="1"/>
  <c r="S53" i="4" s="1"/>
  <c r="N53" i="4" s="1"/>
  <c r="AM160" i="4"/>
  <c r="AO160" i="4" s="1"/>
  <c r="AM85" i="4"/>
  <c r="AO85" i="4" s="1"/>
  <c r="AM5" i="4"/>
  <c r="AO5" i="4" s="1"/>
  <c r="AQ5" i="4" s="1"/>
  <c r="T5" i="4" s="1"/>
  <c r="AM112" i="4"/>
  <c r="AO112" i="4" s="1"/>
  <c r="AM37" i="4"/>
  <c r="AO37" i="4" s="1"/>
  <c r="AM197" i="4"/>
  <c r="AO197" i="4" s="1"/>
  <c r="AP197" i="4" s="1"/>
  <c r="S197" i="4" s="1"/>
  <c r="N197" i="4" s="1"/>
  <c r="AM96" i="4"/>
  <c r="AO96" i="4" s="1"/>
  <c r="AQ96" i="4" s="1"/>
  <c r="T96" i="4" s="1"/>
  <c r="AM170" i="4"/>
  <c r="AO170" i="4" s="1"/>
  <c r="AP170" i="4" s="1"/>
  <c r="S170" i="4" s="1"/>
  <c r="N170" i="4" s="1"/>
  <c r="AM176" i="4"/>
  <c r="AO176" i="4" s="1"/>
  <c r="AP176" i="4" s="1"/>
  <c r="S176" i="4" s="1"/>
  <c r="N176" i="4" s="1"/>
  <c r="AM48" i="4"/>
  <c r="AO48" i="4" s="1"/>
  <c r="AP48" i="4" s="1"/>
  <c r="S48" i="4" s="1"/>
  <c r="N48" i="4" s="1"/>
  <c r="AM145" i="4"/>
  <c r="AO145" i="4" s="1"/>
  <c r="AP145" i="4" s="1"/>
  <c r="S145" i="4" s="1"/>
  <c r="N145" i="4" s="1"/>
  <c r="AM144" i="4"/>
  <c r="AO144" i="4" s="1"/>
  <c r="AM114" i="4"/>
  <c r="AO114" i="4" s="1"/>
  <c r="AM192" i="4"/>
  <c r="AO192" i="4" s="1"/>
  <c r="AP192" i="4" s="1"/>
  <c r="S192" i="4" s="1"/>
  <c r="N192" i="4" s="1"/>
  <c r="AM128" i="4"/>
  <c r="AO128" i="4" s="1"/>
  <c r="AP128" i="4" s="1"/>
  <c r="S128" i="4" s="1"/>
  <c r="N128" i="4" s="1"/>
  <c r="AM32" i="4"/>
  <c r="AO32" i="4" s="1"/>
  <c r="AQ32" i="4" s="1"/>
  <c r="T32" i="4" s="1"/>
  <c r="AM203" i="4"/>
  <c r="AO203" i="4" s="1"/>
  <c r="AP203" i="4" s="1"/>
  <c r="S203" i="4" s="1"/>
  <c r="N203" i="4" s="1"/>
  <c r="AM16" i="4"/>
  <c r="AO16" i="4" s="1"/>
  <c r="AP16" i="4" s="1"/>
  <c r="S16" i="4" s="1"/>
  <c r="N16" i="4" s="1"/>
  <c r="AM107" i="4"/>
  <c r="AO107" i="4" s="1"/>
  <c r="AP107" i="4" s="1"/>
  <c r="S107" i="4" s="1"/>
  <c r="N107" i="4" s="1"/>
  <c r="AM80" i="4"/>
  <c r="AO80" i="4" s="1"/>
  <c r="AQ80" i="4" s="1"/>
  <c r="T80" i="4" s="1"/>
  <c r="AM162" i="4"/>
  <c r="AO162" i="4" s="1"/>
  <c r="AP162" i="4" s="1"/>
  <c r="S162" i="4" s="1"/>
  <c r="N162" i="4" s="1"/>
  <c r="AM171" i="4"/>
  <c r="AO171" i="4" s="1"/>
  <c r="AP171" i="4" s="1"/>
  <c r="S171" i="4" s="1"/>
  <c r="N171" i="4" s="1"/>
  <c r="AM43" i="4"/>
  <c r="AO43" i="4" s="1"/>
  <c r="AQ43" i="4" s="1"/>
  <c r="T43" i="4" s="1"/>
  <c r="AM64" i="4"/>
  <c r="AO64" i="4" s="1"/>
  <c r="AM210" i="4"/>
  <c r="AO210" i="4" s="1"/>
  <c r="AP210" i="4" s="1"/>
  <c r="S210" i="4" s="1"/>
  <c r="N210" i="4" s="1"/>
  <c r="AM181" i="4"/>
  <c r="AO181" i="4" s="1"/>
  <c r="AQ181" i="4" s="1"/>
  <c r="T181" i="4" s="1"/>
  <c r="AM75" i="4"/>
  <c r="AO75" i="4" s="1"/>
  <c r="AQ75" i="4" s="1"/>
  <c r="T75" i="4" s="1"/>
  <c r="AM155" i="4"/>
  <c r="AO155" i="4" s="1"/>
  <c r="AM110" i="4"/>
  <c r="AO110" i="4" s="1"/>
  <c r="AQ110" i="4" s="1"/>
  <c r="T110" i="4" s="1"/>
  <c r="AM133" i="4"/>
  <c r="AO133" i="4" s="1"/>
  <c r="AP133" i="4" s="1"/>
  <c r="S133" i="4" s="1"/>
  <c r="N133" i="4" s="1"/>
  <c r="AM139" i="4"/>
  <c r="AO139" i="4" s="1"/>
  <c r="AP139" i="4" s="1"/>
  <c r="S139" i="4" s="1"/>
  <c r="N139" i="4" s="1"/>
  <c r="AM154" i="4"/>
  <c r="AO154" i="4" s="1"/>
  <c r="AP154" i="4" s="1"/>
  <c r="S154" i="4" s="1"/>
  <c r="N154" i="4" s="1"/>
  <c r="AM91" i="4"/>
  <c r="AO91" i="4" s="1"/>
  <c r="AM106" i="4"/>
  <c r="AO106" i="4" s="1"/>
  <c r="AP106" i="4" s="1"/>
  <c r="S106" i="4" s="1"/>
  <c r="N106" i="4" s="1"/>
  <c r="AM38" i="4"/>
  <c r="AO38" i="4" s="1"/>
  <c r="AQ38" i="4" s="1"/>
  <c r="T38" i="4" s="1"/>
  <c r="AM27" i="4"/>
  <c r="AO27" i="4" s="1"/>
  <c r="AP27" i="4" s="1"/>
  <c r="S27" i="4" s="1"/>
  <c r="N27" i="4" s="1"/>
  <c r="AM6" i="4"/>
  <c r="AO6" i="4" s="1"/>
  <c r="AP6" i="4" s="1"/>
  <c r="S6" i="4" s="1"/>
  <c r="N6" i="4" s="1"/>
  <c r="AM11" i="4"/>
  <c r="AO11" i="4" s="1"/>
  <c r="AQ11" i="4" s="1"/>
  <c r="T11" i="4" s="1"/>
  <c r="AM70" i="4"/>
  <c r="AO70" i="4" s="1"/>
  <c r="AQ70" i="4" s="1"/>
  <c r="T70" i="4" s="1"/>
  <c r="AM153" i="4"/>
  <c r="AO153" i="4" s="1"/>
  <c r="AQ153" i="4" s="1"/>
  <c r="T153" i="4" s="1"/>
  <c r="AM187" i="4"/>
  <c r="AO187" i="4" s="1"/>
  <c r="AP187" i="4" s="1"/>
  <c r="S187" i="4" s="1"/>
  <c r="N187" i="4" s="1"/>
  <c r="AM123" i="4"/>
  <c r="AO123" i="4" s="1"/>
  <c r="AQ123" i="4" s="1"/>
  <c r="T123" i="4" s="1"/>
  <c r="AM59" i="4"/>
  <c r="AO59" i="4" s="1"/>
  <c r="AQ59" i="4" s="1"/>
  <c r="T59" i="4" s="1"/>
  <c r="AM202" i="4"/>
  <c r="AO202" i="4" s="1"/>
  <c r="AP202" i="4" s="1"/>
  <c r="S202" i="4" s="1"/>
  <c r="N202" i="4" s="1"/>
  <c r="AM54" i="4"/>
  <c r="AO54" i="4" s="1"/>
  <c r="AQ54" i="4" s="1"/>
  <c r="T54" i="4" s="1"/>
  <c r="AM113" i="4"/>
  <c r="AO113" i="4" s="1"/>
  <c r="AQ113" i="4" s="1"/>
  <c r="T113" i="4" s="1"/>
  <c r="AM22" i="4"/>
  <c r="AO22" i="4" s="1"/>
  <c r="AQ22" i="4" s="1"/>
  <c r="T22" i="4" s="1"/>
  <c r="AM97" i="4"/>
  <c r="AO97" i="4" s="1"/>
  <c r="AP97" i="4" s="1"/>
  <c r="S97" i="4" s="1"/>
  <c r="N97" i="4" s="1"/>
  <c r="AM33" i="4"/>
  <c r="AO33" i="4" s="1"/>
  <c r="AP33" i="4" s="1"/>
  <c r="S33" i="4" s="1"/>
  <c r="N33" i="4" s="1"/>
  <c r="AM81" i="4"/>
  <c r="AO81" i="4" s="1"/>
  <c r="AQ81" i="4" s="1"/>
  <c r="T81" i="4" s="1"/>
  <c r="AM17" i="4"/>
  <c r="AO17" i="4" s="1"/>
  <c r="AP17" i="4" s="1"/>
  <c r="S17" i="4" s="1"/>
  <c r="N17" i="4" s="1"/>
  <c r="AM185" i="4"/>
  <c r="AO185" i="4" s="1"/>
  <c r="AP185" i="4" s="1"/>
  <c r="S185" i="4" s="1"/>
  <c r="N185" i="4" s="1"/>
  <c r="AM65" i="4"/>
  <c r="AO65" i="4" s="1"/>
  <c r="AP65" i="4" s="1"/>
  <c r="S65" i="4" s="1"/>
  <c r="N65" i="4" s="1"/>
  <c r="AM206" i="4"/>
  <c r="AO206" i="4" s="1"/>
  <c r="AP206" i="4" s="1"/>
  <c r="S206" i="4" s="1"/>
  <c r="N206" i="4" s="1"/>
  <c r="AM172" i="4"/>
  <c r="AO172" i="4" s="1"/>
  <c r="AQ172" i="4" s="1"/>
  <c r="T172" i="4" s="1"/>
  <c r="AM49" i="4"/>
  <c r="AO49" i="4" s="1"/>
  <c r="AQ49" i="4" s="1"/>
  <c r="T49" i="4" s="1"/>
  <c r="AM158" i="4"/>
  <c r="AO158" i="4" s="1"/>
  <c r="AP158" i="4" s="1"/>
  <c r="S158" i="4" s="1"/>
  <c r="N158" i="4" s="1"/>
  <c r="AM108" i="4"/>
  <c r="AO108" i="4" s="1"/>
  <c r="AP108" i="4" s="1"/>
  <c r="S108" i="4" s="1"/>
  <c r="N108" i="4" s="1"/>
  <c r="AM137" i="4"/>
  <c r="AO137" i="4" s="1"/>
  <c r="AP137" i="4" s="1"/>
  <c r="S137" i="4" s="1"/>
  <c r="N137" i="4" s="1"/>
  <c r="AM156" i="4"/>
  <c r="AO156" i="4" s="1"/>
  <c r="AP156" i="4" s="1"/>
  <c r="S156" i="4" s="1"/>
  <c r="N156" i="4" s="1"/>
  <c r="AM92" i="4"/>
  <c r="AO92" i="4" s="1"/>
  <c r="AQ92" i="4" s="1"/>
  <c r="T92" i="4" s="1"/>
  <c r="O92" i="4" s="1"/>
  <c r="AM204" i="4"/>
  <c r="AO204" i="4" s="1"/>
  <c r="AQ204" i="4" s="1"/>
  <c r="T204" i="4" s="1"/>
  <c r="AM140" i="4"/>
  <c r="AO140" i="4" s="1"/>
  <c r="AQ140" i="4" s="1"/>
  <c r="T140" i="4" s="1"/>
  <c r="AM76" i="4"/>
  <c r="AO76" i="4" s="1"/>
  <c r="AQ76" i="4" s="1"/>
  <c r="T76" i="4" s="1"/>
  <c r="AM188" i="4"/>
  <c r="AO188" i="4" s="1"/>
  <c r="AP188" i="4" s="1"/>
  <c r="S188" i="4" s="1"/>
  <c r="N188" i="4" s="1"/>
  <c r="AM124" i="4"/>
  <c r="AO124" i="4" s="1"/>
  <c r="AP124" i="4" s="1"/>
  <c r="S124" i="4" s="1"/>
  <c r="N124" i="4" s="1"/>
  <c r="AM12" i="4"/>
  <c r="AO12" i="4" s="1"/>
  <c r="AQ12" i="4" s="1"/>
  <c r="T12" i="4" s="1"/>
  <c r="AM60" i="4"/>
  <c r="AO60" i="4" s="1"/>
  <c r="AQ60" i="4" s="1"/>
  <c r="T60" i="4" s="1"/>
  <c r="AM44" i="4"/>
  <c r="AO44" i="4" s="1"/>
  <c r="AP44" i="4" s="1"/>
  <c r="S44" i="4" s="1"/>
  <c r="N44" i="4" s="1"/>
  <c r="AM209" i="4"/>
  <c r="AO209" i="4" s="1"/>
  <c r="AP209" i="4" s="1"/>
  <c r="S209" i="4" s="1"/>
  <c r="N209" i="4" s="1"/>
  <c r="AM28" i="4"/>
  <c r="AO28" i="4" s="1"/>
  <c r="AQ28" i="4" s="1"/>
  <c r="T28" i="4" s="1"/>
  <c r="AM121" i="4"/>
  <c r="AO121" i="4" s="1"/>
  <c r="AP121" i="4" s="1"/>
  <c r="S121" i="4" s="1"/>
  <c r="N121" i="4" s="1"/>
  <c r="AM150" i="4"/>
  <c r="AO150" i="4" s="1"/>
  <c r="AP150" i="4" s="1"/>
  <c r="S150" i="4" s="1"/>
  <c r="N150" i="4" s="1"/>
  <c r="AM102" i="4"/>
  <c r="AO102" i="4" s="1"/>
  <c r="AP102" i="4" s="1"/>
  <c r="S102" i="4" s="1"/>
  <c r="N102" i="4" s="1"/>
  <c r="AM183" i="4"/>
  <c r="AO183" i="4" s="1"/>
  <c r="AP183" i="4" s="1"/>
  <c r="S183" i="4" s="1"/>
  <c r="N183" i="4" s="1"/>
  <c r="AM198" i="4"/>
  <c r="AO198" i="4" s="1"/>
  <c r="AP198" i="4" s="1"/>
  <c r="S198" i="4" s="1"/>
  <c r="N198" i="4" s="1"/>
  <c r="AM173" i="4"/>
  <c r="AO173" i="4" s="1"/>
  <c r="AQ173" i="4" s="1"/>
  <c r="T173" i="4" s="1"/>
  <c r="AM119" i="4"/>
  <c r="AO119" i="4" s="1"/>
  <c r="AQ119" i="4" s="1"/>
  <c r="T119" i="4" s="1"/>
  <c r="AM199" i="4"/>
  <c r="AO199" i="4" s="1"/>
  <c r="AQ199" i="4" s="1"/>
  <c r="T199" i="4" s="1"/>
  <c r="AM39" i="4"/>
  <c r="AO39" i="4" s="1"/>
  <c r="AQ39" i="4" s="1"/>
  <c r="T39" i="4" s="1"/>
  <c r="AM151" i="4"/>
  <c r="AO151" i="4" s="1"/>
  <c r="AP151" i="4" s="1"/>
  <c r="S151" i="4" s="1"/>
  <c r="N151" i="4" s="1"/>
  <c r="AM135" i="4"/>
  <c r="AO135" i="4" s="1"/>
  <c r="AQ135" i="4" s="1"/>
  <c r="T135" i="4" s="1"/>
  <c r="AM98" i="4"/>
  <c r="AO98" i="4" s="1"/>
  <c r="AQ98" i="4" s="1"/>
  <c r="T98" i="4" s="1"/>
  <c r="AM167" i="4"/>
  <c r="AO167" i="4" s="1"/>
  <c r="AP167" i="4" s="1"/>
  <c r="S167" i="4" s="1"/>
  <c r="N167" i="4" s="1"/>
  <c r="AM87" i="4"/>
  <c r="AO87" i="4" s="1"/>
  <c r="AP87" i="4" s="1"/>
  <c r="S87" i="4" s="1"/>
  <c r="N87" i="4" s="1"/>
  <c r="AM71" i="4"/>
  <c r="AO71" i="4" s="1"/>
  <c r="AP71" i="4" s="1"/>
  <c r="S71" i="4" s="1"/>
  <c r="N71" i="4" s="1"/>
  <c r="AM61" i="4"/>
  <c r="AO61" i="4" s="1"/>
  <c r="AP61" i="4" s="1"/>
  <c r="S61" i="4" s="1"/>
  <c r="N61" i="4" s="1"/>
  <c r="AM103" i="4"/>
  <c r="AO103" i="4" s="1"/>
  <c r="AQ103" i="4" s="1"/>
  <c r="T103" i="4" s="1"/>
  <c r="AM7" i="4"/>
  <c r="AO7" i="4" s="1"/>
  <c r="AQ7" i="4" s="1"/>
  <c r="T7" i="4" s="1"/>
  <c r="AM193" i="4"/>
  <c r="AO193" i="4" s="1"/>
  <c r="AP193" i="4" s="1"/>
  <c r="S193" i="4" s="1"/>
  <c r="N193" i="4" s="1"/>
  <c r="AM169" i="4"/>
  <c r="AO169" i="4" s="1"/>
  <c r="AP169" i="4" s="1"/>
  <c r="S169" i="4" s="1"/>
  <c r="N169" i="4" s="1"/>
  <c r="AM23" i="4"/>
  <c r="AO23" i="4" s="1"/>
  <c r="AP23" i="4" s="1"/>
  <c r="S23" i="4" s="1"/>
  <c r="N23" i="4" s="1"/>
  <c r="AM66" i="4"/>
  <c r="AO66" i="4" s="1"/>
  <c r="AP66" i="4" s="1"/>
  <c r="S66" i="4" s="1"/>
  <c r="N66" i="4" s="1"/>
  <c r="AM141" i="4"/>
  <c r="AO141" i="4" s="1"/>
  <c r="AP141" i="4" s="1"/>
  <c r="S141" i="4" s="1"/>
  <c r="N141" i="4" s="1"/>
  <c r="AM29" i="4"/>
  <c r="AO29" i="4" s="1"/>
  <c r="AP29" i="4" s="1"/>
  <c r="S29" i="4" s="1"/>
  <c r="N29" i="4" s="1"/>
  <c r="AM184" i="4"/>
  <c r="AO184" i="4" s="1"/>
  <c r="AP184" i="4" s="1"/>
  <c r="S184" i="4" s="1"/>
  <c r="N184" i="4" s="1"/>
  <c r="AM50" i="4"/>
  <c r="AO50" i="4" s="1"/>
  <c r="AP50" i="4" s="1"/>
  <c r="S50" i="4" s="1"/>
  <c r="N50" i="4" s="1"/>
  <c r="AM93" i="4"/>
  <c r="AO93" i="4" s="1"/>
  <c r="AP93" i="4" s="1"/>
  <c r="S93" i="4" s="1"/>
  <c r="N93" i="4" s="1"/>
  <c r="AM13" i="4"/>
  <c r="AO13" i="4" s="1"/>
  <c r="AQ13" i="4" s="1"/>
  <c r="T13" i="4" s="1"/>
  <c r="AM120" i="4"/>
  <c r="AO120" i="4" s="1"/>
  <c r="AQ120" i="4" s="1"/>
  <c r="T120" i="4" s="1"/>
  <c r="AM55" i="4"/>
  <c r="AO55" i="4" s="1"/>
  <c r="AQ55" i="4" s="1"/>
  <c r="T55" i="4" s="1"/>
  <c r="AM190" i="4"/>
  <c r="AO190" i="4" s="1"/>
  <c r="AQ190" i="4" s="1"/>
  <c r="T190" i="4" s="1"/>
  <c r="AM18" i="4"/>
  <c r="AO18" i="4" s="1"/>
  <c r="AP18" i="4" s="1"/>
  <c r="S18" i="4" s="1"/>
  <c r="N18" i="4" s="1"/>
  <c r="AM77" i="4"/>
  <c r="AO77" i="4" s="1"/>
  <c r="AP77" i="4" s="1"/>
  <c r="S77" i="4" s="1"/>
  <c r="N77" i="4" s="1"/>
  <c r="AM194" i="4"/>
  <c r="AO194" i="4" s="1"/>
  <c r="AP194" i="4" s="1"/>
  <c r="S194" i="4" s="1"/>
  <c r="N194" i="4" s="1"/>
  <c r="AM8" i="4"/>
  <c r="AO8" i="4" s="1"/>
  <c r="AQ8" i="4" s="1"/>
  <c r="T8" i="4" s="1"/>
  <c r="AM125" i="4"/>
  <c r="AO125" i="4" s="1"/>
  <c r="AP125" i="4" s="1"/>
  <c r="S125" i="4" s="1"/>
  <c r="N125" i="4" s="1"/>
  <c r="AM104" i="4"/>
  <c r="AO104" i="4" s="1"/>
  <c r="AQ104" i="4" s="1"/>
  <c r="T104" i="4" s="1"/>
  <c r="AM152" i="4"/>
  <c r="AO152" i="4" s="1"/>
  <c r="AP152" i="4" s="1"/>
  <c r="S152" i="4" s="1"/>
  <c r="N152" i="4" s="1"/>
  <c r="AM186" i="4"/>
  <c r="AO186" i="4" s="1"/>
  <c r="AQ186" i="4" s="1"/>
  <c r="T186" i="4" s="1"/>
  <c r="AM88" i="4"/>
  <c r="AM212" i="4"/>
  <c r="AM94" i="4"/>
  <c r="AM168" i="4"/>
  <c r="AM142" i="4"/>
  <c r="AM34" i="4"/>
  <c r="AM109" i="4"/>
  <c r="AM45" i="4"/>
  <c r="AM146" i="4"/>
  <c r="AM200" i="4"/>
  <c r="AM136" i="4"/>
  <c r="AM72" i="4"/>
  <c r="AM56" i="4"/>
  <c r="AM205" i="4"/>
  <c r="AM161" i="4"/>
  <c r="AM40" i="4"/>
  <c r="AM138" i="4"/>
  <c r="AM179" i="4"/>
  <c r="AM24" i="4"/>
  <c r="AM90" i="4"/>
  <c r="AM163" i="4"/>
  <c r="AM115" i="4"/>
  <c r="AM99" i="4"/>
  <c r="AM211" i="4"/>
  <c r="AM147" i="4"/>
  <c r="AM83" i="4"/>
  <c r="AM195" i="4"/>
  <c r="AM131" i="4"/>
  <c r="AM67" i="4"/>
  <c r="AM35" i="4"/>
  <c r="AM19" i="4"/>
  <c r="AM3" i="4"/>
  <c r="AM51" i="4"/>
  <c r="U79" i="4"/>
  <c r="W79" i="4" s="1"/>
  <c r="AP112" i="4"/>
  <c r="S112" i="4" s="1"/>
  <c r="N112" i="4" s="1"/>
  <c r="AP155" i="4"/>
  <c r="S155" i="4" s="1"/>
  <c r="N155" i="4" s="1"/>
  <c r="AP32" i="4"/>
  <c r="S32" i="4" s="1"/>
  <c r="N32" i="4" s="1"/>
  <c r="AP127" i="4"/>
  <c r="S127" i="4" s="1"/>
  <c r="N127" i="4" s="1"/>
  <c r="AP144" i="4"/>
  <c r="S144" i="4" s="1"/>
  <c r="N144" i="4" s="1"/>
  <c r="AP64" i="4"/>
  <c r="S64" i="4" s="1"/>
  <c r="N64" i="4" s="1"/>
  <c r="AP14" i="4"/>
  <c r="S14" i="4" s="1"/>
  <c r="N14" i="4" s="1"/>
  <c r="AP174" i="4"/>
  <c r="S174" i="4" s="1"/>
  <c r="N174" i="4" s="1"/>
  <c r="AQ10" i="4"/>
  <c r="T10" i="4" s="1"/>
  <c r="AP10" i="4"/>
  <c r="S10" i="4" s="1"/>
  <c r="N10" i="4" s="1"/>
  <c r="AQ162" i="4"/>
  <c r="T162" i="4" s="1"/>
  <c r="AQ64" i="4"/>
  <c r="T64" i="4" s="1"/>
  <c r="AQ155" i="4"/>
  <c r="T155" i="4" s="1"/>
  <c r="AP62" i="4"/>
  <c r="S62" i="4" s="1"/>
  <c r="N62" i="4" s="1"/>
  <c r="AP126" i="4"/>
  <c r="S126" i="4" s="1"/>
  <c r="N126" i="4" s="1"/>
  <c r="AP143" i="4"/>
  <c r="S143" i="4" s="1"/>
  <c r="N143" i="4" s="1"/>
  <c r="AP69" i="4"/>
  <c r="S69" i="4" s="1"/>
  <c r="N69" i="4" s="1"/>
  <c r="AQ6" i="4"/>
  <c r="T6" i="4" s="1"/>
  <c r="AQ46" i="4"/>
  <c r="T46" i="4" s="1"/>
  <c r="AP46" i="4"/>
  <c r="S46" i="4" s="1"/>
  <c r="N46" i="4" s="1"/>
  <c r="AQ129" i="4"/>
  <c r="T129" i="4" s="1"/>
  <c r="AP191" i="4"/>
  <c r="S191" i="4" s="1"/>
  <c r="N191" i="4" s="1"/>
  <c r="AQ53" i="4"/>
  <c r="T53" i="4" s="1"/>
  <c r="AQ170" i="4"/>
  <c r="T170" i="4" s="1"/>
  <c r="AP80" i="4"/>
  <c r="S80" i="4" s="1"/>
  <c r="N80" i="4" s="1"/>
  <c r="AP153" i="4"/>
  <c r="S153" i="4" s="1"/>
  <c r="N153" i="4" s="1"/>
  <c r="AQ112" i="4"/>
  <c r="T112" i="4" s="1"/>
  <c r="AQ118" i="4"/>
  <c r="T118" i="4" s="1"/>
  <c r="AQ101" i="4"/>
  <c r="T101" i="4" s="1"/>
  <c r="AP101" i="4"/>
  <c r="S101" i="4" s="1"/>
  <c r="N101" i="4" s="1"/>
  <c r="U169" i="4"/>
  <c r="W169" i="4" s="1"/>
  <c r="U189" i="4"/>
  <c r="V189" i="4" s="1"/>
  <c r="U89" i="4"/>
  <c r="V89" i="4" s="1"/>
  <c r="U56" i="4"/>
  <c r="V56" i="4" s="1"/>
  <c r="U29" i="4"/>
  <c r="W29" i="4" s="1"/>
  <c r="U195" i="4"/>
  <c r="V195" i="4" s="1"/>
  <c r="U88" i="4"/>
  <c r="W88" i="4" s="1"/>
  <c r="U176" i="4" l="1"/>
  <c r="V176" i="4" s="1"/>
  <c r="U196" i="4"/>
  <c r="V196" i="4" s="1"/>
  <c r="AP76" i="4"/>
  <c r="S76" i="4" s="1"/>
  <c r="N76" i="4" s="1"/>
  <c r="AP134" i="4"/>
  <c r="S134" i="4" s="1"/>
  <c r="N134" i="4" s="1"/>
  <c r="AP182" i="4"/>
  <c r="S182" i="4" s="1"/>
  <c r="N182" i="4" s="1"/>
  <c r="AQ177" i="4"/>
  <c r="T177" i="4" s="1"/>
  <c r="AQ27" i="4"/>
  <c r="T27" i="4" s="1"/>
  <c r="AP95" i="4"/>
  <c r="S95" i="4" s="1"/>
  <c r="N95" i="4" s="1"/>
  <c r="AQ48" i="4"/>
  <c r="T48" i="4" s="1"/>
  <c r="U66" i="4"/>
  <c r="W66" i="4" s="1"/>
  <c r="U23" i="4"/>
  <c r="V23" i="4" s="1"/>
  <c r="U59" i="4"/>
  <c r="V59" i="4" s="1"/>
  <c r="U42" i="4"/>
  <c r="W42" i="4" s="1"/>
  <c r="U75" i="4"/>
  <c r="V75" i="4" s="1"/>
  <c r="U30" i="4"/>
  <c r="V30" i="4" s="1"/>
  <c r="U15" i="4"/>
  <c r="V15" i="4" s="1"/>
  <c r="U130" i="4"/>
  <c r="V130" i="4" s="1"/>
  <c r="U152" i="4"/>
  <c r="V152" i="4" s="1"/>
  <c r="U182" i="4"/>
  <c r="V182" i="4" s="1"/>
  <c r="U60" i="4"/>
  <c r="V60" i="4" s="1"/>
  <c r="U141" i="4"/>
  <c r="W141" i="4" s="1"/>
  <c r="U57" i="4"/>
  <c r="W57" i="4" s="1"/>
  <c r="U198" i="4"/>
  <c r="V198" i="4" s="1"/>
  <c r="U166" i="4"/>
  <c r="V166" i="4" s="1"/>
  <c r="U185" i="4"/>
  <c r="W185" i="4" s="1"/>
  <c r="U170" i="4"/>
  <c r="W170" i="4" s="1"/>
  <c r="U11" i="4"/>
  <c r="V11" i="4" s="1"/>
  <c r="U140" i="4"/>
  <c r="V140" i="4" s="1"/>
  <c r="U14" i="4"/>
  <c r="W14" i="4" s="1"/>
  <c r="U99" i="4"/>
  <c r="V99" i="4" s="1"/>
  <c r="U36" i="4"/>
  <c r="W36" i="4" s="1"/>
  <c r="U137" i="4"/>
  <c r="W137" i="4" s="1"/>
  <c r="U72" i="4"/>
  <c r="W72" i="4" s="1"/>
  <c r="U204" i="4"/>
  <c r="V204" i="4" s="1"/>
  <c r="U151" i="4"/>
  <c r="W151" i="4" s="1"/>
  <c r="U191" i="4"/>
  <c r="W191" i="4" s="1"/>
  <c r="AQ105" i="4"/>
  <c r="T105" i="4" s="1"/>
  <c r="AQ87" i="4"/>
  <c r="T87" i="4" s="1"/>
  <c r="AP86" i="4"/>
  <c r="S86" i="4" s="1"/>
  <c r="N86" i="4" s="1"/>
  <c r="AP85" i="4"/>
  <c r="S85" i="4" s="1"/>
  <c r="N85" i="4" s="1"/>
  <c r="AQ85" i="4"/>
  <c r="T85" i="4" s="1"/>
  <c r="O85" i="4" s="1"/>
  <c r="AQ78" i="4"/>
  <c r="T78" i="4" s="1"/>
  <c r="AP78" i="4"/>
  <c r="S78" i="4" s="1"/>
  <c r="N78" i="4" s="1"/>
  <c r="U24" i="4"/>
  <c r="V24" i="4" s="1"/>
  <c r="U212" i="4"/>
  <c r="W212" i="4" s="1"/>
  <c r="U157" i="4"/>
  <c r="W157" i="4" s="1"/>
  <c r="U43" i="4"/>
  <c r="V43" i="4" s="1"/>
  <c r="U150" i="4"/>
  <c r="V150" i="4" s="1"/>
  <c r="U201" i="4"/>
  <c r="W201" i="4" s="1"/>
  <c r="U73" i="4"/>
  <c r="V73" i="4" s="1"/>
  <c r="U32" i="4"/>
  <c r="V32" i="4" s="1"/>
  <c r="U61" i="4"/>
  <c r="V61" i="4" s="1"/>
  <c r="U92" i="4"/>
  <c r="V92" i="4" s="1"/>
  <c r="U98" i="4"/>
  <c r="V98" i="4" s="1"/>
  <c r="U81" i="4"/>
  <c r="V81" i="4" s="1"/>
  <c r="U12" i="4"/>
  <c r="W12" i="4" s="1"/>
  <c r="U7" i="4"/>
  <c r="W7" i="4" s="1"/>
  <c r="U90" i="4"/>
  <c r="W90" i="4" s="1"/>
  <c r="U133" i="4"/>
  <c r="V133" i="4" s="1"/>
  <c r="AP181" i="4"/>
  <c r="S181" i="4" s="1"/>
  <c r="N181" i="4" s="1"/>
  <c r="U49" i="4"/>
  <c r="W49" i="4" s="1"/>
  <c r="U119" i="4"/>
  <c r="V119" i="4" s="1"/>
  <c r="AP114" i="4"/>
  <c r="S114" i="4" s="1"/>
  <c r="N114" i="4" s="1"/>
  <c r="AQ114" i="4"/>
  <c r="T114" i="4" s="1"/>
  <c r="O114" i="4" s="1"/>
  <c r="AP37" i="4"/>
  <c r="S37" i="4" s="1"/>
  <c r="N37" i="4" s="1"/>
  <c r="AQ37" i="4"/>
  <c r="T37" i="4" s="1"/>
  <c r="O37" i="4" s="1"/>
  <c r="AP207" i="4"/>
  <c r="S207" i="4" s="1"/>
  <c r="N207" i="4" s="1"/>
  <c r="AQ207" i="4"/>
  <c r="T207" i="4" s="1"/>
  <c r="U203" i="4"/>
  <c r="U115" i="4"/>
  <c r="W115" i="4" s="1"/>
  <c r="U172" i="4"/>
  <c r="W172" i="4" s="1"/>
  <c r="U159" i="4"/>
  <c r="V159" i="4" s="1"/>
  <c r="U184" i="4"/>
  <c r="W184" i="4" s="1"/>
  <c r="U70" i="4"/>
  <c r="V70" i="4" s="1"/>
  <c r="U84" i="4"/>
  <c r="W84" i="4" s="1"/>
  <c r="U135" i="4"/>
  <c r="W135" i="4" s="1"/>
  <c r="U50" i="4"/>
  <c r="V50" i="4" s="1"/>
  <c r="U177" i="4"/>
  <c r="W177" i="4" s="1"/>
  <c r="U17" i="4"/>
  <c r="V17" i="4" s="1"/>
  <c r="U19" i="4"/>
  <c r="W19" i="4" s="1"/>
  <c r="U211" i="4"/>
  <c r="W211" i="4" s="1"/>
  <c r="U103" i="4"/>
  <c r="V103" i="4" s="1"/>
  <c r="U53" i="4"/>
  <c r="V53" i="4" s="1"/>
  <c r="U25" i="4"/>
  <c r="V25" i="4" s="1"/>
  <c r="U118" i="4"/>
  <c r="V118" i="4" s="1"/>
  <c r="U210" i="4"/>
  <c r="V210" i="4" s="1"/>
  <c r="U6" i="4"/>
  <c r="V6" i="4" s="1"/>
  <c r="U208" i="4"/>
  <c r="V208" i="4" s="1"/>
  <c r="U145" i="4"/>
  <c r="W145" i="4" s="1"/>
  <c r="U18" i="4"/>
  <c r="W18" i="4" s="1"/>
  <c r="U146" i="4"/>
  <c r="W146" i="4" s="1"/>
  <c r="U187" i="4"/>
  <c r="W187" i="4" s="1"/>
  <c r="U105" i="4"/>
  <c r="V105" i="4" s="1"/>
  <c r="U76" i="4"/>
  <c r="W76" i="4" s="1"/>
  <c r="U22" i="4"/>
  <c r="V22" i="4" s="1"/>
  <c r="U64" i="4"/>
  <c r="W64" i="4" s="1"/>
  <c r="U55" i="4"/>
  <c r="W55" i="4" s="1"/>
  <c r="U173" i="4"/>
  <c r="V173" i="4" s="1"/>
  <c r="U202" i="4"/>
  <c r="W202" i="4" s="1"/>
  <c r="U28" i="4"/>
  <c r="V28" i="4" s="1"/>
  <c r="U48" i="4"/>
  <c r="V48" i="4" s="1"/>
  <c r="U5" i="4"/>
  <c r="V5" i="4" s="1"/>
  <c r="U2" i="4"/>
  <c r="W2" i="4" s="1"/>
  <c r="AQ210" i="4"/>
  <c r="T210" i="4" s="1"/>
  <c r="O210" i="4" s="1"/>
  <c r="AP175" i="4"/>
  <c r="S175" i="4" s="1"/>
  <c r="N175" i="4" s="1"/>
  <c r="AP84" i="4"/>
  <c r="S84" i="4" s="1"/>
  <c r="N84" i="4" s="1"/>
  <c r="AQ66" i="4"/>
  <c r="T66" i="4" s="1"/>
  <c r="AQ117" i="4"/>
  <c r="T117" i="4" s="1"/>
  <c r="O117" i="4" s="1"/>
  <c r="AP122" i="4"/>
  <c r="S122" i="4" s="1"/>
  <c r="N122" i="4" s="1"/>
  <c r="AQ58" i="4"/>
  <c r="T58" i="4" s="1"/>
  <c r="AP173" i="4"/>
  <c r="S173" i="4" s="1"/>
  <c r="N173" i="4" s="1"/>
  <c r="AQ21" i="4"/>
  <c r="T21" i="4" s="1"/>
  <c r="U200" i="4"/>
  <c r="V200" i="4" s="1"/>
  <c r="U167" i="4"/>
  <c r="W167" i="4" s="1"/>
  <c r="U131" i="4"/>
  <c r="V131" i="4" s="1"/>
  <c r="AQ63" i="4"/>
  <c r="T63" i="4" s="1"/>
  <c r="O63" i="4" s="1"/>
  <c r="AP63" i="4"/>
  <c r="S63" i="4" s="1"/>
  <c r="N63" i="4" s="1"/>
  <c r="U120" i="4"/>
  <c r="W120" i="4" s="1"/>
  <c r="U68" i="4"/>
  <c r="W68" i="4" s="1"/>
  <c r="U87" i="4"/>
  <c r="W87" i="4" s="1"/>
  <c r="U126" i="4"/>
  <c r="W126" i="4" s="1"/>
  <c r="U101" i="4"/>
  <c r="V101" i="4" s="1"/>
  <c r="U158" i="4"/>
  <c r="W158" i="4" s="1"/>
  <c r="U139" i="4"/>
  <c r="V139" i="4" s="1"/>
  <c r="U39" i="4"/>
  <c r="V39" i="4" s="1"/>
  <c r="U46" i="4"/>
  <c r="W46" i="4" s="1"/>
  <c r="U52" i="4"/>
  <c r="W52" i="4" s="1"/>
  <c r="U45" i="4"/>
  <c r="W45" i="4" s="1"/>
  <c r="U112" i="4"/>
  <c r="V112" i="4" s="1"/>
  <c r="U106" i="4"/>
  <c r="W106" i="4" s="1"/>
  <c r="U178" i="4"/>
  <c r="V178" i="4" s="1"/>
  <c r="U82" i="4"/>
  <c r="W82" i="4" s="1"/>
  <c r="U143" i="4"/>
  <c r="V143" i="4" s="1"/>
  <c r="U8" i="4"/>
  <c r="V8" i="4" s="1"/>
  <c r="U123" i="4"/>
  <c r="W123" i="4" s="1"/>
  <c r="U95" i="4"/>
  <c r="V95" i="4" s="1"/>
  <c r="U114" i="4"/>
  <c r="V114" i="4" s="1"/>
  <c r="U91" i="4"/>
  <c r="W91" i="4" s="1"/>
  <c r="U180" i="4"/>
  <c r="V180" i="4" s="1"/>
  <c r="U65" i="4"/>
  <c r="W65" i="4" s="1"/>
  <c r="U96" i="4"/>
  <c r="V96" i="4" s="1"/>
  <c r="U27" i="4"/>
  <c r="W27" i="4" s="1"/>
  <c r="U147" i="4"/>
  <c r="V147" i="4" s="1"/>
  <c r="U183" i="4"/>
  <c r="W183" i="4" s="1"/>
  <c r="U116" i="4"/>
  <c r="W116" i="4" s="1"/>
  <c r="U128" i="4"/>
  <c r="W128" i="4" s="1"/>
  <c r="U108" i="4"/>
  <c r="W108" i="4" s="1"/>
  <c r="U127" i="4"/>
  <c r="V127" i="4" s="1"/>
  <c r="U100" i="4"/>
  <c r="W100" i="4" s="1"/>
  <c r="U13" i="4"/>
  <c r="V13" i="4" s="1"/>
  <c r="U80" i="4"/>
  <c r="W80" i="4" s="1"/>
  <c r="U44" i="4"/>
  <c r="W44" i="4" s="1"/>
  <c r="U67" i="4"/>
  <c r="V67" i="4" s="1"/>
  <c r="U117" i="4"/>
  <c r="V117" i="4" s="1"/>
  <c r="U154" i="4"/>
  <c r="V154" i="4" s="1"/>
  <c r="U33" i="4"/>
  <c r="W33" i="4" s="1"/>
  <c r="U97" i="4"/>
  <c r="W97" i="4" s="1"/>
  <c r="U113" i="4"/>
  <c r="W113" i="4" s="1"/>
  <c r="U129" i="4"/>
  <c r="W129" i="4" s="1"/>
  <c r="U102" i="4"/>
  <c r="V102" i="4" s="1"/>
  <c r="U10" i="4"/>
  <c r="W10" i="4" s="1"/>
  <c r="U193" i="4"/>
  <c r="V193" i="4" s="1"/>
  <c r="U175" i="4"/>
  <c r="V175" i="4" s="1"/>
  <c r="U110" i="4"/>
  <c r="V110" i="4" s="1"/>
  <c r="U181" i="4"/>
  <c r="V181" i="4" s="1"/>
  <c r="U107" i="4"/>
  <c r="W107" i="4" s="1"/>
  <c r="U171" i="4"/>
  <c r="V171" i="4" s="1"/>
  <c r="U165" i="4"/>
  <c r="V165" i="4" s="1"/>
  <c r="U161" i="4"/>
  <c r="W161" i="4" s="1"/>
  <c r="U164" i="4"/>
  <c r="V164" i="4" s="1"/>
  <c r="U155" i="4"/>
  <c r="V155" i="4" s="1"/>
  <c r="U132" i="4"/>
  <c r="V132" i="4" s="1"/>
  <c r="U31" i="4"/>
  <c r="V31" i="4" s="1"/>
  <c r="U9" i="4"/>
  <c r="U62" i="4"/>
  <c r="W62" i="4" s="1"/>
  <c r="U194" i="4"/>
  <c r="W194" i="4" s="1"/>
  <c r="U93" i="4"/>
  <c r="V93" i="4" s="1"/>
  <c r="U168" i="4"/>
  <c r="V168" i="4" s="1"/>
  <c r="U205" i="4"/>
  <c r="V205" i="4" s="1"/>
  <c r="U21" i="4"/>
  <c r="W21" i="4" s="1"/>
  <c r="U207" i="4"/>
  <c r="W207" i="4" s="1"/>
  <c r="U54" i="4"/>
  <c r="W54" i="4" s="1"/>
  <c r="U156" i="4"/>
  <c r="W156" i="4" s="1"/>
  <c r="U197" i="4"/>
  <c r="V197" i="4" s="1"/>
  <c r="U209" i="4"/>
  <c r="V209" i="4" s="1"/>
  <c r="U142" i="4"/>
  <c r="V142" i="4" s="1"/>
  <c r="U134" i="4"/>
  <c r="V134" i="4" s="1"/>
  <c r="U3" i="4"/>
  <c r="W3" i="4" s="1"/>
  <c r="U192" i="4"/>
  <c r="W192" i="4" s="1"/>
  <c r="U41" i="4"/>
  <c r="W41" i="4" s="1"/>
  <c r="U121" i="4"/>
  <c r="W121" i="4" s="1"/>
  <c r="U78" i="4"/>
  <c r="V78" i="4" s="1"/>
  <c r="U86" i="4"/>
  <c r="V86" i="4" s="1"/>
  <c r="U125" i="4"/>
  <c r="V125" i="4" s="1"/>
  <c r="U85" i="4"/>
  <c r="W85" i="4" s="1"/>
  <c r="AP130" i="4"/>
  <c r="S130" i="4" s="1"/>
  <c r="N130" i="4" s="1"/>
  <c r="AQ193" i="4"/>
  <c r="T193" i="4" s="1"/>
  <c r="O193" i="4" s="1"/>
  <c r="AP123" i="4"/>
  <c r="S123" i="4" s="1"/>
  <c r="N123" i="4" s="1"/>
  <c r="AQ9" i="4"/>
  <c r="T9" i="4" s="1"/>
  <c r="O9" i="4" s="1"/>
  <c r="U37" i="4"/>
  <c r="W37" i="4" s="1"/>
  <c r="U179" i="4"/>
  <c r="W179" i="4" s="1"/>
  <c r="AP91" i="4"/>
  <c r="S91" i="4" s="1"/>
  <c r="N91" i="4" s="1"/>
  <c r="AQ91" i="4"/>
  <c r="T91" i="4" s="1"/>
  <c r="O91" i="4" s="1"/>
  <c r="AP160" i="4"/>
  <c r="S160" i="4" s="1"/>
  <c r="N160" i="4" s="1"/>
  <c r="AQ160" i="4"/>
  <c r="T160" i="4" s="1"/>
  <c r="O160" i="4" s="1"/>
  <c r="AP57" i="4"/>
  <c r="S57" i="4" s="1"/>
  <c r="N57" i="4" s="1"/>
  <c r="AQ57" i="4"/>
  <c r="T57" i="4" s="1"/>
  <c r="O57" i="4" s="1"/>
  <c r="U69" i="4"/>
  <c r="V69" i="4" s="1"/>
  <c r="U34" i="4"/>
  <c r="V34" i="4" s="1"/>
  <c r="U16" i="4"/>
  <c r="W16" i="4" s="1"/>
  <c r="U20" i="4"/>
  <c r="W20" i="4" s="1"/>
  <c r="U71" i="4"/>
  <c r="V71" i="4" s="1"/>
  <c r="U77" i="4"/>
  <c r="V77" i="4" s="1"/>
  <c r="U58" i="4"/>
  <c r="V58" i="4" s="1"/>
  <c r="U162" i="4"/>
  <c r="W162" i="4" s="1"/>
  <c r="U160" i="4"/>
  <c r="W160" i="4" s="1"/>
  <c r="U63" i="4"/>
  <c r="V63" i="4" s="1"/>
  <c r="U138" i="4"/>
  <c r="W138" i="4" s="1"/>
  <c r="U4" i="4"/>
  <c r="V4" i="4" s="1"/>
  <c r="U122" i="4"/>
  <c r="W122" i="4" s="1"/>
  <c r="U206" i="4"/>
  <c r="V206" i="4" s="1"/>
  <c r="U186" i="4"/>
  <c r="V186" i="4" s="1"/>
  <c r="U51" i="4"/>
  <c r="V51" i="4" s="1"/>
  <c r="U74" i="4"/>
  <c r="W74" i="4" s="1"/>
  <c r="U188" i="4"/>
  <c r="W188" i="4" s="1"/>
  <c r="U163" i="4"/>
  <c r="V163" i="4" s="1"/>
  <c r="U40" i="4"/>
  <c r="W40" i="4" s="1"/>
  <c r="U199" i="4"/>
  <c r="W199" i="4" s="1"/>
  <c r="U153" i="4"/>
  <c r="V153" i="4" s="1"/>
  <c r="U104" i="4"/>
  <c r="V104" i="4" s="1"/>
  <c r="U47" i="4"/>
  <c r="W47" i="4" s="1"/>
  <c r="U94" i="4"/>
  <c r="V94" i="4" s="1"/>
  <c r="U124" i="4"/>
  <c r="V124" i="4" s="1"/>
  <c r="U190" i="4"/>
  <c r="V190" i="4" s="1"/>
  <c r="U26" i="4"/>
  <c r="V26" i="4" s="1"/>
  <c r="U38" i="4"/>
  <c r="V38" i="4" s="1"/>
  <c r="U148" i="4"/>
  <c r="W148" i="4" s="1"/>
  <c r="U35" i="4"/>
  <c r="V35" i="4" s="1"/>
  <c r="U144" i="4"/>
  <c r="V144" i="4" s="1"/>
  <c r="U109" i="4"/>
  <c r="V109" i="4" s="1"/>
  <c r="U174" i="4"/>
  <c r="V174" i="4" s="1"/>
  <c r="AQ203" i="4"/>
  <c r="T203" i="4" s="1"/>
  <c r="AQ176" i="4"/>
  <c r="T176" i="4" s="1"/>
  <c r="O176" i="4" s="1"/>
  <c r="AQ65" i="4"/>
  <c r="T65" i="4" s="1"/>
  <c r="O65" i="4" s="1"/>
  <c r="AQ44" i="4"/>
  <c r="T44" i="4" s="1"/>
  <c r="AP110" i="4"/>
  <c r="S110" i="4" s="1"/>
  <c r="N110" i="4" s="1"/>
  <c r="AQ116" i="4"/>
  <c r="T116" i="4" s="1"/>
  <c r="O116" i="4" s="1"/>
  <c r="U136" i="4"/>
  <c r="V136" i="4" s="1"/>
  <c r="U149" i="4"/>
  <c r="W149" i="4" s="1"/>
  <c r="U83" i="4"/>
  <c r="W83" i="4" s="1"/>
  <c r="AP5" i="4"/>
  <c r="S5" i="4" s="1"/>
  <c r="N5" i="4" s="1"/>
  <c r="AP15" i="4"/>
  <c r="S15" i="4" s="1"/>
  <c r="N15" i="4" s="1"/>
  <c r="AQ209" i="4"/>
  <c r="T209" i="4" s="1"/>
  <c r="O209" i="4" s="1"/>
  <c r="AQ82" i="4"/>
  <c r="T82" i="4" s="1"/>
  <c r="O82" i="4" s="1"/>
  <c r="AQ178" i="4"/>
  <c r="T178" i="4" s="1"/>
  <c r="O178" i="4" s="1"/>
  <c r="AQ157" i="4"/>
  <c r="T157" i="4" s="1"/>
  <c r="O157" i="4" s="1"/>
  <c r="AQ73" i="4"/>
  <c r="T73" i="4" s="1"/>
  <c r="O73" i="4" s="1"/>
  <c r="AQ106" i="4"/>
  <c r="T106" i="4" s="1"/>
  <c r="O106" i="4" s="1"/>
  <c r="AQ197" i="4"/>
  <c r="T197" i="4" s="1"/>
  <c r="O197" i="4" s="1"/>
  <c r="AP25" i="4"/>
  <c r="S25" i="4" s="1"/>
  <c r="N25" i="4" s="1"/>
  <c r="AQ159" i="4"/>
  <c r="T159" i="4" s="1"/>
  <c r="O159" i="4" s="1"/>
  <c r="AQ16" i="4"/>
  <c r="T16" i="4" s="1"/>
  <c r="O16" i="4" s="1"/>
  <c r="AP11" i="4"/>
  <c r="S11" i="4" s="1"/>
  <c r="N11" i="4" s="1"/>
  <c r="AQ165" i="4"/>
  <c r="T165" i="4" s="1"/>
  <c r="O165" i="4" s="1"/>
  <c r="AQ141" i="4"/>
  <c r="T141" i="4" s="1"/>
  <c r="O141" i="4" s="1"/>
  <c r="AQ30" i="4"/>
  <c r="T30" i="4" s="1"/>
  <c r="O30" i="4" s="1"/>
  <c r="AQ108" i="4"/>
  <c r="T108" i="4" s="1"/>
  <c r="O108" i="4" s="1"/>
  <c r="AQ47" i="4"/>
  <c r="T47" i="4" s="1"/>
  <c r="O47" i="4" s="1"/>
  <c r="AQ102" i="4"/>
  <c r="T102" i="4" s="1"/>
  <c r="O102" i="4" s="1"/>
  <c r="AQ166" i="4"/>
  <c r="T166" i="4" s="1"/>
  <c r="O166" i="4" s="1"/>
  <c r="AQ150" i="4"/>
  <c r="T150" i="4" s="1"/>
  <c r="O150" i="4" s="1"/>
  <c r="AQ124" i="4"/>
  <c r="T124" i="4" s="1"/>
  <c r="O124" i="4" s="1"/>
  <c r="AQ149" i="4"/>
  <c r="T149" i="4" s="1"/>
  <c r="O149" i="4" s="1"/>
  <c r="AQ201" i="4"/>
  <c r="T201" i="4" s="1"/>
  <c r="O201" i="4" s="1"/>
  <c r="AQ89" i="4"/>
  <c r="T89" i="4" s="1"/>
  <c r="O89" i="4" s="1"/>
  <c r="W140" i="4"/>
  <c r="AP113" i="4"/>
  <c r="S113" i="4" s="1"/>
  <c r="N113" i="4" s="1"/>
  <c r="AQ107" i="4"/>
  <c r="T107" i="4" s="1"/>
  <c r="O107" i="4" s="1"/>
  <c r="AQ206" i="4"/>
  <c r="T206" i="4" s="1"/>
  <c r="O206" i="4" s="1"/>
  <c r="AP54" i="4"/>
  <c r="S54" i="4" s="1"/>
  <c r="N54" i="4" s="1"/>
  <c r="AP81" i="4"/>
  <c r="S81" i="4" s="1"/>
  <c r="N81" i="4" s="1"/>
  <c r="AQ188" i="4"/>
  <c r="T188" i="4" s="1"/>
  <c r="O188" i="4" s="1"/>
  <c r="AQ97" i="4"/>
  <c r="T97" i="4" s="1"/>
  <c r="O97" i="4" s="1"/>
  <c r="AQ133" i="4"/>
  <c r="T133" i="4" s="1"/>
  <c r="O133" i="4" s="1"/>
  <c r="AU2" i="4"/>
  <c r="AQ31" i="4"/>
  <c r="T31" i="4" s="1"/>
  <c r="O31" i="4" s="1"/>
  <c r="AQ17" i="4"/>
  <c r="T17" i="4" s="1"/>
  <c r="O17" i="4" s="1"/>
  <c r="AQ185" i="4"/>
  <c r="T185" i="4" s="1"/>
  <c r="O185" i="4" s="1"/>
  <c r="AQ198" i="4"/>
  <c r="T198" i="4" s="1"/>
  <c r="O198" i="4" s="1"/>
  <c r="AP103" i="4"/>
  <c r="S103" i="4" s="1"/>
  <c r="N103" i="4" s="1"/>
  <c r="AP104" i="4"/>
  <c r="S104" i="4" s="1"/>
  <c r="N104" i="4" s="1"/>
  <c r="AQ156" i="4"/>
  <c r="T156" i="4" s="1"/>
  <c r="O156" i="4" s="1"/>
  <c r="AP120" i="4"/>
  <c r="S120" i="4" s="1"/>
  <c r="N120" i="4" s="1"/>
  <c r="AP39" i="4"/>
  <c r="S39" i="4" s="1"/>
  <c r="N39" i="4" s="1"/>
  <c r="AP43" i="4"/>
  <c r="S43" i="4" s="1"/>
  <c r="N43" i="4" s="1"/>
  <c r="AP172" i="4"/>
  <c r="S172" i="4" s="1"/>
  <c r="N172" i="4" s="1"/>
  <c r="AQ125" i="4"/>
  <c r="T125" i="4" s="1"/>
  <c r="O125" i="4" s="1"/>
  <c r="AQ169" i="4"/>
  <c r="T169" i="4" s="1"/>
  <c r="O169" i="4" s="1"/>
  <c r="AP59" i="4"/>
  <c r="S59" i="4" s="1"/>
  <c r="N59" i="4" s="1"/>
  <c r="AQ29" i="4"/>
  <c r="T29" i="4" s="1"/>
  <c r="AP70" i="4"/>
  <c r="S70" i="4" s="1"/>
  <c r="N70" i="4" s="1"/>
  <c r="AP75" i="4"/>
  <c r="S75" i="4" s="1"/>
  <c r="N75" i="4" s="1"/>
  <c r="AQ137" i="4"/>
  <c r="T137" i="4" s="1"/>
  <c r="O137" i="4" s="1"/>
  <c r="AP98" i="4"/>
  <c r="S98" i="4" s="1"/>
  <c r="N98" i="4" s="1"/>
  <c r="AP22" i="4"/>
  <c r="S22" i="4" s="1"/>
  <c r="N22" i="4" s="1"/>
  <c r="AP13" i="4"/>
  <c r="S13" i="4" s="1"/>
  <c r="N13" i="4" s="1"/>
  <c r="AP140" i="4"/>
  <c r="S140" i="4" s="1"/>
  <c r="N140" i="4" s="1"/>
  <c r="AP12" i="4"/>
  <c r="S12" i="4" s="1"/>
  <c r="N12" i="4" s="1"/>
  <c r="AP28" i="4"/>
  <c r="S28" i="4" s="1"/>
  <c r="N28" i="4" s="1"/>
  <c r="AQ18" i="4"/>
  <c r="T18" i="4" s="1"/>
  <c r="O18" i="4" s="1"/>
  <c r="AP41" i="4"/>
  <c r="S41" i="4" s="1"/>
  <c r="N41" i="4" s="1"/>
  <c r="AP42" i="4"/>
  <c r="S42" i="4" s="1"/>
  <c r="N42" i="4" s="1"/>
  <c r="AP49" i="4"/>
  <c r="S49" i="4" s="1"/>
  <c r="N49" i="4" s="1"/>
  <c r="AP60" i="4"/>
  <c r="S60" i="4" s="1"/>
  <c r="N60" i="4" s="1"/>
  <c r="AQ121" i="4"/>
  <c r="T121" i="4" s="1"/>
  <c r="O121" i="4" s="1"/>
  <c r="AQ154" i="4"/>
  <c r="T154" i="4" s="1"/>
  <c r="O154" i="4" s="1"/>
  <c r="AQ167" i="4"/>
  <c r="T167" i="4" s="1"/>
  <c r="O167" i="4" s="1"/>
  <c r="AQ93" i="4"/>
  <c r="T93" i="4" s="1"/>
  <c r="O93" i="4" s="1"/>
  <c r="AQ71" i="4"/>
  <c r="T71" i="4" s="1"/>
  <c r="O71" i="4" s="1"/>
  <c r="AP119" i="4"/>
  <c r="S119" i="4" s="1"/>
  <c r="N119" i="4" s="1"/>
  <c r="AP190" i="4"/>
  <c r="S190" i="4" s="1"/>
  <c r="N190" i="4" s="1"/>
  <c r="AQ184" i="4"/>
  <c r="T184" i="4" s="1"/>
  <c r="O184" i="4" s="1"/>
  <c r="AQ77" i="4"/>
  <c r="T77" i="4" s="1"/>
  <c r="O77" i="4" s="1"/>
  <c r="AP8" i="4"/>
  <c r="S8" i="4" s="1"/>
  <c r="N8" i="4" s="1"/>
  <c r="AP186" i="4"/>
  <c r="S186" i="4" s="1"/>
  <c r="N186" i="4" s="1"/>
  <c r="V57" i="4"/>
  <c r="V79" i="4"/>
  <c r="AQ152" i="4"/>
  <c r="T152" i="4" s="1"/>
  <c r="O152" i="4" s="1"/>
  <c r="AP199" i="4"/>
  <c r="S199" i="4" s="1"/>
  <c r="N199" i="4" s="1"/>
  <c r="AQ50" i="4"/>
  <c r="T50" i="4" s="1"/>
  <c r="AQ194" i="4"/>
  <c r="T194" i="4" s="1"/>
  <c r="O194" i="4" s="1"/>
  <c r="AU103" i="4"/>
  <c r="AV103" i="4"/>
  <c r="AU66" i="4"/>
  <c r="AV66" i="4"/>
  <c r="AU180" i="4"/>
  <c r="AV180" i="4"/>
  <c r="AU30" i="4"/>
  <c r="AV30" i="4"/>
  <c r="AU128" i="4"/>
  <c r="AV128" i="4"/>
  <c r="AU79" i="4"/>
  <c r="AV79" i="4"/>
  <c r="AU42" i="4"/>
  <c r="AV42" i="4"/>
  <c r="AU105" i="4"/>
  <c r="AV105" i="4"/>
  <c r="AU60" i="4"/>
  <c r="AV60" i="4"/>
  <c r="AU11" i="4"/>
  <c r="AV11" i="4"/>
  <c r="AU133" i="4"/>
  <c r="AV133" i="4"/>
  <c r="AU23" i="4"/>
  <c r="AV23" i="4"/>
  <c r="AU85" i="4"/>
  <c r="AV85" i="4"/>
  <c r="AU164" i="4"/>
  <c r="AV164" i="4"/>
  <c r="AU78" i="4"/>
  <c r="AV78" i="4"/>
  <c r="AU93" i="4"/>
  <c r="AV93" i="4"/>
  <c r="AU48" i="4"/>
  <c r="AV48" i="4"/>
  <c r="AU154" i="4"/>
  <c r="AV154" i="4"/>
  <c r="AU141" i="4"/>
  <c r="AV141" i="4"/>
  <c r="AU172" i="4"/>
  <c r="AV172" i="4"/>
  <c r="AU123" i="4"/>
  <c r="AV123" i="4"/>
  <c r="AU22" i="4"/>
  <c r="AV22" i="4"/>
  <c r="AU7" i="4"/>
  <c r="AV7" i="4"/>
  <c r="AU209" i="4"/>
  <c r="AV209" i="4"/>
  <c r="AU84" i="4"/>
  <c r="AV84" i="4"/>
  <c r="AU62" i="4"/>
  <c r="AV62" i="4"/>
  <c r="AU77" i="4"/>
  <c r="AV77" i="4"/>
  <c r="AU32" i="4"/>
  <c r="AV32" i="4"/>
  <c r="AU202" i="4"/>
  <c r="AV202" i="4"/>
  <c r="AU201" i="4"/>
  <c r="AV201" i="4"/>
  <c r="AU156" i="4"/>
  <c r="AV156" i="4"/>
  <c r="AU107" i="4"/>
  <c r="AV107" i="4"/>
  <c r="AU70" i="4"/>
  <c r="AV70" i="4"/>
  <c r="AU119" i="4"/>
  <c r="AV119" i="4"/>
  <c r="AU18" i="4"/>
  <c r="AV18" i="4"/>
  <c r="AU196" i="4"/>
  <c r="AV196" i="4"/>
  <c r="AU174" i="4"/>
  <c r="AV174" i="4"/>
  <c r="AU125" i="4"/>
  <c r="AV125" i="4"/>
  <c r="AU80" i="4"/>
  <c r="AV80" i="4"/>
  <c r="AU31" i="4"/>
  <c r="AV31" i="4"/>
  <c r="AU165" i="4"/>
  <c r="AV165" i="4"/>
  <c r="AU204" i="4"/>
  <c r="AV204" i="4"/>
  <c r="AU155" i="4"/>
  <c r="AV155" i="4"/>
  <c r="AU118" i="4"/>
  <c r="AV118" i="4"/>
  <c r="AU197" i="4"/>
  <c r="AV197" i="4"/>
  <c r="AU39" i="4"/>
  <c r="AV39" i="4"/>
  <c r="AU149" i="4"/>
  <c r="AV149" i="4"/>
  <c r="AU116" i="4"/>
  <c r="AV116" i="4"/>
  <c r="AU37" i="4"/>
  <c r="AV37" i="4"/>
  <c r="AU64" i="4"/>
  <c r="AV64" i="4"/>
  <c r="AU15" i="4"/>
  <c r="AV15" i="4"/>
  <c r="AU117" i="4"/>
  <c r="AV117" i="4"/>
  <c r="AU41" i="4"/>
  <c r="AV41" i="4"/>
  <c r="AU203" i="4"/>
  <c r="AV203" i="4"/>
  <c r="AU166" i="4"/>
  <c r="AV166" i="4"/>
  <c r="AU104" i="4"/>
  <c r="AV104" i="4"/>
  <c r="AU178" i="4"/>
  <c r="AV178" i="4"/>
  <c r="AU145" i="4"/>
  <c r="AV145" i="4"/>
  <c r="AU100" i="4"/>
  <c r="AV100" i="4"/>
  <c r="AU14" i="4"/>
  <c r="AV14" i="4"/>
  <c r="AU29" i="4"/>
  <c r="AV29" i="4"/>
  <c r="AU191" i="4"/>
  <c r="AV191" i="4"/>
  <c r="AU26" i="4"/>
  <c r="AV26" i="4"/>
  <c r="AU153" i="4"/>
  <c r="AV153" i="4"/>
  <c r="AU108" i="4"/>
  <c r="AV108" i="4"/>
  <c r="AU59" i="4"/>
  <c r="AV59" i="4"/>
  <c r="AU69" i="4"/>
  <c r="AV69" i="4"/>
  <c r="AU162" i="4"/>
  <c r="AV162" i="4"/>
  <c r="AU129" i="4"/>
  <c r="AV129" i="4"/>
  <c r="AU20" i="4"/>
  <c r="AV20" i="4"/>
  <c r="AU181" i="4"/>
  <c r="AV181" i="4"/>
  <c r="AU13" i="4"/>
  <c r="AV13" i="4"/>
  <c r="AU175" i="4"/>
  <c r="AV175" i="4"/>
  <c r="AU74" i="4"/>
  <c r="AV74" i="4"/>
  <c r="AU137" i="4"/>
  <c r="AV137" i="4"/>
  <c r="AU92" i="4"/>
  <c r="AV92" i="4"/>
  <c r="AU43" i="4"/>
  <c r="AV43" i="4"/>
  <c r="AU6" i="4"/>
  <c r="AV6" i="4"/>
  <c r="AU55" i="4"/>
  <c r="AV55" i="4"/>
  <c r="AU177" i="4"/>
  <c r="AV177" i="4"/>
  <c r="AU132" i="4"/>
  <c r="AV132" i="4"/>
  <c r="AU110" i="4"/>
  <c r="AV110" i="4"/>
  <c r="AU61" i="4"/>
  <c r="AV61" i="4"/>
  <c r="AU16" i="4"/>
  <c r="AV16" i="4"/>
  <c r="AU186" i="4"/>
  <c r="AV186" i="4"/>
  <c r="AU185" i="4"/>
  <c r="AV185" i="4"/>
  <c r="AU140" i="4"/>
  <c r="AV140" i="4"/>
  <c r="AU91" i="4"/>
  <c r="AV91" i="4"/>
  <c r="AU54" i="4"/>
  <c r="AV54" i="4"/>
  <c r="AU152" i="4"/>
  <c r="AV152" i="4"/>
  <c r="AU194" i="4"/>
  <c r="AV194" i="4"/>
  <c r="AU97" i="4"/>
  <c r="AV97" i="4"/>
  <c r="AU52" i="4"/>
  <c r="AV52" i="4"/>
  <c r="AU199" i="4"/>
  <c r="AV199" i="4"/>
  <c r="AU207" i="4"/>
  <c r="AV207" i="4"/>
  <c r="AU170" i="4"/>
  <c r="AV170" i="4"/>
  <c r="AU173" i="4"/>
  <c r="AV173" i="4"/>
  <c r="AU188" i="4"/>
  <c r="AV188" i="4"/>
  <c r="AU139" i="4"/>
  <c r="AV139" i="4"/>
  <c r="AU102" i="4"/>
  <c r="AV102" i="4"/>
  <c r="AU151" i="4"/>
  <c r="AV151" i="4"/>
  <c r="AU114" i="4"/>
  <c r="AV114" i="4"/>
  <c r="AU81" i="4"/>
  <c r="AV81" i="4"/>
  <c r="AU36" i="4"/>
  <c r="AV36" i="4"/>
  <c r="AU184" i="4"/>
  <c r="AV184" i="4"/>
  <c r="AU176" i="4"/>
  <c r="AV176" i="4"/>
  <c r="AU127" i="4"/>
  <c r="AV127" i="4"/>
  <c r="AU53" i="4"/>
  <c r="AV53" i="4"/>
  <c r="AU89" i="4"/>
  <c r="AV89" i="4"/>
  <c r="AU44" i="4"/>
  <c r="AV44" i="4"/>
  <c r="AU150" i="4"/>
  <c r="AV150" i="4"/>
  <c r="AU135" i="4"/>
  <c r="AV135" i="4"/>
  <c r="AU98" i="4"/>
  <c r="AV98" i="4"/>
  <c r="AU65" i="4"/>
  <c r="AV65" i="4"/>
  <c r="AU190" i="4"/>
  <c r="AV190" i="4"/>
  <c r="AU120" i="4"/>
  <c r="AV120" i="4"/>
  <c r="AU160" i="4"/>
  <c r="AV160" i="4"/>
  <c r="AU111" i="4"/>
  <c r="AV111" i="4"/>
  <c r="AU10" i="4"/>
  <c r="AV10" i="4"/>
  <c r="AU73" i="4"/>
  <c r="AV73" i="4"/>
  <c r="AU28" i="4"/>
  <c r="AV28" i="4"/>
  <c r="AU198" i="4"/>
  <c r="AV198" i="4"/>
  <c r="AU5" i="4"/>
  <c r="AV5" i="4"/>
  <c r="AU210" i="4"/>
  <c r="AV210" i="4"/>
  <c r="AU113" i="4"/>
  <c r="AV113" i="4"/>
  <c r="AU68" i="4"/>
  <c r="AV68" i="4"/>
  <c r="AU46" i="4"/>
  <c r="AV46" i="4"/>
  <c r="AU208" i="4"/>
  <c r="AV208" i="4"/>
  <c r="AU159" i="4"/>
  <c r="AV159" i="4"/>
  <c r="AU122" i="4"/>
  <c r="AV122" i="4"/>
  <c r="AU121" i="4"/>
  <c r="AV121" i="4"/>
  <c r="AU76" i="4"/>
  <c r="AV76" i="4"/>
  <c r="AU27" i="4"/>
  <c r="AV27" i="4"/>
  <c r="AU167" i="4"/>
  <c r="AV167" i="4"/>
  <c r="AU130" i="4"/>
  <c r="AV130" i="4"/>
  <c r="AU33" i="4"/>
  <c r="AV33" i="4"/>
  <c r="AU158" i="4"/>
  <c r="AV158" i="4"/>
  <c r="AU192" i="4"/>
  <c r="AV192" i="4"/>
  <c r="AU143" i="4"/>
  <c r="AV143" i="4"/>
  <c r="AU106" i="4"/>
  <c r="AV106" i="4"/>
  <c r="AU169" i="4"/>
  <c r="AV169" i="4"/>
  <c r="AU124" i="4"/>
  <c r="AV124" i="4"/>
  <c r="AU75" i="4"/>
  <c r="AV75" i="4"/>
  <c r="AU38" i="4"/>
  <c r="AV38" i="4"/>
  <c r="AU87" i="4"/>
  <c r="AV87" i="4"/>
  <c r="AU50" i="4"/>
  <c r="AV50" i="4"/>
  <c r="AU17" i="4"/>
  <c r="AV17" i="4"/>
  <c r="AU206" i="4"/>
  <c r="AV206" i="4"/>
  <c r="AU189" i="4"/>
  <c r="AV189" i="4"/>
  <c r="AU112" i="4"/>
  <c r="AV112" i="4"/>
  <c r="AU63" i="4"/>
  <c r="AV63" i="4"/>
  <c r="AU8" i="4"/>
  <c r="AV8" i="4"/>
  <c r="AU25" i="4"/>
  <c r="AV25" i="4"/>
  <c r="AU187" i="4"/>
  <c r="AV187" i="4"/>
  <c r="AU86" i="4"/>
  <c r="AV86" i="4"/>
  <c r="AU71" i="4"/>
  <c r="AV71" i="4"/>
  <c r="AU21" i="4"/>
  <c r="AV21" i="4"/>
  <c r="AU148" i="4"/>
  <c r="AV148" i="4"/>
  <c r="AU126" i="4"/>
  <c r="AV126" i="4"/>
  <c r="AU157" i="4"/>
  <c r="AV157" i="4"/>
  <c r="AU96" i="4"/>
  <c r="AV96" i="4"/>
  <c r="AU47" i="4"/>
  <c r="AV47" i="4"/>
  <c r="AU193" i="4"/>
  <c r="AV193" i="4"/>
  <c r="AU9" i="4"/>
  <c r="AV9" i="4"/>
  <c r="AU171" i="4"/>
  <c r="AV171" i="4"/>
  <c r="AU134" i="4"/>
  <c r="AV134" i="4"/>
  <c r="AU183" i="4"/>
  <c r="AV183" i="4"/>
  <c r="AU82" i="4"/>
  <c r="AV82" i="4"/>
  <c r="AU49" i="4"/>
  <c r="AV49" i="4"/>
  <c r="AU4" i="4"/>
  <c r="AV4" i="4"/>
  <c r="AU101" i="4"/>
  <c r="AV101" i="4"/>
  <c r="AU144" i="4"/>
  <c r="AV144" i="4"/>
  <c r="AU95" i="4"/>
  <c r="AV95" i="4"/>
  <c r="AU58" i="4"/>
  <c r="AV58" i="4"/>
  <c r="AU57" i="4"/>
  <c r="AV57" i="4"/>
  <c r="AU12" i="4"/>
  <c r="AV12" i="4"/>
  <c r="AU182" i="4"/>
  <c r="AV182" i="4"/>
  <c r="O180" i="4"/>
  <c r="V194" i="4"/>
  <c r="W164" i="4"/>
  <c r="AO35" i="4"/>
  <c r="AO83" i="4"/>
  <c r="AO115" i="4"/>
  <c r="AO179" i="4"/>
  <c r="AP179" i="4" s="1"/>
  <c r="S179" i="4" s="1"/>
  <c r="N179" i="4" s="1"/>
  <c r="AO205" i="4"/>
  <c r="AO200" i="4"/>
  <c r="AO34" i="4"/>
  <c r="AO94" i="4"/>
  <c r="AO51" i="4"/>
  <c r="AQ51" i="4" s="1"/>
  <c r="T51" i="4" s="1"/>
  <c r="AO67" i="4"/>
  <c r="AP67" i="4" s="1"/>
  <c r="S67" i="4" s="1"/>
  <c r="N67" i="4" s="1"/>
  <c r="AO147" i="4"/>
  <c r="AQ147" i="4" s="1"/>
  <c r="T147" i="4" s="1"/>
  <c r="AO163" i="4"/>
  <c r="AQ163" i="4" s="1"/>
  <c r="T163" i="4" s="1"/>
  <c r="AO138" i="4"/>
  <c r="AQ138" i="4" s="1"/>
  <c r="T138" i="4" s="1"/>
  <c r="AO56" i="4"/>
  <c r="AQ56" i="4" s="1"/>
  <c r="T56" i="4" s="1"/>
  <c r="AO146" i="4"/>
  <c r="AO142" i="4"/>
  <c r="AQ142" i="4" s="1"/>
  <c r="T142" i="4" s="1"/>
  <c r="AO3" i="4"/>
  <c r="AQ3" i="4" s="1"/>
  <c r="T3" i="4" s="1"/>
  <c r="O3" i="4" s="1"/>
  <c r="AO131" i="4"/>
  <c r="AP131" i="4" s="1"/>
  <c r="S131" i="4" s="1"/>
  <c r="N131" i="4" s="1"/>
  <c r="AO211" i="4"/>
  <c r="AQ211" i="4" s="1"/>
  <c r="T211" i="4" s="1"/>
  <c r="O211" i="4" s="1"/>
  <c r="AO90" i="4"/>
  <c r="AQ90" i="4" s="1"/>
  <c r="T90" i="4" s="1"/>
  <c r="AO40" i="4"/>
  <c r="AP40" i="4" s="1"/>
  <c r="S40" i="4" s="1"/>
  <c r="N40" i="4" s="1"/>
  <c r="AO72" i="4"/>
  <c r="AQ72" i="4" s="1"/>
  <c r="T72" i="4" s="1"/>
  <c r="AO45" i="4"/>
  <c r="AP45" i="4" s="1"/>
  <c r="S45" i="4" s="1"/>
  <c r="N45" i="4" s="1"/>
  <c r="AO212" i="4"/>
  <c r="AO19" i="4"/>
  <c r="AP19" i="4" s="1"/>
  <c r="S19" i="4" s="1"/>
  <c r="N19" i="4" s="1"/>
  <c r="AO195" i="4"/>
  <c r="AP195" i="4" s="1"/>
  <c r="S195" i="4" s="1"/>
  <c r="N195" i="4" s="1"/>
  <c r="AO99" i="4"/>
  <c r="AP99" i="4" s="1"/>
  <c r="S99" i="4" s="1"/>
  <c r="N99" i="4" s="1"/>
  <c r="AO24" i="4"/>
  <c r="AQ24" i="4" s="1"/>
  <c r="T24" i="4" s="1"/>
  <c r="O24" i="4" s="1"/>
  <c r="AO161" i="4"/>
  <c r="AO136" i="4"/>
  <c r="AO109" i="4"/>
  <c r="AO168" i="4"/>
  <c r="AO88" i="4"/>
  <c r="O173" i="4"/>
  <c r="V111" i="4"/>
  <c r="O96" i="4"/>
  <c r="O181" i="4"/>
  <c r="V83" i="4"/>
  <c r="O207" i="4"/>
  <c r="O208" i="4"/>
  <c r="O135" i="4"/>
  <c r="O170" i="4"/>
  <c r="W93" i="4"/>
  <c r="V151" i="4"/>
  <c r="O5" i="4"/>
  <c r="W114" i="4"/>
  <c r="O8" i="4"/>
  <c r="O104" i="4"/>
  <c r="W139" i="4"/>
  <c r="V120" i="4"/>
  <c r="O75" i="4"/>
  <c r="W125" i="4"/>
  <c r="O38" i="4"/>
  <c r="O60" i="4"/>
  <c r="O84" i="4"/>
  <c r="O120" i="4"/>
  <c r="V158" i="4"/>
  <c r="O155" i="4"/>
  <c r="W101" i="4"/>
  <c r="O98" i="4"/>
  <c r="O103" i="4"/>
  <c r="O21" i="4"/>
  <c r="O172" i="4"/>
  <c r="O49" i="4"/>
  <c r="O130" i="4"/>
  <c r="O175" i="4"/>
  <c r="W35" i="4"/>
  <c r="V149" i="4"/>
  <c r="W119" i="4"/>
  <c r="W103" i="4"/>
  <c r="O36" i="4"/>
  <c r="V169" i="4"/>
  <c r="O54" i="4"/>
  <c r="O204" i="4"/>
  <c r="O76" i="4"/>
  <c r="O66" i="4"/>
  <c r="V65" i="4"/>
  <c r="O50" i="4"/>
  <c r="O86" i="4"/>
  <c r="O95" i="4"/>
  <c r="V145" i="4"/>
  <c r="O105" i="4"/>
  <c r="O129" i="4"/>
  <c r="O7" i="4"/>
  <c r="O69" i="4"/>
  <c r="O87" i="4"/>
  <c r="O143" i="4"/>
  <c r="V46" i="4"/>
  <c r="O177" i="4"/>
  <c r="O81" i="4"/>
  <c r="V64" i="4"/>
  <c r="V123" i="4"/>
  <c r="O28" i="4"/>
  <c r="V91" i="4"/>
  <c r="W95" i="4"/>
  <c r="O122" i="4"/>
  <c r="O32" i="4"/>
  <c r="O14" i="4"/>
  <c r="W180" i="4"/>
  <c r="O44" i="4"/>
  <c r="O62" i="4"/>
  <c r="O64" i="4"/>
  <c r="O39" i="4"/>
  <c r="AP204" i="4"/>
  <c r="S204" i="4" s="1"/>
  <c r="N204" i="4" s="1"/>
  <c r="AQ139" i="4"/>
  <c r="T139" i="4" s="1"/>
  <c r="AP55" i="4"/>
  <c r="S55" i="4" s="1"/>
  <c r="N55" i="4" s="1"/>
  <c r="AP38" i="4"/>
  <c r="S38" i="4" s="1"/>
  <c r="N38" i="4" s="1"/>
  <c r="AQ187" i="4"/>
  <c r="T187" i="4" s="1"/>
  <c r="AP26" i="4"/>
  <c r="S26" i="4" s="1"/>
  <c r="N26" i="4" s="1"/>
  <c r="AQ111" i="4"/>
  <c r="T111" i="4" s="1"/>
  <c r="AQ151" i="4"/>
  <c r="T151" i="4" s="1"/>
  <c r="AQ33" i="4"/>
  <c r="T33" i="4" s="1"/>
  <c r="AQ145" i="4"/>
  <c r="T145" i="4" s="1"/>
  <c r="AP135" i="4"/>
  <c r="S135" i="4" s="1"/>
  <c r="N135" i="4" s="1"/>
  <c r="AQ144" i="4"/>
  <c r="T144" i="4" s="1"/>
  <c r="AQ183" i="4"/>
  <c r="T183" i="4" s="1"/>
  <c r="AQ192" i="4"/>
  <c r="T192" i="4" s="1"/>
  <c r="AQ4" i="4"/>
  <c r="T4" i="4" s="1"/>
  <c r="AP132" i="4"/>
  <c r="S132" i="4" s="1"/>
  <c r="N132" i="4" s="1"/>
  <c r="AP7" i="4"/>
  <c r="S7" i="4" s="1"/>
  <c r="N7" i="4" s="1"/>
  <c r="AP92" i="4"/>
  <c r="S92" i="4" s="1"/>
  <c r="N92" i="4" s="1"/>
  <c r="AP208" i="4"/>
  <c r="S208" i="4" s="1"/>
  <c r="N208" i="4" s="1"/>
  <c r="AQ20" i="4"/>
  <c r="T20" i="4" s="1"/>
  <c r="AP148" i="4"/>
  <c r="S148" i="4" s="1"/>
  <c r="N148" i="4" s="1"/>
  <c r="AP79" i="4"/>
  <c r="S79" i="4" s="1"/>
  <c r="N79" i="4" s="1"/>
  <c r="AQ100" i="4"/>
  <c r="T100" i="4" s="1"/>
  <c r="O80" i="4"/>
  <c r="AQ127" i="4"/>
  <c r="T127" i="4" s="1"/>
  <c r="AP189" i="4"/>
  <c r="S189" i="4" s="1"/>
  <c r="N189" i="4" s="1"/>
  <c r="AQ23" i="4"/>
  <c r="T23" i="4" s="1"/>
  <c r="AQ171" i="4"/>
  <c r="T171" i="4" s="1"/>
  <c r="AP96" i="4"/>
  <c r="S96" i="4" s="1"/>
  <c r="N96" i="4" s="1"/>
  <c r="AQ61" i="4"/>
  <c r="T61" i="4" s="1"/>
  <c r="AQ158" i="4"/>
  <c r="T158" i="4" s="1"/>
  <c r="AQ202" i="4"/>
  <c r="T202" i="4" s="1"/>
  <c r="AQ128" i="4"/>
  <c r="T128" i="4" s="1"/>
  <c r="AP68" i="4"/>
  <c r="S68" i="4" s="1"/>
  <c r="N68" i="4" s="1"/>
  <c r="AQ196" i="4"/>
  <c r="T196" i="4" s="1"/>
  <c r="AP74" i="4"/>
  <c r="S74" i="4" s="1"/>
  <c r="N74" i="4" s="1"/>
  <c r="AP36" i="4"/>
  <c r="S36" i="4" s="1"/>
  <c r="N36" i="4" s="1"/>
  <c r="AQ164" i="4"/>
  <c r="T164" i="4" s="1"/>
  <c r="AQ52" i="4"/>
  <c r="T52" i="4" s="1"/>
  <c r="AP180" i="4"/>
  <c r="S180" i="4" s="1"/>
  <c r="N180" i="4" s="1"/>
  <c r="V29" i="4"/>
  <c r="O79" i="4"/>
  <c r="O58" i="4"/>
  <c r="O148" i="4"/>
  <c r="O25" i="4"/>
  <c r="O48" i="4"/>
  <c r="W34" i="4"/>
  <c r="O182" i="4"/>
  <c r="O174" i="4"/>
  <c r="O68" i="4"/>
  <c r="O101" i="4"/>
  <c r="O199" i="4"/>
  <c r="V54" i="4"/>
  <c r="W71" i="4"/>
  <c r="W196" i="4"/>
  <c r="V115" i="4"/>
  <c r="W163" i="4"/>
  <c r="O55" i="4"/>
  <c r="W89" i="4"/>
  <c r="V106" i="4"/>
  <c r="W112" i="4"/>
  <c r="W173" i="4"/>
  <c r="W38" i="4"/>
  <c r="O59" i="4"/>
  <c r="V36" i="4"/>
  <c r="V66" i="4"/>
  <c r="W195" i="4"/>
  <c r="V185" i="4"/>
  <c r="V88" i="4"/>
  <c r="W127" i="4"/>
  <c r="W98" i="4"/>
  <c r="V76" i="4"/>
  <c r="O153" i="4"/>
  <c r="V10" i="4"/>
  <c r="O112" i="4"/>
  <c r="V129" i="4"/>
  <c r="W204" i="4"/>
  <c r="W5" i="4"/>
  <c r="V116" i="4"/>
  <c r="W11" i="4"/>
  <c r="W181" i="4"/>
  <c r="W70" i="4"/>
  <c r="W30" i="4"/>
  <c r="W206" i="4"/>
  <c r="W53" i="4"/>
  <c r="W152" i="4"/>
  <c r="W182" i="4"/>
  <c r="V170" i="4"/>
  <c r="W189" i="4"/>
  <c r="V192" i="4"/>
  <c r="W81" i="4"/>
  <c r="O22" i="4"/>
  <c r="W75" i="4"/>
  <c r="V184" i="4"/>
  <c r="W43" i="4"/>
  <c r="W209" i="4"/>
  <c r="V122" i="4"/>
  <c r="W17" i="4"/>
  <c r="V107" i="4"/>
  <c r="W110" i="4"/>
  <c r="O78" i="4"/>
  <c r="O70" i="4"/>
  <c r="O41" i="4"/>
  <c r="O190" i="4"/>
  <c r="V16" i="4"/>
  <c r="V212" i="4"/>
  <c r="W176" i="4"/>
  <c r="W99" i="4"/>
  <c r="W23" i="4"/>
  <c r="W142" i="4"/>
  <c r="W56" i="4"/>
  <c r="W168" i="4"/>
  <c r="O132" i="4"/>
  <c r="W198" i="4"/>
  <c r="O74" i="4"/>
  <c r="O189" i="4"/>
  <c r="O119" i="4"/>
  <c r="O43" i="4"/>
  <c r="O10" i="4"/>
  <c r="O11" i="4"/>
  <c r="O162" i="4"/>
  <c r="O42" i="4"/>
  <c r="O186" i="4"/>
  <c r="O123" i="4"/>
  <c r="O134" i="4"/>
  <c r="O126" i="4"/>
  <c r="O12" i="4"/>
  <c r="O203" i="4"/>
  <c r="O26" i="4"/>
  <c r="O13" i="4"/>
  <c r="O191" i="4"/>
  <c r="O27" i="4"/>
  <c r="O29" i="4"/>
  <c r="O140" i="4"/>
  <c r="O46" i="4"/>
  <c r="O110" i="4"/>
  <c r="O118" i="4"/>
  <c r="O6" i="4"/>
  <c r="O15" i="4"/>
  <c r="O53" i="4"/>
  <c r="O113" i="4"/>
  <c r="V199" i="4" l="1"/>
  <c r="V19" i="4"/>
  <c r="W24" i="4"/>
  <c r="V3" i="4"/>
  <c r="W28" i="4"/>
  <c r="W132" i="4"/>
  <c r="W78" i="4"/>
  <c r="W94" i="4"/>
  <c r="V187" i="4"/>
  <c r="W15" i="4"/>
  <c r="W197" i="4"/>
  <c r="W159" i="4"/>
  <c r="V40" i="4"/>
  <c r="W109" i="4"/>
  <c r="W134" i="4"/>
  <c r="V87" i="4"/>
  <c r="W136" i="4"/>
  <c r="V62" i="4"/>
  <c r="V211" i="4"/>
  <c r="V207" i="4"/>
  <c r="V161" i="4"/>
  <c r="W130" i="4"/>
  <c r="V201" i="4"/>
  <c r="W31" i="4"/>
  <c r="W200" i="4"/>
  <c r="W61" i="4"/>
  <c r="W25" i="4"/>
  <c r="W150" i="4"/>
  <c r="W77" i="4"/>
  <c r="W165" i="4"/>
  <c r="W63" i="4"/>
  <c r="V135" i="4"/>
  <c r="V137" i="4"/>
  <c r="V55" i="4"/>
  <c r="W153" i="4"/>
  <c r="V97" i="4"/>
  <c r="V183" i="4"/>
  <c r="W86" i="4"/>
  <c r="V191" i="4"/>
  <c r="W92" i="4"/>
  <c r="W124" i="4"/>
  <c r="W208" i="4"/>
  <c r="V14" i="4"/>
  <c r="V148" i="4"/>
  <c r="V45" i="4"/>
  <c r="V74" i="4"/>
  <c r="V126" i="4"/>
  <c r="W59" i="4"/>
  <c r="V82" i="4"/>
  <c r="V179" i="4"/>
  <c r="V72" i="4"/>
  <c r="W67" i="4"/>
  <c r="V7" i="4"/>
  <c r="W118" i="4"/>
  <c r="W50" i="4"/>
  <c r="W143" i="4"/>
  <c r="V188" i="4"/>
  <c r="V160" i="4"/>
  <c r="V21" i="4"/>
  <c r="W102" i="4"/>
  <c r="V33" i="4"/>
  <c r="V44" i="4"/>
  <c r="W60" i="4"/>
  <c r="V100" i="4"/>
  <c r="W69" i="4"/>
  <c r="V141" i="4"/>
  <c r="W105" i="4"/>
  <c r="W96" i="4"/>
  <c r="W48" i="4"/>
  <c r="V42" i="4"/>
  <c r="W166" i="4"/>
  <c r="V49" i="4"/>
  <c r="W174" i="4"/>
  <c r="V37" i="4"/>
  <c r="W39" i="4"/>
  <c r="V12" i="4"/>
  <c r="W6" i="4"/>
  <c r="V20" i="4"/>
  <c r="W178" i="4"/>
  <c r="W186" i="4"/>
  <c r="W13" i="4"/>
  <c r="V121" i="4"/>
  <c r="V113" i="4"/>
  <c r="V41" i="4"/>
  <c r="V27" i="4"/>
  <c r="V108" i="4"/>
  <c r="V85" i="4"/>
  <c r="W210" i="4"/>
  <c r="V90" i="4"/>
  <c r="V68" i="4"/>
  <c r="W22" i="4"/>
  <c r="V202" i="4"/>
  <c r="V52" i="4"/>
  <c r="W131" i="4"/>
  <c r="W203" i="4"/>
  <c r="V203" i="4"/>
  <c r="W32" i="4"/>
  <c r="W144" i="4"/>
  <c r="W175" i="4"/>
  <c r="W133" i="4"/>
  <c r="V9" i="4"/>
  <c r="W9" i="4"/>
  <c r="W4" i="4"/>
  <c r="W51" i="4"/>
  <c r="W73" i="4"/>
  <c r="W193" i="4"/>
  <c r="V146" i="4"/>
  <c r="V80" i="4"/>
  <c r="W147" i="4"/>
  <c r="V172" i="4"/>
  <c r="V138" i="4"/>
  <c r="V177" i="4"/>
  <c r="V84" i="4"/>
  <c r="W205" i="4"/>
  <c r="V157" i="4"/>
  <c r="W154" i="4"/>
  <c r="W26" i="4"/>
  <c r="W171" i="4"/>
  <c r="V128" i="4"/>
  <c r="W117" i="4"/>
  <c r="W58" i="4"/>
  <c r="W104" i="4"/>
  <c r="V156" i="4"/>
  <c r="V47" i="4"/>
  <c r="V162" i="4"/>
  <c r="W8" i="4"/>
  <c r="W190" i="4"/>
  <c r="V18" i="4"/>
  <c r="W155" i="4"/>
  <c r="V2" i="4"/>
  <c r="V167" i="4"/>
  <c r="AQ40" i="4"/>
  <c r="T40" i="4" s="1"/>
  <c r="AQ45" i="4"/>
  <c r="T45" i="4" s="1"/>
  <c r="O45" i="4" s="1"/>
  <c r="AQ19" i="4"/>
  <c r="T19" i="4" s="1"/>
  <c r="O19" i="4" s="1"/>
  <c r="AQ195" i="4"/>
  <c r="T195" i="4" s="1"/>
  <c r="O195" i="4" s="1"/>
  <c r="AP147" i="4"/>
  <c r="S147" i="4" s="1"/>
  <c r="N147" i="4" s="1"/>
  <c r="AP138" i="4"/>
  <c r="S138" i="4" s="1"/>
  <c r="N138" i="4" s="1"/>
  <c r="AQ67" i="4"/>
  <c r="T67" i="4" s="1"/>
  <c r="O67" i="4" s="1"/>
  <c r="AQ131" i="4"/>
  <c r="T131" i="4" s="1"/>
  <c r="O131" i="4" s="1"/>
  <c r="AP163" i="4"/>
  <c r="S163" i="4" s="1"/>
  <c r="N163" i="4" s="1"/>
  <c r="AQ99" i="4"/>
  <c r="T99" i="4" s="1"/>
  <c r="O99" i="4" s="1"/>
  <c r="AU88" i="4"/>
  <c r="AV88" i="4"/>
  <c r="AU109" i="4"/>
  <c r="AV109" i="4"/>
  <c r="AU161" i="4"/>
  <c r="AV161" i="4"/>
  <c r="AU99" i="4"/>
  <c r="AV99" i="4"/>
  <c r="AU19" i="4"/>
  <c r="AV19" i="4"/>
  <c r="AU72" i="4"/>
  <c r="AV72" i="4"/>
  <c r="AU90" i="4"/>
  <c r="AV90" i="4"/>
  <c r="AU131" i="4"/>
  <c r="AV131" i="4"/>
  <c r="AU142" i="4"/>
  <c r="AV142" i="4"/>
  <c r="AU56" i="4"/>
  <c r="AV56" i="4"/>
  <c r="AU163" i="4"/>
  <c r="AV163" i="4"/>
  <c r="AU67" i="4"/>
  <c r="AV67" i="4"/>
  <c r="AU94" i="4"/>
  <c r="AV94" i="4"/>
  <c r="AU200" i="4"/>
  <c r="AV200" i="4"/>
  <c r="AU179" i="4"/>
  <c r="AV179" i="4"/>
  <c r="AU83" i="4"/>
  <c r="AV83" i="4"/>
  <c r="AU168" i="4"/>
  <c r="AV168" i="4"/>
  <c r="AU136" i="4"/>
  <c r="AV136" i="4"/>
  <c r="AU24" i="4"/>
  <c r="AV24" i="4"/>
  <c r="AU195" i="4"/>
  <c r="AV195" i="4"/>
  <c r="AU212" i="4"/>
  <c r="AV212" i="4"/>
  <c r="AU45" i="4"/>
  <c r="AV45" i="4"/>
  <c r="AU40" i="4"/>
  <c r="AV40" i="4"/>
  <c r="AU211" i="4"/>
  <c r="AV211" i="4"/>
  <c r="AU3" i="4"/>
  <c r="AV3" i="4"/>
  <c r="AU146" i="4"/>
  <c r="AV146" i="4"/>
  <c r="AU138" i="4"/>
  <c r="AV138" i="4"/>
  <c r="AU147" i="4"/>
  <c r="AV147" i="4"/>
  <c r="AU51" i="4"/>
  <c r="AV51" i="4"/>
  <c r="AU34" i="4"/>
  <c r="AV34" i="4"/>
  <c r="AU205" i="4"/>
  <c r="AV205" i="4"/>
  <c r="AU115" i="4"/>
  <c r="AV115" i="4"/>
  <c r="AU35" i="4"/>
  <c r="AV35" i="4"/>
  <c r="O147" i="4"/>
  <c r="AP51" i="4"/>
  <c r="S51" i="4" s="1"/>
  <c r="N51" i="4" s="1"/>
  <c r="AP3" i="4"/>
  <c r="S3" i="4" s="1"/>
  <c r="N3" i="4" s="1"/>
  <c r="O51" i="4"/>
  <c r="AP211" i="4"/>
  <c r="S211" i="4" s="1"/>
  <c r="N211" i="4" s="1"/>
  <c r="O138" i="4"/>
  <c r="AP24" i="4"/>
  <c r="S24" i="4" s="1"/>
  <c r="N24" i="4" s="1"/>
  <c r="O72" i="4"/>
  <c r="O163" i="4"/>
  <c r="AP56" i="4"/>
  <c r="S56" i="4" s="1"/>
  <c r="N56" i="4" s="1"/>
  <c r="AQ179" i="4"/>
  <c r="T179" i="4" s="1"/>
  <c r="AP90" i="4"/>
  <c r="S90" i="4" s="1"/>
  <c r="N90" i="4" s="1"/>
  <c r="AP142" i="4"/>
  <c r="S142" i="4" s="1"/>
  <c r="N142" i="4" s="1"/>
  <c r="O142" i="4"/>
  <c r="O52" i="4"/>
  <c r="O56" i="4"/>
  <c r="O90" i="4"/>
  <c r="AP72" i="4"/>
  <c r="S72" i="4" s="1"/>
  <c r="N72" i="4" s="1"/>
  <c r="AQ88" i="4"/>
  <c r="T88" i="4" s="1"/>
  <c r="AP88" i="4"/>
  <c r="S88" i="4" s="1"/>
  <c r="N88" i="4" s="1"/>
  <c r="AQ109" i="4"/>
  <c r="T109" i="4" s="1"/>
  <c r="AP109" i="4"/>
  <c r="S109" i="4" s="1"/>
  <c r="N109" i="4" s="1"/>
  <c r="AP161" i="4"/>
  <c r="S161" i="4" s="1"/>
  <c r="N161" i="4" s="1"/>
  <c r="AQ161" i="4"/>
  <c r="T161" i="4" s="1"/>
  <c r="AQ94" i="4"/>
  <c r="T94" i="4" s="1"/>
  <c r="AP94" i="4"/>
  <c r="S94" i="4" s="1"/>
  <c r="N94" i="4" s="1"/>
  <c r="AQ200" i="4"/>
  <c r="T200" i="4" s="1"/>
  <c r="AP200" i="4"/>
  <c r="S200" i="4" s="1"/>
  <c r="N200" i="4" s="1"/>
  <c r="AP83" i="4"/>
  <c r="S83" i="4" s="1"/>
  <c r="N83" i="4" s="1"/>
  <c r="AQ83" i="4"/>
  <c r="T83" i="4" s="1"/>
  <c r="AP168" i="4"/>
  <c r="S168" i="4" s="1"/>
  <c r="N168" i="4" s="1"/>
  <c r="AQ168" i="4"/>
  <c r="T168" i="4" s="1"/>
  <c r="AQ136" i="4"/>
  <c r="T136" i="4" s="1"/>
  <c r="AP136" i="4"/>
  <c r="S136" i="4" s="1"/>
  <c r="N136" i="4" s="1"/>
  <c r="AP212" i="4"/>
  <c r="S212" i="4" s="1"/>
  <c r="N212" i="4" s="1"/>
  <c r="AQ212" i="4"/>
  <c r="T212" i="4" s="1"/>
  <c r="AP146" i="4"/>
  <c r="S146" i="4" s="1"/>
  <c r="N146" i="4" s="1"/>
  <c r="AQ146" i="4"/>
  <c r="T146" i="4" s="1"/>
  <c r="AQ34" i="4"/>
  <c r="T34" i="4" s="1"/>
  <c r="AP34" i="4"/>
  <c r="S34" i="4" s="1"/>
  <c r="N34" i="4" s="1"/>
  <c r="AP205" i="4"/>
  <c r="S205" i="4" s="1"/>
  <c r="N205" i="4" s="1"/>
  <c r="AQ205" i="4"/>
  <c r="T205" i="4" s="1"/>
  <c r="AP115" i="4"/>
  <c r="S115" i="4" s="1"/>
  <c r="N115" i="4" s="1"/>
  <c r="AQ115" i="4"/>
  <c r="T115" i="4" s="1"/>
  <c r="AP35" i="4"/>
  <c r="S35" i="4" s="1"/>
  <c r="N35" i="4" s="1"/>
  <c r="AQ35" i="4"/>
  <c r="T35" i="4" s="1"/>
  <c r="O33" i="4"/>
  <c r="O192" i="4"/>
  <c r="O40" i="4"/>
  <c r="O128" i="4"/>
  <c r="O158" i="4"/>
  <c r="O187" i="4"/>
  <c r="O164" i="4"/>
  <c r="O145" i="4"/>
  <c r="O20" i="4"/>
  <c r="O23" i="4"/>
  <c r="O144" i="4"/>
  <c r="O61" i="4"/>
  <c r="O183" i="4"/>
  <c r="O151" i="4"/>
  <c r="O196" i="4"/>
  <c r="O139" i="4"/>
  <c r="O171" i="4"/>
  <c r="O100" i="4"/>
  <c r="O127" i="4"/>
  <c r="O4" i="4"/>
  <c r="O111" i="4"/>
  <c r="O202" i="4"/>
  <c r="O179" i="4" l="1"/>
  <c r="O35" i="4"/>
  <c r="O146" i="4"/>
  <c r="O83" i="4"/>
  <c r="O136" i="4"/>
  <c r="O94" i="4"/>
  <c r="O109" i="4"/>
  <c r="O115" i="4"/>
  <c r="O212" i="4"/>
  <c r="O168" i="4"/>
  <c r="O161" i="4"/>
  <c r="O205" i="4"/>
  <c r="O34" i="4"/>
  <c r="O200" i="4"/>
  <c r="O88" i="4"/>
  <c r="AO2" i="4" l="1"/>
  <c r="AQ2" i="4" s="1"/>
  <c r="T2" i="4" s="1"/>
  <c r="O2" i="4" s="1"/>
  <c r="AP2" i="4" l="1"/>
  <c r="S2" i="4" s="1"/>
  <c r="N2" i="4" s="1"/>
  <c r="C156" i="3" l="1"/>
  <c r="B157" i="3" s="1"/>
  <c r="B159" i="3" l="1"/>
  <c r="B158" i="3"/>
  <c r="C10" i="4"/>
  <c r="B10" i="4" s="1"/>
  <c r="C29" i="4" l="1"/>
  <c r="C28" i="4"/>
  <c r="I6" i="4" l="1"/>
  <c r="I10" i="4"/>
  <c r="I14" i="4"/>
  <c r="I18" i="4"/>
  <c r="I22" i="4"/>
  <c r="I26" i="4"/>
  <c r="I30" i="4"/>
  <c r="I34" i="4"/>
  <c r="I38" i="4"/>
  <c r="I42" i="4"/>
  <c r="I46" i="4"/>
  <c r="I50" i="4"/>
  <c r="I54" i="4"/>
  <c r="I58" i="4"/>
  <c r="I62" i="4"/>
  <c r="I66" i="4"/>
  <c r="I70" i="4"/>
  <c r="I74" i="4"/>
  <c r="I78" i="4"/>
  <c r="I82" i="4"/>
  <c r="I86" i="4"/>
  <c r="I90" i="4"/>
  <c r="I94" i="4"/>
  <c r="I98" i="4"/>
  <c r="I102" i="4"/>
  <c r="I106" i="4"/>
  <c r="I110" i="4"/>
  <c r="I114" i="4"/>
  <c r="I118" i="4"/>
  <c r="I122" i="4"/>
  <c r="I126" i="4"/>
  <c r="I130" i="4"/>
  <c r="I134" i="4"/>
  <c r="I138" i="4"/>
  <c r="I142" i="4"/>
  <c r="I146" i="4"/>
  <c r="I150" i="4"/>
  <c r="I154" i="4"/>
  <c r="I158" i="4"/>
  <c r="I162" i="4"/>
  <c r="I166" i="4"/>
  <c r="I170" i="4"/>
  <c r="I174" i="4"/>
  <c r="I178" i="4"/>
  <c r="I182" i="4"/>
  <c r="I186" i="4"/>
  <c r="I190" i="4"/>
  <c r="I194" i="4"/>
  <c r="I198" i="4"/>
  <c r="I202" i="4"/>
  <c r="I206" i="4"/>
  <c r="I210" i="4"/>
  <c r="I3" i="4"/>
  <c r="I7" i="4"/>
  <c r="I11" i="4"/>
  <c r="I15" i="4"/>
  <c r="I19" i="4"/>
  <c r="I23" i="4"/>
  <c r="I27" i="4"/>
  <c r="I31" i="4"/>
  <c r="I35" i="4"/>
  <c r="I39" i="4"/>
  <c r="I43" i="4"/>
  <c r="I47" i="4"/>
  <c r="I51" i="4"/>
  <c r="I55" i="4"/>
  <c r="I59" i="4"/>
  <c r="I63" i="4"/>
  <c r="I67" i="4"/>
  <c r="I71" i="4"/>
  <c r="I75" i="4"/>
  <c r="I79" i="4"/>
  <c r="I83" i="4"/>
  <c r="I87" i="4"/>
  <c r="I91" i="4"/>
  <c r="I95" i="4"/>
  <c r="I99" i="4"/>
  <c r="I103" i="4"/>
  <c r="I107" i="4"/>
  <c r="I111" i="4"/>
  <c r="I115" i="4"/>
  <c r="I119" i="4"/>
  <c r="I123" i="4"/>
  <c r="I127" i="4"/>
  <c r="I131" i="4"/>
  <c r="I135" i="4"/>
  <c r="I139" i="4"/>
  <c r="I143" i="4"/>
  <c r="I147" i="4"/>
  <c r="I151" i="4"/>
  <c r="I155" i="4"/>
  <c r="I159" i="4"/>
  <c r="I163" i="4"/>
  <c r="I167" i="4"/>
  <c r="I171" i="4"/>
  <c r="I175" i="4"/>
  <c r="I179" i="4"/>
  <c r="I183" i="4"/>
  <c r="I187" i="4"/>
  <c r="I191" i="4"/>
  <c r="I195" i="4"/>
  <c r="I199" i="4"/>
  <c r="I203" i="4"/>
  <c r="I207" i="4"/>
  <c r="I211" i="4"/>
  <c r="I4" i="4"/>
  <c r="I8" i="4"/>
  <c r="I12" i="4"/>
  <c r="I16" i="4"/>
  <c r="I20" i="4"/>
  <c r="I24" i="4"/>
  <c r="I28" i="4"/>
  <c r="I32" i="4"/>
  <c r="I36" i="4"/>
  <c r="I40" i="4"/>
  <c r="I44" i="4"/>
  <c r="I48" i="4"/>
  <c r="I52" i="4"/>
  <c r="I56" i="4"/>
  <c r="I60" i="4"/>
  <c r="I64" i="4"/>
  <c r="I68" i="4"/>
  <c r="I72" i="4"/>
  <c r="I76" i="4"/>
  <c r="I80" i="4"/>
  <c r="I84" i="4"/>
  <c r="I88" i="4"/>
  <c r="I92" i="4"/>
  <c r="I96" i="4"/>
  <c r="I100" i="4"/>
  <c r="I104" i="4"/>
  <c r="I108" i="4"/>
  <c r="I112" i="4"/>
  <c r="I116" i="4"/>
  <c r="I120" i="4"/>
  <c r="I124" i="4"/>
  <c r="I128" i="4"/>
  <c r="I132" i="4"/>
  <c r="I136" i="4"/>
  <c r="I140" i="4"/>
  <c r="I144" i="4"/>
  <c r="I148" i="4"/>
  <c r="I152" i="4"/>
  <c r="I156" i="4"/>
  <c r="I160" i="4"/>
  <c r="I164" i="4"/>
  <c r="I168" i="4"/>
  <c r="I172" i="4"/>
  <c r="I176" i="4"/>
  <c r="I180" i="4"/>
  <c r="I184" i="4"/>
  <c r="I188" i="4"/>
  <c r="I192" i="4"/>
  <c r="I196" i="4"/>
  <c r="I200" i="4"/>
  <c r="I204" i="4"/>
  <c r="I208" i="4"/>
  <c r="I212" i="4"/>
  <c r="I5" i="4"/>
  <c r="I9" i="4"/>
  <c r="I13" i="4"/>
  <c r="I17" i="4"/>
  <c r="I21" i="4"/>
  <c r="I25" i="4"/>
  <c r="I29" i="4"/>
  <c r="I33" i="4"/>
  <c r="I37" i="4"/>
  <c r="I41" i="4"/>
  <c r="I45" i="4"/>
  <c r="I49" i="4"/>
  <c r="I53" i="4"/>
  <c r="I57" i="4"/>
  <c r="I61" i="4"/>
  <c r="I65" i="4"/>
  <c r="I69" i="4"/>
  <c r="I73" i="4"/>
  <c r="I77" i="4"/>
  <c r="I81" i="4"/>
  <c r="I85" i="4"/>
  <c r="I89" i="4"/>
  <c r="I93" i="4"/>
  <c r="I97" i="4"/>
  <c r="I101" i="4"/>
  <c r="I105" i="4"/>
  <c r="I109" i="4"/>
  <c r="I113" i="4"/>
  <c r="I117" i="4"/>
  <c r="I121" i="4"/>
  <c r="I125" i="4"/>
  <c r="I129" i="4"/>
  <c r="I133" i="4"/>
  <c r="I137" i="4"/>
  <c r="I141" i="4"/>
  <c r="I145" i="4"/>
  <c r="I149" i="4"/>
  <c r="I153" i="4"/>
  <c r="I157" i="4"/>
  <c r="I161" i="4"/>
  <c r="I165" i="4"/>
  <c r="I169" i="4"/>
  <c r="I173" i="4"/>
  <c r="I177" i="4"/>
  <c r="I181" i="4"/>
  <c r="I185" i="4"/>
  <c r="I189" i="4"/>
  <c r="I193" i="4"/>
  <c r="I197" i="4"/>
  <c r="I201" i="4"/>
  <c r="I205" i="4"/>
  <c r="I209" i="4"/>
  <c r="I2" i="4"/>
  <c r="AA5" i="4"/>
  <c r="AA74" i="4"/>
  <c r="AA63" i="4"/>
  <c r="AA15" i="4"/>
  <c r="AA124" i="4"/>
  <c r="AA30" i="4"/>
  <c r="AA40" i="4"/>
  <c r="AA96" i="4"/>
  <c r="AA133" i="4"/>
  <c r="AA33" i="4"/>
  <c r="AA103" i="4"/>
  <c r="AA13" i="4"/>
  <c r="AA146" i="4"/>
  <c r="AA188" i="4"/>
  <c r="AA21" i="4"/>
  <c r="AA35" i="4"/>
  <c r="AA14" i="4"/>
  <c r="AA149" i="4"/>
  <c r="AA57" i="4"/>
  <c r="AA208" i="4"/>
  <c r="AA80" i="4"/>
  <c r="AA43" i="4"/>
  <c r="AA3" i="4"/>
  <c r="AA36" i="4"/>
  <c r="AA203" i="4"/>
  <c r="AA113" i="4"/>
  <c r="AA95" i="4"/>
  <c r="AA39" i="4"/>
  <c r="AA24" i="4"/>
  <c r="AA27" i="4"/>
  <c r="AA164" i="4"/>
  <c r="AA210" i="4"/>
  <c r="AA160" i="4"/>
  <c r="AA19" i="4"/>
  <c r="AA154" i="4"/>
  <c r="AA128" i="4"/>
  <c r="AA153" i="4"/>
  <c r="AA169" i="4"/>
  <c r="AA51" i="4"/>
  <c r="AA37" i="4"/>
  <c r="AA173" i="4"/>
  <c r="AA123" i="4"/>
  <c r="AA191" i="4"/>
  <c r="AA143" i="4"/>
  <c r="AA178" i="4"/>
  <c r="AA67" i="4"/>
  <c r="AA59" i="4"/>
  <c r="AA79" i="4"/>
  <c r="AA28" i="4"/>
  <c r="AA171" i="4"/>
  <c r="AA205" i="4"/>
  <c r="AA42" i="4"/>
  <c r="AA158" i="4"/>
  <c r="AA60" i="4"/>
  <c r="AA162" i="4"/>
  <c r="AA130" i="4"/>
  <c r="AA92" i="4"/>
  <c r="AA148" i="4"/>
  <c r="AA179" i="4"/>
  <c r="AA140" i="4"/>
  <c r="AA196" i="4"/>
  <c r="AA120" i="4"/>
  <c r="AA119" i="4"/>
  <c r="AA201" i="4"/>
  <c r="AA112" i="4"/>
  <c r="AA52" i="4"/>
  <c r="AA114" i="4"/>
  <c r="AA156" i="4"/>
  <c r="AA177" i="4"/>
  <c r="AA186" i="4"/>
  <c r="AA126" i="4"/>
  <c r="AA16" i="4"/>
  <c r="AA32" i="4"/>
  <c r="AA84" i="4"/>
  <c r="AA135" i="4"/>
  <c r="AA55" i="4"/>
  <c r="AA8" i="4"/>
  <c r="AA125" i="4"/>
  <c r="AA199" i="4"/>
  <c r="AA50" i="4"/>
  <c r="AA17" i="4"/>
  <c r="AA145" i="4"/>
  <c r="AA165" i="4"/>
  <c r="AA189" i="4"/>
  <c r="AA102" i="4"/>
  <c r="AA202" i="4"/>
  <c r="AA211" i="4"/>
  <c r="AA185" i="4"/>
  <c r="AA2" i="4"/>
  <c r="AA68" i="4"/>
  <c r="AA77" i="4"/>
  <c r="AA121" i="4"/>
  <c r="AA38" i="4"/>
  <c r="AA132" i="4"/>
  <c r="AA70" i="4"/>
  <c r="AA131" i="4"/>
  <c r="AA207" i="4"/>
  <c r="AA100" i="4"/>
  <c r="AA181" i="4"/>
  <c r="AA88" i="4"/>
  <c r="AA78" i="4"/>
  <c r="AA31" i="4"/>
  <c r="AA157" i="4"/>
  <c r="AA62" i="4"/>
  <c r="AA163" i="4"/>
  <c r="AA89" i="4"/>
  <c r="AA175" i="4"/>
  <c r="AA85" i="4"/>
  <c r="AA193" i="4"/>
  <c r="AA58" i="4"/>
  <c r="AA122" i="4"/>
  <c r="AA104" i="4"/>
  <c r="AA56" i="4"/>
  <c r="AA176" i="4"/>
  <c r="AA192" i="4"/>
  <c r="AA101" i="4"/>
  <c r="AA65" i="4"/>
  <c r="AA137" i="4"/>
  <c r="AA116" i="4"/>
  <c r="AA152" i="4"/>
  <c r="AA170" i="4"/>
  <c r="AA93" i="4"/>
  <c r="AA86" i="4"/>
  <c r="AA61" i="4"/>
  <c r="AA20" i="4"/>
  <c r="AA76" i="4"/>
  <c r="AA25" i="4"/>
  <c r="AA49" i="4"/>
  <c r="AA10" i="4"/>
  <c r="AA147" i="4"/>
  <c r="AA106" i="4"/>
  <c r="AA23" i="4"/>
  <c r="AA161" i="4"/>
  <c r="AA183" i="4"/>
  <c r="AA41" i="4"/>
  <c r="AA195" i="4"/>
  <c r="AA64" i="4"/>
  <c r="AA129" i="4"/>
  <c r="AA206" i="4"/>
  <c r="AA184" i="4"/>
  <c r="AA26" i="4"/>
  <c r="AA159" i="4"/>
  <c r="AA53" i="4"/>
  <c r="AA107" i="4"/>
  <c r="AA91" i="4"/>
  <c r="AA54" i="4"/>
  <c r="AA141" i="4"/>
  <c r="AA168" i="4"/>
  <c r="AA71" i="4"/>
  <c r="AA73" i="4"/>
  <c r="AA7" i="4"/>
  <c r="AA99" i="4"/>
  <c r="AA90" i="4"/>
  <c r="AA166" i="4"/>
  <c r="AA109" i="4"/>
  <c r="AA117" i="4"/>
  <c r="AA94" i="4"/>
  <c r="AA69" i="4"/>
  <c r="AA47" i="4"/>
  <c r="AA81" i="4"/>
  <c r="AA12" i="4"/>
  <c r="AA172" i="4"/>
  <c r="AA204" i="4"/>
  <c r="AA194" i="4"/>
  <c r="AA48" i="4"/>
  <c r="AA9" i="4"/>
  <c r="AA108" i="4"/>
  <c r="AA144" i="4"/>
  <c r="AA190" i="4"/>
  <c r="AA34" i="4"/>
  <c r="AA29" i="4"/>
  <c r="AA111" i="4"/>
  <c r="AA212" i="4"/>
  <c r="AA110" i="4"/>
  <c r="AA151" i="4"/>
  <c r="AA6" i="4"/>
  <c r="AA82" i="4"/>
  <c r="AA136" i="4"/>
  <c r="AA198" i="4"/>
  <c r="AA4" i="4"/>
  <c r="AA139" i="4"/>
  <c r="AA134" i="4"/>
  <c r="AA150" i="4"/>
  <c r="AA180" i="4"/>
  <c r="AA97" i="4"/>
  <c r="AA138" i="4"/>
  <c r="AA127" i="4"/>
  <c r="AA45" i="4"/>
  <c r="AA167" i="4"/>
  <c r="AA83" i="4"/>
  <c r="AA187" i="4"/>
  <c r="AA11" i="4"/>
  <c r="AA22" i="4"/>
  <c r="AA200" i="4"/>
  <c r="AA98" i="4"/>
  <c r="AA75" i="4"/>
  <c r="AA174" i="4"/>
  <c r="AA197" i="4"/>
  <c r="AA118" i="4"/>
  <c r="AA105" i="4"/>
  <c r="AA44" i="4"/>
  <c r="AA209" i="4"/>
  <c r="AA46" i="4"/>
  <c r="AA87" i="4"/>
  <c r="AA182" i="4"/>
  <c r="AA115" i="4"/>
  <c r="AA142" i="4"/>
  <c r="AA66" i="4"/>
  <c r="AA155" i="4"/>
  <c r="AA18" i="4"/>
  <c r="AA72" i="4"/>
  <c r="B144" i="3" l="1"/>
  <c r="B145" i="3" s="1"/>
  <c r="B147" i="3" l="1"/>
  <c r="C147" i="3" s="1"/>
  <c r="B148" i="3" s="1"/>
  <c r="C34" i="3" l="1"/>
  <c r="B150" i="3"/>
  <c r="C150" i="3" s="1"/>
  <c r="B149" i="3"/>
  <c r="C149" i="3" s="1"/>
  <c r="B154" i="3"/>
  <c r="C154" i="3" s="1"/>
  <c r="C7" i="4"/>
  <c r="B7" i="4" s="1"/>
  <c r="B153" i="3"/>
  <c r="C153" i="3" s="1"/>
  <c r="B152" i="3"/>
  <c r="C152" i="3" s="1"/>
  <c r="B155" i="3" l="1"/>
  <c r="C9" i="4" s="1"/>
  <c r="B9" i="4" s="1"/>
  <c r="B151" i="3"/>
  <c r="C35" i="3" s="1"/>
  <c r="C27" i="4" l="1"/>
  <c r="C36" i="3"/>
  <c r="C8" i="4"/>
  <c r="B8" i="4" s="1"/>
  <c r="X4" i="4" l="1"/>
  <c r="AE4" i="4" s="1"/>
  <c r="X80" i="4"/>
  <c r="X120" i="4"/>
  <c r="AE120" i="4" s="1"/>
  <c r="X62" i="4"/>
  <c r="AE62" i="4" s="1"/>
  <c r="X142" i="4"/>
  <c r="AB142" i="4" s="1"/>
  <c r="X28" i="4"/>
  <c r="X14" i="4"/>
  <c r="AB14" i="4" s="1"/>
  <c r="X187" i="4"/>
  <c r="AE187" i="4" s="1"/>
  <c r="X203" i="4"/>
  <c r="AB203" i="4" s="1"/>
  <c r="X119" i="4"/>
  <c r="C26" i="4"/>
  <c r="X98" i="4"/>
  <c r="AE98" i="4" s="1"/>
  <c r="X161" i="4"/>
  <c r="AB161" i="4" s="1"/>
  <c r="X48" i="4"/>
  <c r="X138" i="4"/>
  <c r="AE138" i="4" s="1"/>
  <c r="X156" i="4"/>
  <c r="AE156" i="4" s="1"/>
  <c r="X32" i="4"/>
  <c r="AE32" i="4" s="1"/>
  <c r="X118" i="4"/>
  <c r="X115" i="4"/>
  <c r="AE115" i="4" s="1"/>
  <c r="X56" i="4"/>
  <c r="AE56" i="4" s="1"/>
  <c r="X140" i="4"/>
  <c r="AE140" i="4" s="1"/>
  <c r="X135" i="4"/>
  <c r="X97" i="4"/>
  <c r="AE97" i="4" s="1"/>
  <c r="X6" i="4"/>
  <c r="AB6" i="4" s="1"/>
  <c r="X117" i="4"/>
  <c r="AB117" i="4" s="1"/>
  <c r="X34" i="4"/>
  <c r="X143" i="4"/>
  <c r="AB143" i="4" s="1"/>
  <c r="X121" i="4"/>
  <c r="AE121" i="4" s="1"/>
  <c r="X59" i="4"/>
  <c r="AB59" i="4" s="1"/>
  <c r="X212" i="4"/>
  <c r="X110" i="4"/>
  <c r="AB110" i="4" s="1"/>
  <c r="X70" i="4"/>
  <c r="AB70" i="4" s="1"/>
  <c r="X200" i="4"/>
  <c r="AB200" i="4" s="1"/>
  <c r="X87" i="4"/>
  <c r="X116" i="4"/>
  <c r="AB116" i="4" s="1"/>
  <c r="X58" i="4"/>
  <c r="AB58" i="4" s="1"/>
  <c r="X157" i="4"/>
  <c r="AB157" i="4" s="1"/>
  <c r="X102" i="4"/>
  <c r="X147" i="4"/>
  <c r="AE147" i="4" s="1"/>
  <c r="X42" i="4"/>
  <c r="AB42" i="4" s="1"/>
  <c r="X125" i="4"/>
  <c r="AE125" i="4" s="1"/>
  <c r="X53" i="4"/>
  <c r="X194" i="4"/>
  <c r="AE194" i="4" s="1"/>
  <c r="X208" i="4"/>
  <c r="AE208" i="4" s="1"/>
  <c r="X196" i="4"/>
  <c r="AB196" i="4" s="1"/>
  <c r="X2" i="4"/>
  <c r="X176" i="4"/>
  <c r="AE176" i="4" s="1"/>
  <c r="X112" i="4"/>
  <c r="AB112" i="4" s="1"/>
  <c r="X81" i="4"/>
  <c r="AE81" i="4" s="1"/>
  <c r="X40" i="4"/>
  <c r="AE40" i="4" s="1"/>
  <c r="X17" i="4"/>
  <c r="AE17" i="4" s="1"/>
  <c r="X160" i="4"/>
  <c r="AB160" i="4" s="1"/>
  <c r="X65" i="4"/>
  <c r="AE65" i="4" s="1"/>
  <c r="X133" i="4"/>
  <c r="AE133" i="4" s="1"/>
  <c r="X99" i="4"/>
  <c r="AB99" i="4" s="1"/>
  <c r="X47" i="4"/>
  <c r="AE47" i="4" s="1"/>
  <c r="X185" i="4"/>
  <c r="AB185" i="4" s="1"/>
  <c r="X64" i="4"/>
  <c r="AB64" i="4" s="1"/>
  <c r="X36" i="4"/>
  <c r="AB36" i="4" s="1"/>
  <c r="X69" i="4"/>
  <c r="AB69" i="4" s="1"/>
  <c r="X60" i="4"/>
  <c r="AB60" i="4" s="1"/>
  <c r="X182" i="4"/>
  <c r="AB182" i="4" s="1"/>
  <c r="X202" i="4"/>
  <c r="AB202" i="4" s="1"/>
  <c r="X166" i="4"/>
  <c r="AB166" i="4" s="1"/>
  <c r="X197" i="4"/>
  <c r="AE197" i="4" s="1"/>
  <c r="X136" i="4"/>
  <c r="AB136" i="4" s="1"/>
  <c r="X86" i="4"/>
  <c r="AE86" i="4" s="1"/>
  <c r="X181" i="4"/>
  <c r="AB181" i="4" s="1"/>
  <c r="X30" i="4"/>
  <c r="AB30" i="4" s="1"/>
  <c r="X139" i="4"/>
  <c r="AB139" i="4" s="1"/>
  <c r="X100" i="4"/>
  <c r="AE100" i="4" s="1"/>
  <c r="X12" i="4"/>
  <c r="AE12" i="4" s="1"/>
  <c r="X89" i="4"/>
  <c r="AE89" i="4" s="1"/>
  <c r="X95" i="4"/>
  <c r="AE95" i="4" s="1"/>
  <c r="X85" i="4"/>
  <c r="AB85" i="4" s="1"/>
  <c r="X155" i="4"/>
  <c r="AB155" i="4" s="1"/>
  <c r="X137" i="4"/>
  <c r="AB137" i="4" s="1"/>
  <c r="X91" i="4"/>
  <c r="AB91" i="4" s="1"/>
  <c r="X20" i="4"/>
  <c r="AE20" i="4" s="1"/>
  <c r="X164" i="4"/>
  <c r="AB164" i="4" s="1"/>
  <c r="X71" i="4"/>
  <c r="AE71" i="4" s="1"/>
  <c r="X114" i="4"/>
  <c r="AE114" i="4" s="1"/>
  <c r="X186" i="4"/>
  <c r="AE186" i="4" s="1"/>
  <c r="X211" i="4"/>
  <c r="AB211" i="4" s="1"/>
  <c r="X39" i="4"/>
  <c r="AB39" i="4" s="1"/>
  <c r="X151" i="4"/>
  <c r="AB151" i="4" s="1"/>
  <c r="X153" i="4"/>
  <c r="AB153" i="4" s="1"/>
  <c r="X51" i="4"/>
  <c r="AB51" i="4" s="1"/>
  <c r="X165" i="4"/>
  <c r="AE165" i="4" s="1"/>
  <c r="X31" i="4"/>
  <c r="AB31" i="4" s="1"/>
  <c r="X73" i="4"/>
  <c r="AB73" i="4" s="1"/>
  <c r="X191" i="4"/>
  <c r="AB191" i="4" s="1"/>
  <c r="X84" i="4"/>
  <c r="AE84" i="4" s="1"/>
  <c r="X7" i="4"/>
  <c r="AB7" i="4" s="1"/>
  <c r="X173" i="4"/>
  <c r="AE173" i="4" s="1"/>
  <c r="X45" i="4"/>
  <c r="AE45" i="4" s="1"/>
  <c r="X25" i="4"/>
  <c r="AB25" i="4" s="1"/>
  <c r="X109" i="4"/>
  <c r="AE109" i="4" s="1"/>
  <c r="X192" i="4"/>
  <c r="AE192" i="4" s="1"/>
  <c r="X188" i="4"/>
  <c r="AB188" i="4" s="1"/>
  <c r="X158" i="4"/>
  <c r="AE158" i="4" s="1"/>
  <c r="X171" i="4"/>
  <c r="AB171" i="4" s="1"/>
  <c r="X9" i="4"/>
  <c r="AE9" i="4" s="1"/>
  <c r="X23" i="4"/>
  <c r="AE23" i="4" s="1"/>
  <c r="X54" i="4"/>
  <c r="AE54" i="4" s="1"/>
  <c r="X148" i="4"/>
  <c r="AE148" i="4" s="1"/>
  <c r="X190" i="4"/>
  <c r="AE190" i="4" s="1"/>
  <c r="X27" i="4"/>
  <c r="X11" i="4"/>
  <c r="AB11" i="4" s="1"/>
  <c r="X132" i="4"/>
  <c r="AB132" i="4" s="1"/>
  <c r="X167" i="4"/>
  <c r="AB167" i="4" s="1"/>
  <c r="X94" i="4"/>
  <c r="AE94" i="4" s="1"/>
  <c r="X134" i="4"/>
  <c r="AB134" i="4" s="1"/>
  <c r="X50" i="4"/>
  <c r="AE50" i="4" s="1"/>
  <c r="X44" i="4"/>
  <c r="AB44" i="4" s="1"/>
  <c r="X199" i="4"/>
  <c r="AE199" i="4" s="1"/>
  <c r="X210" i="4"/>
  <c r="AB210" i="4" s="1"/>
  <c r="X5" i="4"/>
  <c r="AB5" i="4" s="1"/>
  <c r="X105" i="4"/>
  <c r="AE105" i="4" s="1"/>
  <c r="X82" i="4"/>
  <c r="AE82" i="4" s="1"/>
  <c r="X68" i="4"/>
  <c r="AE68" i="4" s="1"/>
  <c r="X193" i="4"/>
  <c r="AE193" i="4" s="1"/>
  <c r="X127" i="4"/>
  <c r="AE127" i="4" s="1"/>
  <c r="X183" i="4"/>
  <c r="AB183" i="4" s="1"/>
  <c r="X96" i="4"/>
  <c r="AB96" i="4" s="1"/>
  <c r="X24" i="4"/>
  <c r="AB24" i="4" s="1"/>
  <c r="X131" i="4"/>
  <c r="AB131" i="4" s="1"/>
  <c r="AE137" i="4"/>
  <c r="AE182" i="4"/>
  <c r="AE136" i="4"/>
  <c r="AE119" i="4"/>
  <c r="AB119" i="4"/>
  <c r="AE161" i="4"/>
  <c r="AE48" i="4"/>
  <c r="AB48" i="4"/>
  <c r="AB138" i="4"/>
  <c r="AB32" i="4"/>
  <c r="AB118" i="4"/>
  <c r="AE118" i="4"/>
  <c r="AB147" i="4"/>
  <c r="AB125" i="4"/>
  <c r="AB53" i="4"/>
  <c r="AE53" i="4"/>
  <c r="AB135" i="4"/>
  <c r="AE135" i="4"/>
  <c r="AE31" i="4"/>
  <c r="AE73" i="4"/>
  <c r="AE25" i="4"/>
  <c r="AB109" i="4"/>
  <c r="AB148" i="4"/>
  <c r="AE36" i="4"/>
  <c r="AE117" i="4"/>
  <c r="AE2" i="4"/>
  <c r="AB2" i="4"/>
  <c r="AB28" i="4"/>
  <c r="AE28" i="4"/>
  <c r="AB34" i="4"/>
  <c r="AE34" i="4"/>
  <c r="AB212" i="4"/>
  <c r="AE212" i="4"/>
  <c r="AE87" i="4"/>
  <c r="AB87" i="4"/>
  <c r="AE157" i="4"/>
  <c r="AE102" i="4"/>
  <c r="AB102" i="4"/>
  <c r="AE80" i="4"/>
  <c r="AB80" i="4"/>
  <c r="AE132" i="4"/>
  <c r="AB193" i="4"/>
  <c r="AB127" i="4"/>
  <c r="AE24" i="4"/>
  <c r="AB4" i="4"/>
  <c r="AE39" i="4" l="1"/>
  <c r="AB89" i="4"/>
  <c r="AE196" i="4"/>
  <c r="AB54" i="4"/>
  <c r="AC54" i="4" s="1"/>
  <c r="P54" i="4" s="1"/>
  <c r="J54" i="4" s="1"/>
  <c r="AB84" i="4"/>
  <c r="AB158" i="4"/>
  <c r="AE200" i="4"/>
  <c r="AB65" i="4"/>
  <c r="AC65" i="4" s="1"/>
  <c r="P65" i="4" s="1"/>
  <c r="J65" i="4" s="1"/>
  <c r="AE203" i="4"/>
  <c r="AE60" i="4"/>
  <c r="AE14" i="4"/>
  <c r="AB62" i="4"/>
  <c r="AC62" i="4" s="1"/>
  <c r="P62" i="4" s="1"/>
  <c r="J62" i="4" s="1"/>
  <c r="AB194" i="4"/>
  <c r="AC194" i="4" s="1"/>
  <c r="P194" i="4" s="1"/>
  <c r="J194" i="4" s="1"/>
  <c r="AB121" i="4"/>
  <c r="AD121" i="4" s="1"/>
  <c r="Q121" i="4" s="1"/>
  <c r="K121" i="4" s="1"/>
  <c r="AE116" i="4"/>
  <c r="AE110" i="4"/>
  <c r="AE143" i="4"/>
  <c r="AG143" i="4" s="1"/>
  <c r="AE6" i="4"/>
  <c r="AG6" i="4" s="1"/>
  <c r="AB56" i="4"/>
  <c r="AE44" i="4"/>
  <c r="AF44" i="4" s="1"/>
  <c r="AB187" i="4"/>
  <c r="AC187" i="4" s="1"/>
  <c r="P187" i="4" s="1"/>
  <c r="J187" i="4" s="1"/>
  <c r="AB208" i="4"/>
  <c r="AC208" i="4" s="1"/>
  <c r="P208" i="4" s="1"/>
  <c r="J208" i="4" s="1"/>
  <c r="AB173" i="4"/>
  <c r="AB97" i="4"/>
  <c r="AB115" i="4"/>
  <c r="AC115" i="4" s="1"/>
  <c r="P115" i="4" s="1"/>
  <c r="J115" i="4" s="1"/>
  <c r="AE131" i="4"/>
  <c r="AG131" i="4" s="1"/>
  <c r="AB105" i="4"/>
  <c r="AE167" i="4"/>
  <c r="AF167" i="4" s="1"/>
  <c r="AB9" i="4"/>
  <c r="AD9" i="4" s="1"/>
  <c r="Q9" i="4" s="1"/>
  <c r="K9" i="4" s="1"/>
  <c r="AB100" i="4"/>
  <c r="AC100" i="4" s="1"/>
  <c r="P100" i="4" s="1"/>
  <c r="J100" i="4" s="1"/>
  <c r="AE11" i="4"/>
  <c r="AB176" i="4"/>
  <c r="AD176" i="4" s="1"/>
  <c r="Q176" i="4" s="1"/>
  <c r="K176" i="4" s="1"/>
  <c r="AB120" i="4"/>
  <c r="AD120" i="4" s="1"/>
  <c r="Q120" i="4" s="1"/>
  <c r="K120" i="4" s="1"/>
  <c r="AB192" i="4"/>
  <c r="AC192" i="4" s="1"/>
  <c r="P192" i="4" s="1"/>
  <c r="J192" i="4" s="1"/>
  <c r="AE85" i="4"/>
  <c r="AE30" i="4"/>
  <c r="AF30" i="4" s="1"/>
  <c r="AE185" i="4"/>
  <c r="AF185" i="4" s="1"/>
  <c r="AB81" i="4"/>
  <c r="AD81" i="4" s="1"/>
  <c r="Q81" i="4" s="1"/>
  <c r="K81" i="4" s="1"/>
  <c r="AE134" i="4"/>
  <c r="AF134" i="4" s="1"/>
  <c r="AE59" i="4"/>
  <c r="AG59" i="4" s="1"/>
  <c r="AB68" i="4"/>
  <c r="AD68" i="4" s="1"/>
  <c r="Q68" i="4" s="1"/>
  <c r="K68" i="4" s="1"/>
  <c r="AE210" i="4"/>
  <c r="AG210" i="4" s="1"/>
  <c r="AE142" i="4"/>
  <c r="AF142" i="4" s="1"/>
  <c r="AB140" i="4"/>
  <c r="AC140" i="4" s="1"/>
  <c r="P140" i="4" s="1"/>
  <c r="J140" i="4" s="1"/>
  <c r="AB165" i="4"/>
  <c r="AD165" i="4" s="1"/>
  <c r="Q165" i="4" s="1"/>
  <c r="K165" i="4" s="1"/>
  <c r="AB197" i="4"/>
  <c r="AD197" i="4" s="1"/>
  <c r="Q197" i="4" s="1"/>
  <c r="K197" i="4" s="1"/>
  <c r="AB71" i="4"/>
  <c r="AC71" i="4" s="1"/>
  <c r="P71" i="4" s="1"/>
  <c r="J71" i="4" s="1"/>
  <c r="AE58" i="4"/>
  <c r="AF58" i="4" s="1"/>
  <c r="AE70" i="4"/>
  <c r="AF70" i="4" s="1"/>
  <c r="AE112" i="4"/>
  <c r="AG112" i="4" s="1"/>
  <c r="AB47" i="4"/>
  <c r="AD47" i="4" s="1"/>
  <c r="Q47" i="4" s="1"/>
  <c r="K47" i="4" s="1"/>
  <c r="AB98" i="4"/>
  <c r="AE99" i="4"/>
  <c r="AF99" i="4" s="1"/>
  <c r="AB156" i="4"/>
  <c r="AD156" i="4" s="1"/>
  <c r="Q156" i="4" s="1"/>
  <c r="K156" i="4" s="1"/>
  <c r="AB86" i="4"/>
  <c r="AD86" i="4" s="1"/>
  <c r="Q86" i="4" s="1"/>
  <c r="K86" i="4" s="1"/>
  <c r="AE202" i="4"/>
  <c r="AF202" i="4" s="1"/>
  <c r="AE69" i="4"/>
  <c r="AF69" i="4" s="1"/>
  <c r="AE155" i="4"/>
  <c r="AG155" i="4" s="1"/>
  <c r="AE181" i="4"/>
  <c r="AF181" i="4" s="1"/>
  <c r="AB17" i="4"/>
  <c r="AD17" i="4" s="1"/>
  <c r="Q17" i="4" s="1"/>
  <c r="K17" i="4" s="1"/>
  <c r="AB190" i="4"/>
  <c r="AC190" i="4" s="1"/>
  <c r="P190" i="4" s="1"/>
  <c r="J190" i="4" s="1"/>
  <c r="AB199" i="4"/>
  <c r="AD199" i="4" s="1"/>
  <c r="Q199" i="4" s="1"/>
  <c r="K199" i="4" s="1"/>
  <c r="AE183" i="4"/>
  <c r="AG183" i="4" s="1"/>
  <c r="AB94" i="4"/>
  <c r="AC94" i="4" s="1"/>
  <c r="P94" i="4" s="1"/>
  <c r="J94" i="4" s="1"/>
  <c r="AE160" i="4"/>
  <c r="AF160" i="4" s="1"/>
  <c r="AB12" i="4"/>
  <c r="AD12" i="4" s="1"/>
  <c r="Q12" i="4" s="1"/>
  <c r="K12" i="4" s="1"/>
  <c r="AE42" i="4"/>
  <c r="AF42" i="4" s="1"/>
  <c r="AE166" i="4"/>
  <c r="AE164" i="4"/>
  <c r="AF164" i="4" s="1"/>
  <c r="AB82" i="4"/>
  <c r="AC82" i="4" s="1"/>
  <c r="P82" i="4" s="1"/>
  <c r="J82" i="4" s="1"/>
  <c r="AE91" i="4"/>
  <c r="AG91" i="4" s="1"/>
  <c r="AB95" i="4"/>
  <c r="AD95" i="4" s="1"/>
  <c r="Q95" i="4" s="1"/>
  <c r="K95" i="4" s="1"/>
  <c r="AE139" i="4"/>
  <c r="AF139" i="4" s="1"/>
  <c r="AE64" i="4"/>
  <c r="AG64" i="4" s="1"/>
  <c r="AB133" i="4"/>
  <c r="AC133" i="4" s="1"/>
  <c r="P133" i="4" s="1"/>
  <c r="J133" i="4" s="1"/>
  <c r="AB40" i="4"/>
  <c r="AD40" i="4" s="1"/>
  <c r="Q40" i="4" s="1"/>
  <c r="K40" i="4" s="1"/>
  <c r="AE171" i="4"/>
  <c r="AG171" i="4" s="1"/>
  <c r="AE7" i="4"/>
  <c r="AF7" i="4" s="1"/>
  <c r="AE151" i="4"/>
  <c r="AF151" i="4" s="1"/>
  <c r="AB114" i="4"/>
  <c r="AD114" i="4" s="1"/>
  <c r="Q114" i="4" s="1"/>
  <c r="K114" i="4" s="1"/>
  <c r="AE96" i="4"/>
  <c r="AG96" i="4" s="1"/>
  <c r="AE5" i="4"/>
  <c r="AG5" i="4" s="1"/>
  <c r="AB50" i="4"/>
  <c r="AD50" i="4" s="1"/>
  <c r="Q50" i="4" s="1"/>
  <c r="K50" i="4" s="1"/>
  <c r="AE211" i="4"/>
  <c r="AF211" i="4" s="1"/>
  <c r="AE188" i="4"/>
  <c r="AG188" i="4" s="1"/>
  <c r="AB45" i="4"/>
  <c r="AC45" i="4" s="1"/>
  <c r="P45" i="4" s="1"/>
  <c r="J45" i="4" s="1"/>
  <c r="AE191" i="4"/>
  <c r="AF191" i="4" s="1"/>
  <c r="AE51" i="4"/>
  <c r="AF51" i="4" s="1"/>
  <c r="Y183" i="4"/>
  <c r="Z183" i="4"/>
  <c r="Y82" i="4"/>
  <c r="Z82" i="4"/>
  <c r="Y199" i="4"/>
  <c r="Z199" i="4"/>
  <c r="Y94" i="4"/>
  <c r="Z94" i="4"/>
  <c r="AE27" i="4"/>
  <c r="AF27" i="4" s="1"/>
  <c r="Z27" i="4"/>
  <c r="Y27" i="4"/>
  <c r="AB23" i="4"/>
  <c r="AD23" i="4" s="1"/>
  <c r="Q23" i="4" s="1"/>
  <c r="K23" i="4" s="1"/>
  <c r="Y23" i="4"/>
  <c r="Z23" i="4"/>
  <c r="Y188" i="4"/>
  <c r="Z188" i="4"/>
  <c r="Z45" i="4"/>
  <c r="Y45" i="4"/>
  <c r="Y191" i="4"/>
  <c r="Z191" i="4"/>
  <c r="Z51" i="4"/>
  <c r="Y51" i="4"/>
  <c r="Z211" i="4"/>
  <c r="Y211" i="4"/>
  <c r="Z164" i="4"/>
  <c r="Y164" i="4"/>
  <c r="Y155" i="4"/>
  <c r="Z155" i="4"/>
  <c r="Y12" i="4"/>
  <c r="Z12" i="4"/>
  <c r="Y181" i="4"/>
  <c r="Z181" i="4"/>
  <c r="Z166" i="4"/>
  <c r="Y166" i="4"/>
  <c r="Y69" i="4"/>
  <c r="Z69" i="4"/>
  <c r="Z47" i="4"/>
  <c r="Y47" i="4"/>
  <c r="Z160" i="4"/>
  <c r="Y160" i="4"/>
  <c r="Z112" i="4"/>
  <c r="Y112" i="4"/>
  <c r="Y208" i="4"/>
  <c r="Z208" i="4"/>
  <c r="Z42" i="4"/>
  <c r="Y42" i="4"/>
  <c r="Z58" i="4"/>
  <c r="Y58" i="4"/>
  <c r="Y70" i="4"/>
  <c r="Z70" i="4"/>
  <c r="Z121" i="4"/>
  <c r="Y121" i="4"/>
  <c r="Y6" i="4"/>
  <c r="Z6" i="4"/>
  <c r="Y56" i="4"/>
  <c r="Z56" i="4"/>
  <c r="Z156" i="4"/>
  <c r="Y156" i="4"/>
  <c r="Z98" i="4"/>
  <c r="Y98" i="4"/>
  <c r="Z187" i="4"/>
  <c r="Y187" i="4"/>
  <c r="Y62" i="4"/>
  <c r="Z62" i="4"/>
  <c r="Z131" i="4"/>
  <c r="Y131" i="4"/>
  <c r="Y127" i="4"/>
  <c r="Z127" i="4"/>
  <c r="Y105" i="4"/>
  <c r="Z105" i="4"/>
  <c r="Y44" i="4"/>
  <c r="Z44" i="4"/>
  <c r="Y167" i="4"/>
  <c r="Z167" i="4"/>
  <c r="Z190" i="4"/>
  <c r="Y190" i="4"/>
  <c r="Y9" i="4"/>
  <c r="Z9" i="4"/>
  <c r="Y192" i="4"/>
  <c r="Z192" i="4"/>
  <c r="Y173" i="4"/>
  <c r="Z173" i="4"/>
  <c r="Y73" i="4"/>
  <c r="Z73" i="4"/>
  <c r="AE153" i="4"/>
  <c r="AG153" i="4" s="1"/>
  <c r="Y153" i="4"/>
  <c r="Z153" i="4"/>
  <c r="AB186" i="4"/>
  <c r="AC186" i="4" s="1"/>
  <c r="P186" i="4" s="1"/>
  <c r="J186" i="4" s="1"/>
  <c r="Z186" i="4"/>
  <c r="Y186" i="4"/>
  <c r="AB20" i="4"/>
  <c r="AD20" i="4" s="1"/>
  <c r="Q20" i="4" s="1"/>
  <c r="K20" i="4" s="1"/>
  <c r="Z20" i="4"/>
  <c r="Y20" i="4"/>
  <c r="Y85" i="4"/>
  <c r="Z85" i="4"/>
  <c r="Y100" i="4"/>
  <c r="Z100" i="4"/>
  <c r="Z86" i="4"/>
  <c r="Y86" i="4"/>
  <c r="Y202" i="4"/>
  <c r="Z202" i="4"/>
  <c r="Z36" i="4"/>
  <c r="Y36" i="4"/>
  <c r="Z99" i="4"/>
  <c r="Y99" i="4"/>
  <c r="Z17" i="4"/>
  <c r="Y17" i="4"/>
  <c r="Z176" i="4"/>
  <c r="Y176" i="4"/>
  <c r="Z194" i="4"/>
  <c r="Y194" i="4"/>
  <c r="Z147" i="4"/>
  <c r="Y147" i="4"/>
  <c r="Z116" i="4"/>
  <c r="Y116" i="4"/>
  <c r="Z110" i="4"/>
  <c r="Y110" i="4"/>
  <c r="Y143" i="4"/>
  <c r="Z143" i="4"/>
  <c r="Z97" i="4"/>
  <c r="Y97" i="4"/>
  <c r="Z115" i="4"/>
  <c r="Y115" i="4"/>
  <c r="Z138" i="4"/>
  <c r="Y138" i="4"/>
  <c r="Y14" i="4"/>
  <c r="Z14" i="4"/>
  <c r="Y120" i="4"/>
  <c r="Z120" i="4"/>
  <c r="Y24" i="4"/>
  <c r="Z24" i="4"/>
  <c r="Z193" i="4"/>
  <c r="Y193" i="4"/>
  <c r="Y5" i="4"/>
  <c r="Z5" i="4"/>
  <c r="Z50" i="4"/>
  <c r="Y50" i="4"/>
  <c r="Z132" i="4"/>
  <c r="Y132" i="4"/>
  <c r="Z148" i="4"/>
  <c r="Y148" i="4"/>
  <c r="Y171" i="4"/>
  <c r="Z171" i="4"/>
  <c r="Z109" i="4"/>
  <c r="Y109" i="4"/>
  <c r="Z7" i="4"/>
  <c r="Y7" i="4"/>
  <c r="Y31" i="4"/>
  <c r="Z31" i="4"/>
  <c r="Z151" i="4"/>
  <c r="Y151" i="4"/>
  <c r="Z114" i="4"/>
  <c r="Y114" i="4"/>
  <c r="Z91" i="4"/>
  <c r="Y91" i="4"/>
  <c r="Z95" i="4"/>
  <c r="Y95" i="4"/>
  <c r="Y139" i="4"/>
  <c r="Z139" i="4"/>
  <c r="Y136" i="4"/>
  <c r="Z136" i="4"/>
  <c r="Z182" i="4"/>
  <c r="Y182" i="4"/>
  <c r="Y64" i="4"/>
  <c r="Z64" i="4"/>
  <c r="Y133" i="4"/>
  <c r="Z133" i="4"/>
  <c r="Y40" i="4"/>
  <c r="Z40" i="4"/>
  <c r="Y2" i="4"/>
  <c r="Z2" i="4"/>
  <c r="Y53" i="4"/>
  <c r="Z53" i="4"/>
  <c r="Z102" i="4"/>
  <c r="Y102" i="4"/>
  <c r="Z87" i="4"/>
  <c r="Y87" i="4"/>
  <c r="Y212" i="4"/>
  <c r="Z212" i="4"/>
  <c r="Z34" i="4"/>
  <c r="Y34" i="4"/>
  <c r="Y135" i="4"/>
  <c r="Z135" i="4"/>
  <c r="Z118" i="4"/>
  <c r="Y118" i="4"/>
  <c r="Z48" i="4"/>
  <c r="Y48" i="4"/>
  <c r="Z119" i="4"/>
  <c r="Y119" i="4"/>
  <c r="Y28" i="4"/>
  <c r="Z28" i="4"/>
  <c r="Y80" i="4"/>
  <c r="Z80" i="4"/>
  <c r="Y96" i="4"/>
  <c r="Z96" i="4"/>
  <c r="Z68" i="4"/>
  <c r="Y68" i="4"/>
  <c r="Z210" i="4"/>
  <c r="Y210" i="4"/>
  <c r="Y134" i="4"/>
  <c r="Z134" i="4"/>
  <c r="Z11" i="4"/>
  <c r="Y11" i="4"/>
  <c r="Y54" i="4"/>
  <c r="Z54" i="4"/>
  <c r="Z158" i="4"/>
  <c r="Y158" i="4"/>
  <c r="Y25" i="4"/>
  <c r="Z25" i="4"/>
  <c r="Y84" i="4"/>
  <c r="Z84" i="4"/>
  <c r="Z165" i="4"/>
  <c r="Y165" i="4"/>
  <c r="Z39" i="4"/>
  <c r="Y39" i="4"/>
  <c r="Y71" i="4"/>
  <c r="Z71" i="4"/>
  <c r="Z137" i="4"/>
  <c r="Y137" i="4"/>
  <c r="Z89" i="4"/>
  <c r="Y89" i="4"/>
  <c r="Y30" i="4"/>
  <c r="Z30" i="4"/>
  <c r="Y197" i="4"/>
  <c r="Z197" i="4"/>
  <c r="Z60" i="4"/>
  <c r="Y60" i="4"/>
  <c r="Y185" i="4"/>
  <c r="Z185" i="4"/>
  <c r="Z65" i="4"/>
  <c r="Y65" i="4"/>
  <c r="Y81" i="4"/>
  <c r="Z81" i="4"/>
  <c r="Z196" i="4"/>
  <c r="Y196" i="4"/>
  <c r="Z125" i="4"/>
  <c r="Y125" i="4"/>
  <c r="Z157" i="4"/>
  <c r="Y157" i="4"/>
  <c r="Z200" i="4"/>
  <c r="Y200" i="4"/>
  <c r="Z59" i="4"/>
  <c r="Y59" i="4"/>
  <c r="Z117" i="4"/>
  <c r="Y117" i="4"/>
  <c r="Z140" i="4"/>
  <c r="Y140" i="4"/>
  <c r="Z32" i="4"/>
  <c r="Y32" i="4"/>
  <c r="Y161" i="4"/>
  <c r="Z161" i="4"/>
  <c r="Z203" i="4"/>
  <c r="Y203" i="4"/>
  <c r="Z142" i="4"/>
  <c r="Y142" i="4"/>
  <c r="Z4" i="4"/>
  <c r="Y4" i="4"/>
  <c r="AB27" i="4"/>
  <c r="AC27" i="4" s="1"/>
  <c r="P27" i="4" s="1"/>
  <c r="J27" i="4" s="1"/>
  <c r="X152" i="4"/>
  <c r="X144" i="4"/>
  <c r="X201" i="4"/>
  <c r="X107" i="4"/>
  <c r="X175" i="4"/>
  <c r="X10" i="4"/>
  <c r="X172" i="4"/>
  <c r="X67" i="4"/>
  <c r="X195" i="4"/>
  <c r="X150" i="4"/>
  <c r="X37" i="4"/>
  <c r="X41" i="4"/>
  <c r="X189" i="4"/>
  <c r="X57" i="4"/>
  <c r="X206" i="4"/>
  <c r="X170" i="4"/>
  <c r="X75" i="4"/>
  <c r="X177" i="4"/>
  <c r="X16" i="4"/>
  <c r="X29" i="4"/>
  <c r="X90" i="4"/>
  <c r="X198" i="4"/>
  <c r="X13" i="4"/>
  <c r="X76" i="4"/>
  <c r="X113" i="4"/>
  <c r="X38" i="4"/>
  <c r="X184" i="4"/>
  <c r="X111" i="4"/>
  <c r="X61" i="4"/>
  <c r="X146" i="4"/>
  <c r="X205" i="4"/>
  <c r="X207" i="4"/>
  <c r="X15" i="4"/>
  <c r="X162" i="4"/>
  <c r="X124" i="4"/>
  <c r="X204" i="4"/>
  <c r="X101" i="4"/>
  <c r="X66" i="4"/>
  <c r="X46" i="4"/>
  <c r="X128" i="4"/>
  <c r="X83" i="4"/>
  <c r="X79" i="4"/>
  <c r="X179" i="4"/>
  <c r="X174" i="4"/>
  <c r="X178" i="4"/>
  <c r="X123" i="4"/>
  <c r="X49" i="4"/>
  <c r="X149" i="4"/>
  <c r="X92" i="4"/>
  <c r="X130" i="4"/>
  <c r="X33" i="4"/>
  <c r="X55" i="4"/>
  <c r="X154" i="4"/>
  <c r="X129" i="4"/>
  <c r="X78" i="4"/>
  <c r="X122" i="4"/>
  <c r="X26" i="4"/>
  <c r="X8" i="4"/>
  <c r="X108" i="4"/>
  <c r="X93" i="4"/>
  <c r="X169" i="4"/>
  <c r="X18" i="4"/>
  <c r="X163" i="4"/>
  <c r="X72" i="4"/>
  <c r="X145" i="4"/>
  <c r="X104" i="4"/>
  <c r="X22" i="4"/>
  <c r="X180" i="4"/>
  <c r="X88" i="4"/>
  <c r="X106" i="4"/>
  <c r="X21" i="4"/>
  <c r="X168" i="4"/>
  <c r="X103" i="4"/>
  <c r="X63" i="4"/>
  <c r="X126" i="4"/>
  <c r="X141" i="4"/>
  <c r="X35" i="4"/>
  <c r="X43" i="4"/>
  <c r="X77" i="4"/>
  <c r="X159" i="4"/>
  <c r="X19" i="4"/>
  <c r="X74" i="4"/>
  <c r="X52" i="4"/>
  <c r="X209" i="4"/>
  <c r="X3" i="4"/>
  <c r="AD24" i="4"/>
  <c r="Q24" i="4" s="1"/>
  <c r="K24" i="4" s="1"/>
  <c r="AC24" i="4"/>
  <c r="P24" i="4" s="1"/>
  <c r="J24" i="4" s="1"/>
  <c r="AC193" i="4"/>
  <c r="P193" i="4" s="1"/>
  <c r="J193" i="4" s="1"/>
  <c r="AD193" i="4"/>
  <c r="Q193" i="4" s="1"/>
  <c r="K193" i="4" s="1"/>
  <c r="AC5" i="4"/>
  <c r="P5" i="4" s="1"/>
  <c r="J5" i="4" s="1"/>
  <c r="AD5" i="4"/>
  <c r="Q5" i="4" s="1"/>
  <c r="K5" i="4" s="1"/>
  <c r="AC131" i="4"/>
  <c r="P131" i="4" s="1"/>
  <c r="J131" i="4" s="1"/>
  <c r="AD131" i="4"/>
  <c r="Q131" i="4" s="1"/>
  <c r="K131" i="4" s="1"/>
  <c r="AF127" i="4"/>
  <c r="AG127" i="4"/>
  <c r="AG105" i="4"/>
  <c r="AF105" i="4"/>
  <c r="AG44" i="4"/>
  <c r="AG134" i="4"/>
  <c r="AC167" i="4"/>
  <c r="P167" i="4" s="1"/>
  <c r="J167" i="4" s="1"/>
  <c r="AD167" i="4"/>
  <c r="Q167" i="4" s="1"/>
  <c r="K167" i="4" s="1"/>
  <c r="AD80" i="4"/>
  <c r="Q80" i="4" s="1"/>
  <c r="K80" i="4" s="1"/>
  <c r="AC80" i="4"/>
  <c r="P80" i="4" s="1"/>
  <c r="J80" i="4" s="1"/>
  <c r="AC157" i="4"/>
  <c r="P157" i="4" s="1"/>
  <c r="J157" i="4" s="1"/>
  <c r="AD157" i="4"/>
  <c r="Q157" i="4" s="1"/>
  <c r="K157" i="4" s="1"/>
  <c r="AD116" i="4"/>
  <c r="Q116" i="4" s="1"/>
  <c r="K116" i="4" s="1"/>
  <c r="AC116" i="4"/>
  <c r="P116" i="4" s="1"/>
  <c r="J116" i="4" s="1"/>
  <c r="AG200" i="4"/>
  <c r="AF200" i="4"/>
  <c r="AC110" i="4"/>
  <c r="P110" i="4" s="1"/>
  <c r="J110" i="4" s="1"/>
  <c r="AD110" i="4"/>
  <c r="Q110" i="4" s="1"/>
  <c r="K110" i="4" s="1"/>
  <c r="AF59" i="4"/>
  <c r="AD11" i="4"/>
  <c r="Q11" i="4" s="1"/>
  <c r="K11" i="4" s="1"/>
  <c r="AC11" i="4"/>
  <c r="P11" i="4" s="1"/>
  <c r="J11" i="4" s="1"/>
  <c r="AF112" i="4"/>
  <c r="AC176" i="4"/>
  <c r="P176" i="4" s="1"/>
  <c r="J176" i="4" s="1"/>
  <c r="AG34" i="4"/>
  <c r="AF34" i="4"/>
  <c r="AD2" i="4"/>
  <c r="Q2" i="4" s="1"/>
  <c r="K2" i="4" s="1"/>
  <c r="AC2" i="4"/>
  <c r="P2" i="4" s="1"/>
  <c r="J2" i="4" s="1"/>
  <c r="AF117" i="4"/>
  <c r="AG117" i="4"/>
  <c r="AC196" i="4"/>
  <c r="P196" i="4" s="1"/>
  <c r="J196" i="4" s="1"/>
  <c r="AD196" i="4"/>
  <c r="Q196" i="4" s="1"/>
  <c r="K196" i="4" s="1"/>
  <c r="AC6" i="4"/>
  <c r="P6" i="4" s="1"/>
  <c r="J6" i="4" s="1"/>
  <c r="AD6" i="4"/>
  <c r="Q6" i="4" s="1"/>
  <c r="K6" i="4" s="1"/>
  <c r="AF208" i="4"/>
  <c r="AG208" i="4"/>
  <c r="AF47" i="4"/>
  <c r="AG47" i="4"/>
  <c r="AC40" i="4"/>
  <c r="P40" i="4" s="1"/>
  <c r="J40" i="4" s="1"/>
  <c r="AC148" i="4"/>
  <c r="P148" i="4" s="1"/>
  <c r="J148" i="4" s="1"/>
  <c r="AD148" i="4"/>
  <c r="Q148" i="4" s="1"/>
  <c r="K148" i="4" s="1"/>
  <c r="AF23" i="4"/>
  <c r="AG23" i="4"/>
  <c r="AD109" i="4"/>
  <c r="Q109" i="4" s="1"/>
  <c r="K109" i="4" s="1"/>
  <c r="AC109" i="4"/>
  <c r="P109" i="4" s="1"/>
  <c r="J109" i="4" s="1"/>
  <c r="AF31" i="4"/>
  <c r="AG31" i="4"/>
  <c r="AF53" i="4"/>
  <c r="AG53" i="4"/>
  <c r="AD125" i="4"/>
  <c r="Q125" i="4" s="1"/>
  <c r="K125" i="4" s="1"/>
  <c r="AC125" i="4"/>
  <c r="P125" i="4" s="1"/>
  <c r="J125" i="4" s="1"/>
  <c r="AF147" i="4"/>
  <c r="AG147" i="4"/>
  <c r="AF32" i="4"/>
  <c r="AG32" i="4"/>
  <c r="AG138" i="4"/>
  <c r="AF138" i="4"/>
  <c r="AF161" i="4"/>
  <c r="AG161" i="4"/>
  <c r="AD119" i="4"/>
  <c r="Q119" i="4" s="1"/>
  <c r="K119" i="4" s="1"/>
  <c r="AC119" i="4"/>
  <c r="P119" i="4" s="1"/>
  <c r="J119" i="4" s="1"/>
  <c r="AG51" i="4"/>
  <c r="AC153" i="4"/>
  <c r="P153" i="4" s="1"/>
  <c r="J153" i="4" s="1"/>
  <c r="AD153" i="4"/>
  <c r="Q153" i="4" s="1"/>
  <c r="K153" i="4" s="1"/>
  <c r="AC151" i="4"/>
  <c r="P151" i="4" s="1"/>
  <c r="J151" i="4" s="1"/>
  <c r="AD151" i="4"/>
  <c r="Q151" i="4" s="1"/>
  <c r="K151" i="4" s="1"/>
  <c r="AF39" i="4"/>
  <c r="AG39" i="4"/>
  <c r="AG211" i="4"/>
  <c r="AF186" i="4"/>
  <c r="AG186" i="4"/>
  <c r="AC114" i="4"/>
  <c r="P114" i="4" s="1"/>
  <c r="J114" i="4" s="1"/>
  <c r="AD71" i="4"/>
  <c r="Q71" i="4" s="1"/>
  <c r="K71" i="4" s="1"/>
  <c r="AC155" i="4"/>
  <c r="P155" i="4" s="1"/>
  <c r="J155" i="4" s="1"/>
  <c r="AD155" i="4"/>
  <c r="Q155" i="4" s="1"/>
  <c r="K155" i="4" s="1"/>
  <c r="AF131" i="4"/>
  <c r="AD127" i="4"/>
  <c r="Q127" i="4" s="1"/>
  <c r="K127" i="4" s="1"/>
  <c r="AC127" i="4"/>
  <c r="P127" i="4" s="1"/>
  <c r="J127" i="4" s="1"/>
  <c r="AC105" i="4"/>
  <c r="P105" i="4" s="1"/>
  <c r="J105" i="4" s="1"/>
  <c r="AD105" i="4"/>
  <c r="Q105" i="4" s="1"/>
  <c r="K105" i="4" s="1"/>
  <c r="AD210" i="4"/>
  <c r="Q210" i="4" s="1"/>
  <c r="K210" i="4" s="1"/>
  <c r="AC210" i="4"/>
  <c r="P210" i="4" s="1"/>
  <c r="J210" i="4" s="1"/>
  <c r="AC44" i="4"/>
  <c r="P44" i="4" s="1"/>
  <c r="J44" i="4" s="1"/>
  <c r="AD44" i="4"/>
  <c r="Q44" i="4" s="1"/>
  <c r="K44" i="4" s="1"/>
  <c r="AC134" i="4"/>
  <c r="P134" i="4" s="1"/>
  <c r="J134" i="4" s="1"/>
  <c r="AD134" i="4"/>
  <c r="Q134" i="4" s="1"/>
  <c r="K134" i="4" s="1"/>
  <c r="AF80" i="4"/>
  <c r="AG80" i="4"/>
  <c r="AG157" i="4"/>
  <c r="AF157" i="4"/>
  <c r="AG116" i="4"/>
  <c r="AF116" i="4"/>
  <c r="AC200" i="4"/>
  <c r="P200" i="4" s="1"/>
  <c r="J200" i="4" s="1"/>
  <c r="AD200" i="4"/>
  <c r="Q200" i="4" s="1"/>
  <c r="K200" i="4" s="1"/>
  <c r="AG110" i="4"/>
  <c r="AF110" i="4"/>
  <c r="AC59" i="4"/>
  <c r="P59" i="4" s="1"/>
  <c r="J59" i="4" s="1"/>
  <c r="AD59" i="4"/>
  <c r="Q59" i="4" s="1"/>
  <c r="K59" i="4" s="1"/>
  <c r="AG11" i="4"/>
  <c r="AF11" i="4"/>
  <c r="AC112" i="4"/>
  <c r="P112" i="4" s="1"/>
  <c r="J112" i="4" s="1"/>
  <c r="AD112" i="4"/>
  <c r="Q112" i="4" s="1"/>
  <c r="K112" i="4" s="1"/>
  <c r="AC143" i="4"/>
  <c r="P143" i="4" s="1"/>
  <c r="J143" i="4" s="1"/>
  <c r="AD143" i="4"/>
  <c r="Q143" i="4" s="1"/>
  <c r="K143" i="4" s="1"/>
  <c r="AG176" i="4"/>
  <c r="AF176" i="4"/>
  <c r="AD34" i="4"/>
  <c r="Q34" i="4" s="1"/>
  <c r="K34" i="4" s="1"/>
  <c r="AC34" i="4"/>
  <c r="P34" i="4" s="1"/>
  <c r="J34" i="4" s="1"/>
  <c r="AG2" i="4"/>
  <c r="AF2" i="4"/>
  <c r="AC117" i="4"/>
  <c r="P117" i="4" s="1"/>
  <c r="J117" i="4" s="1"/>
  <c r="AD117" i="4"/>
  <c r="Q117" i="4" s="1"/>
  <c r="K117" i="4" s="1"/>
  <c r="AG196" i="4"/>
  <c r="AF196" i="4"/>
  <c r="AD208" i="4"/>
  <c r="Q208" i="4" s="1"/>
  <c r="K208" i="4" s="1"/>
  <c r="AD64" i="4"/>
  <c r="Q64" i="4" s="1"/>
  <c r="K64" i="4" s="1"/>
  <c r="AC64" i="4"/>
  <c r="P64" i="4" s="1"/>
  <c r="J64" i="4" s="1"/>
  <c r="AF133" i="4"/>
  <c r="AG133" i="4"/>
  <c r="AC160" i="4"/>
  <c r="P160" i="4" s="1"/>
  <c r="J160" i="4" s="1"/>
  <c r="AD160" i="4"/>
  <c r="Q160" i="4" s="1"/>
  <c r="K160" i="4" s="1"/>
  <c r="AG40" i="4"/>
  <c r="AF40" i="4"/>
  <c r="AG148" i="4"/>
  <c r="AF148" i="4"/>
  <c r="AC23" i="4"/>
  <c r="P23" i="4" s="1"/>
  <c r="J23" i="4" s="1"/>
  <c r="AC171" i="4"/>
  <c r="P171" i="4" s="1"/>
  <c r="J171" i="4" s="1"/>
  <c r="AD171" i="4"/>
  <c r="Q171" i="4" s="1"/>
  <c r="K171" i="4" s="1"/>
  <c r="AC188" i="4"/>
  <c r="P188" i="4" s="1"/>
  <c r="J188" i="4" s="1"/>
  <c r="AD188" i="4"/>
  <c r="Q188" i="4" s="1"/>
  <c r="K188" i="4" s="1"/>
  <c r="AF109" i="4"/>
  <c r="AG109" i="4"/>
  <c r="AF45" i="4"/>
  <c r="AG45" i="4"/>
  <c r="AC7" i="4"/>
  <c r="P7" i="4" s="1"/>
  <c r="J7" i="4" s="1"/>
  <c r="AD7" i="4"/>
  <c r="Q7" i="4" s="1"/>
  <c r="K7" i="4" s="1"/>
  <c r="AC191" i="4"/>
  <c r="P191" i="4" s="1"/>
  <c r="J191" i="4" s="1"/>
  <c r="AD191" i="4"/>
  <c r="Q191" i="4" s="1"/>
  <c r="K191" i="4" s="1"/>
  <c r="AC31" i="4"/>
  <c r="P31" i="4" s="1"/>
  <c r="J31" i="4" s="1"/>
  <c r="AD31" i="4"/>
  <c r="Q31" i="4" s="1"/>
  <c r="K31" i="4" s="1"/>
  <c r="AG194" i="4"/>
  <c r="AF194" i="4"/>
  <c r="AD53" i="4"/>
  <c r="Q53" i="4" s="1"/>
  <c r="K53" i="4" s="1"/>
  <c r="AC53" i="4"/>
  <c r="P53" i="4" s="1"/>
  <c r="J53" i="4" s="1"/>
  <c r="AF125" i="4"/>
  <c r="AG125" i="4"/>
  <c r="AC42" i="4"/>
  <c r="P42" i="4" s="1"/>
  <c r="J42" i="4" s="1"/>
  <c r="AD42" i="4"/>
  <c r="Q42" i="4" s="1"/>
  <c r="K42" i="4" s="1"/>
  <c r="AC147" i="4"/>
  <c r="P147" i="4" s="1"/>
  <c r="J147" i="4" s="1"/>
  <c r="AD147" i="4"/>
  <c r="Q147" i="4" s="1"/>
  <c r="K147" i="4" s="1"/>
  <c r="AC32" i="4"/>
  <c r="P32" i="4" s="1"/>
  <c r="J32" i="4" s="1"/>
  <c r="AD32" i="4"/>
  <c r="Q32" i="4" s="1"/>
  <c r="K32" i="4" s="1"/>
  <c r="AC138" i="4"/>
  <c r="P138" i="4" s="1"/>
  <c r="J138" i="4" s="1"/>
  <c r="AD138" i="4"/>
  <c r="Q138" i="4" s="1"/>
  <c r="K138" i="4" s="1"/>
  <c r="AD161" i="4"/>
  <c r="Q161" i="4" s="1"/>
  <c r="K161" i="4" s="1"/>
  <c r="AC161" i="4"/>
  <c r="P161" i="4" s="1"/>
  <c r="J161" i="4" s="1"/>
  <c r="AG119" i="4"/>
  <c r="AF119" i="4"/>
  <c r="AF165" i="4"/>
  <c r="AG165" i="4"/>
  <c r="AC51" i="4"/>
  <c r="P51" i="4" s="1"/>
  <c r="J51" i="4" s="1"/>
  <c r="AD51" i="4"/>
  <c r="Q51" i="4" s="1"/>
  <c r="K51" i="4" s="1"/>
  <c r="AD39" i="4"/>
  <c r="Q39" i="4" s="1"/>
  <c r="K39" i="4" s="1"/>
  <c r="AC39" i="4"/>
  <c r="P39" i="4" s="1"/>
  <c r="J39" i="4" s="1"/>
  <c r="AD211" i="4"/>
  <c r="Q211" i="4" s="1"/>
  <c r="K211" i="4" s="1"/>
  <c r="AC211" i="4"/>
  <c r="P211" i="4" s="1"/>
  <c r="J211" i="4" s="1"/>
  <c r="AF114" i="4"/>
  <c r="AG114" i="4"/>
  <c r="AG71" i="4"/>
  <c r="AF71" i="4"/>
  <c r="AD164" i="4"/>
  <c r="Q164" i="4" s="1"/>
  <c r="K164" i="4" s="1"/>
  <c r="AC164" i="4"/>
  <c r="P164" i="4" s="1"/>
  <c r="J164" i="4" s="1"/>
  <c r="AC91" i="4"/>
  <c r="P91" i="4" s="1"/>
  <c r="J91" i="4" s="1"/>
  <c r="AD91" i="4"/>
  <c r="Q91" i="4" s="1"/>
  <c r="K91" i="4" s="1"/>
  <c r="AF95" i="4"/>
  <c r="AG95" i="4"/>
  <c r="AG12" i="4"/>
  <c r="AF12" i="4"/>
  <c r="AC139" i="4"/>
  <c r="P139" i="4" s="1"/>
  <c r="J139" i="4" s="1"/>
  <c r="AD139" i="4"/>
  <c r="Q139" i="4" s="1"/>
  <c r="K139" i="4" s="1"/>
  <c r="AD4" i="4"/>
  <c r="Q4" i="4" s="1"/>
  <c r="K4" i="4" s="1"/>
  <c r="AC4" i="4"/>
  <c r="P4" i="4" s="1"/>
  <c r="J4" i="4" s="1"/>
  <c r="AC96" i="4"/>
  <c r="P96" i="4" s="1"/>
  <c r="J96" i="4" s="1"/>
  <c r="AD96" i="4"/>
  <c r="Q96" i="4" s="1"/>
  <c r="K96" i="4" s="1"/>
  <c r="AG68" i="4"/>
  <c r="AF68" i="4"/>
  <c r="AF4" i="4"/>
  <c r="AG4" i="4"/>
  <c r="AG24" i="4"/>
  <c r="AF24" i="4"/>
  <c r="AC183" i="4"/>
  <c r="P183" i="4" s="1"/>
  <c r="J183" i="4" s="1"/>
  <c r="AD183" i="4"/>
  <c r="Q183" i="4" s="1"/>
  <c r="K183" i="4" s="1"/>
  <c r="AG193" i="4"/>
  <c r="AF193" i="4"/>
  <c r="AF82" i="4"/>
  <c r="AG82" i="4"/>
  <c r="AF199" i="4"/>
  <c r="AG199" i="4"/>
  <c r="AF50" i="4"/>
  <c r="AG50" i="4"/>
  <c r="AF94" i="4"/>
  <c r="AG94" i="4"/>
  <c r="AF132" i="4"/>
  <c r="AG132" i="4"/>
  <c r="AD102" i="4"/>
  <c r="Q102" i="4" s="1"/>
  <c r="K102" i="4" s="1"/>
  <c r="AC102" i="4"/>
  <c r="P102" i="4" s="1"/>
  <c r="J102" i="4" s="1"/>
  <c r="AG58" i="4"/>
  <c r="AD87" i="4"/>
  <c r="Q87" i="4" s="1"/>
  <c r="K87" i="4" s="1"/>
  <c r="AC87" i="4"/>
  <c r="P87" i="4" s="1"/>
  <c r="J87" i="4" s="1"/>
  <c r="AG212" i="4"/>
  <c r="AF212" i="4"/>
  <c r="AG30" i="4"/>
  <c r="AF121" i="4"/>
  <c r="AG121" i="4"/>
  <c r="AG187" i="4"/>
  <c r="AF187" i="4"/>
  <c r="AD14" i="4"/>
  <c r="Q14" i="4" s="1"/>
  <c r="K14" i="4" s="1"/>
  <c r="AC14" i="4"/>
  <c r="P14" i="4" s="1"/>
  <c r="J14" i="4" s="1"/>
  <c r="AF28" i="4"/>
  <c r="AG28" i="4"/>
  <c r="AG142" i="4"/>
  <c r="AF62" i="4"/>
  <c r="AG62" i="4"/>
  <c r="AC120" i="4"/>
  <c r="P120" i="4" s="1"/>
  <c r="J120" i="4" s="1"/>
  <c r="AF36" i="4"/>
  <c r="AG36" i="4"/>
  <c r="AF65" i="4"/>
  <c r="AG65" i="4"/>
  <c r="AC17" i="4"/>
  <c r="P17" i="4" s="1"/>
  <c r="J17" i="4" s="1"/>
  <c r="AC81" i="4"/>
  <c r="P81" i="4" s="1"/>
  <c r="J81" i="4" s="1"/>
  <c r="AG9" i="4"/>
  <c r="AF9" i="4"/>
  <c r="AG158" i="4"/>
  <c r="AF158" i="4"/>
  <c r="AF192" i="4"/>
  <c r="AG192" i="4"/>
  <c r="AC25" i="4"/>
  <c r="P25" i="4" s="1"/>
  <c r="J25" i="4" s="1"/>
  <c r="AD25" i="4"/>
  <c r="Q25" i="4" s="1"/>
  <c r="K25" i="4" s="1"/>
  <c r="AC173" i="4"/>
  <c r="P173" i="4" s="1"/>
  <c r="J173" i="4" s="1"/>
  <c r="AD173" i="4"/>
  <c r="Q173" i="4" s="1"/>
  <c r="K173" i="4" s="1"/>
  <c r="AG84" i="4"/>
  <c r="AF84" i="4"/>
  <c r="AD73" i="4"/>
  <c r="Q73" i="4" s="1"/>
  <c r="K73" i="4" s="1"/>
  <c r="AC73" i="4"/>
  <c r="P73" i="4" s="1"/>
  <c r="J73" i="4" s="1"/>
  <c r="AF97" i="4"/>
  <c r="AG97" i="4"/>
  <c r="AG135" i="4"/>
  <c r="AF135" i="4"/>
  <c r="AG56" i="4"/>
  <c r="AF56" i="4"/>
  <c r="AF118" i="4"/>
  <c r="AG118" i="4"/>
  <c r="AG156" i="4"/>
  <c r="AF156" i="4"/>
  <c r="AD48" i="4"/>
  <c r="Q48" i="4" s="1"/>
  <c r="K48" i="4" s="1"/>
  <c r="AC48" i="4"/>
  <c r="P48" i="4" s="1"/>
  <c r="J48" i="4" s="1"/>
  <c r="AD98" i="4"/>
  <c r="Q98" i="4" s="1"/>
  <c r="K98" i="4" s="1"/>
  <c r="AC98" i="4"/>
  <c r="P98" i="4" s="1"/>
  <c r="J98" i="4" s="1"/>
  <c r="AF203" i="4"/>
  <c r="AG203" i="4"/>
  <c r="AC86" i="4"/>
  <c r="P86" i="4" s="1"/>
  <c r="J86" i="4" s="1"/>
  <c r="AD136" i="4"/>
  <c r="Q136" i="4" s="1"/>
  <c r="K136" i="4" s="1"/>
  <c r="AC136" i="4"/>
  <c r="P136" i="4" s="1"/>
  <c r="J136" i="4" s="1"/>
  <c r="AC197" i="4"/>
  <c r="P197" i="4" s="1"/>
  <c r="J197" i="4" s="1"/>
  <c r="AG166" i="4"/>
  <c r="AF166" i="4"/>
  <c r="AG182" i="4"/>
  <c r="AF182" i="4"/>
  <c r="AF60" i="4"/>
  <c r="AG60" i="4"/>
  <c r="AG20" i="4"/>
  <c r="AF20" i="4"/>
  <c r="AF137" i="4"/>
  <c r="AG137" i="4"/>
  <c r="AC85" i="4"/>
  <c r="P85" i="4" s="1"/>
  <c r="J85" i="4" s="1"/>
  <c r="AD85" i="4"/>
  <c r="Q85" i="4" s="1"/>
  <c r="K85" i="4" s="1"/>
  <c r="AF89" i="4"/>
  <c r="AG89" i="4"/>
  <c r="AG100" i="4"/>
  <c r="AF100" i="4"/>
  <c r="AC199" i="4"/>
  <c r="P199" i="4" s="1"/>
  <c r="J199" i="4" s="1"/>
  <c r="AD94" i="4"/>
  <c r="Q94" i="4" s="1"/>
  <c r="K94" i="4" s="1"/>
  <c r="AC132" i="4"/>
  <c r="P132" i="4" s="1"/>
  <c r="J132" i="4" s="1"/>
  <c r="AD132" i="4"/>
  <c r="Q132" i="4" s="1"/>
  <c r="K132" i="4" s="1"/>
  <c r="AF102" i="4"/>
  <c r="AG102" i="4"/>
  <c r="AC58" i="4"/>
  <c r="P58" i="4" s="1"/>
  <c r="J58" i="4" s="1"/>
  <c r="AD58" i="4"/>
  <c r="Q58" i="4" s="1"/>
  <c r="K58" i="4" s="1"/>
  <c r="AF87" i="4"/>
  <c r="AG87" i="4"/>
  <c r="AD70" i="4"/>
  <c r="Q70" i="4" s="1"/>
  <c r="K70" i="4" s="1"/>
  <c r="AC70" i="4"/>
  <c r="P70" i="4" s="1"/>
  <c r="J70" i="4" s="1"/>
  <c r="AD212" i="4"/>
  <c r="Q212" i="4" s="1"/>
  <c r="K212" i="4" s="1"/>
  <c r="AC212" i="4"/>
  <c r="P212" i="4" s="1"/>
  <c r="J212" i="4" s="1"/>
  <c r="AD30" i="4"/>
  <c r="Q30" i="4" s="1"/>
  <c r="K30" i="4" s="1"/>
  <c r="AC30" i="4"/>
  <c r="P30" i="4" s="1"/>
  <c r="J30" i="4" s="1"/>
  <c r="AG14" i="4"/>
  <c r="AF14" i="4"/>
  <c r="AD28" i="4"/>
  <c r="Q28" i="4" s="1"/>
  <c r="K28" i="4" s="1"/>
  <c r="AC28" i="4"/>
  <c r="P28" i="4" s="1"/>
  <c r="J28" i="4" s="1"/>
  <c r="AC142" i="4"/>
  <c r="P142" i="4" s="1"/>
  <c r="J142" i="4" s="1"/>
  <c r="AD142" i="4"/>
  <c r="Q142" i="4" s="1"/>
  <c r="K142" i="4" s="1"/>
  <c r="AD62" i="4"/>
  <c r="Q62" i="4" s="1"/>
  <c r="K62" i="4" s="1"/>
  <c r="AG120" i="4"/>
  <c r="AF120" i="4"/>
  <c r="AC36" i="4"/>
  <c r="P36" i="4" s="1"/>
  <c r="J36" i="4" s="1"/>
  <c r="AD36" i="4"/>
  <c r="Q36" i="4" s="1"/>
  <c r="K36" i="4" s="1"/>
  <c r="AD185" i="4"/>
  <c r="Q185" i="4" s="1"/>
  <c r="K185" i="4" s="1"/>
  <c r="AC185" i="4"/>
  <c r="P185" i="4" s="1"/>
  <c r="J185" i="4" s="1"/>
  <c r="AD99" i="4"/>
  <c r="Q99" i="4" s="1"/>
  <c r="K99" i="4" s="1"/>
  <c r="AC99" i="4"/>
  <c r="P99" i="4" s="1"/>
  <c r="J99" i="4" s="1"/>
  <c r="AD65" i="4"/>
  <c r="Q65" i="4" s="1"/>
  <c r="K65" i="4" s="1"/>
  <c r="AG17" i="4"/>
  <c r="AF17" i="4"/>
  <c r="AF81" i="4"/>
  <c r="AG81" i="4"/>
  <c r="AG190" i="4"/>
  <c r="AF190" i="4"/>
  <c r="AG54" i="4"/>
  <c r="AF54" i="4"/>
  <c r="AC158" i="4"/>
  <c r="P158" i="4" s="1"/>
  <c r="J158" i="4" s="1"/>
  <c r="AD158" i="4"/>
  <c r="Q158" i="4" s="1"/>
  <c r="K158" i="4" s="1"/>
  <c r="AD192" i="4"/>
  <c r="Q192" i="4" s="1"/>
  <c r="K192" i="4" s="1"/>
  <c r="AG25" i="4"/>
  <c r="AF25" i="4"/>
  <c r="AF173" i="4"/>
  <c r="AG173" i="4"/>
  <c r="AD84" i="4"/>
  <c r="Q84" i="4" s="1"/>
  <c r="K84" i="4" s="1"/>
  <c r="AC84" i="4"/>
  <c r="P84" i="4" s="1"/>
  <c r="J84" i="4" s="1"/>
  <c r="AG73" i="4"/>
  <c r="AF73" i="4"/>
  <c r="AD97" i="4"/>
  <c r="Q97" i="4" s="1"/>
  <c r="K97" i="4" s="1"/>
  <c r="AC97" i="4"/>
  <c r="P97" i="4" s="1"/>
  <c r="J97" i="4" s="1"/>
  <c r="AC135" i="4"/>
  <c r="P135" i="4" s="1"/>
  <c r="J135" i="4" s="1"/>
  <c r="AD135" i="4"/>
  <c r="Q135" i="4" s="1"/>
  <c r="K135" i="4" s="1"/>
  <c r="AF140" i="4"/>
  <c r="AG140" i="4"/>
  <c r="AC56" i="4"/>
  <c r="P56" i="4" s="1"/>
  <c r="J56" i="4" s="1"/>
  <c r="AD56" i="4"/>
  <c r="Q56" i="4" s="1"/>
  <c r="K56" i="4" s="1"/>
  <c r="AF115" i="4"/>
  <c r="AG115" i="4"/>
  <c r="AD118" i="4"/>
  <c r="Q118" i="4" s="1"/>
  <c r="K118" i="4" s="1"/>
  <c r="AC118" i="4"/>
  <c r="P118" i="4" s="1"/>
  <c r="J118" i="4" s="1"/>
  <c r="AF48" i="4"/>
  <c r="AG48" i="4"/>
  <c r="AG98" i="4"/>
  <c r="AF98" i="4"/>
  <c r="AD203" i="4"/>
  <c r="Q203" i="4" s="1"/>
  <c r="K203" i="4" s="1"/>
  <c r="AC203" i="4"/>
  <c r="P203" i="4" s="1"/>
  <c r="J203" i="4" s="1"/>
  <c r="AC181" i="4"/>
  <c r="P181" i="4" s="1"/>
  <c r="J181" i="4" s="1"/>
  <c r="AD181" i="4"/>
  <c r="Q181" i="4" s="1"/>
  <c r="K181" i="4" s="1"/>
  <c r="AF86" i="4"/>
  <c r="AG86" i="4"/>
  <c r="AG136" i="4"/>
  <c r="AF136" i="4"/>
  <c r="AG197" i="4"/>
  <c r="AF197" i="4"/>
  <c r="AD166" i="4"/>
  <c r="Q166" i="4" s="1"/>
  <c r="K166" i="4" s="1"/>
  <c r="AC166" i="4"/>
  <c r="P166" i="4" s="1"/>
  <c r="J166" i="4" s="1"/>
  <c r="AD202" i="4"/>
  <c r="Q202" i="4" s="1"/>
  <c r="K202" i="4" s="1"/>
  <c r="AC202" i="4"/>
  <c r="P202" i="4" s="1"/>
  <c r="J202" i="4" s="1"/>
  <c r="AD182" i="4"/>
  <c r="Q182" i="4" s="1"/>
  <c r="K182" i="4" s="1"/>
  <c r="AC182" i="4"/>
  <c r="P182" i="4" s="1"/>
  <c r="J182" i="4" s="1"/>
  <c r="AC60" i="4"/>
  <c r="P60" i="4" s="1"/>
  <c r="J60" i="4" s="1"/>
  <c r="AD60" i="4"/>
  <c r="Q60" i="4" s="1"/>
  <c r="K60" i="4" s="1"/>
  <c r="AC69" i="4"/>
  <c r="P69" i="4" s="1"/>
  <c r="J69" i="4" s="1"/>
  <c r="AD69" i="4"/>
  <c r="Q69" i="4" s="1"/>
  <c r="K69" i="4" s="1"/>
  <c r="AD137" i="4"/>
  <c r="Q137" i="4" s="1"/>
  <c r="K137" i="4" s="1"/>
  <c r="AC137" i="4"/>
  <c r="P137" i="4" s="1"/>
  <c r="J137" i="4" s="1"/>
  <c r="AG85" i="4"/>
  <c r="AF85" i="4"/>
  <c r="AC89" i="4"/>
  <c r="P89" i="4" s="1"/>
  <c r="J89" i="4" s="1"/>
  <c r="AD89" i="4"/>
  <c r="Q89" i="4" s="1"/>
  <c r="K89" i="4" s="1"/>
  <c r="AG202" i="4" l="1"/>
  <c r="AD54" i="4"/>
  <c r="Q54" i="4" s="1"/>
  <c r="K54" i="4" s="1"/>
  <c r="AD140" i="4"/>
  <c r="Q140" i="4" s="1"/>
  <c r="K140" i="4" s="1"/>
  <c r="AG167" i="4"/>
  <c r="AD186" i="4"/>
  <c r="Q186" i="4" s="1"/>
  <c r="K186" i="4" s="1"/>
  <c r="AC95" i="4"/>
  <c r="P95" i="4" s="1"/>
  <c r="J95" i="4" s="1"/>
  <c r="AD100" i="4"/>
  <c r="Q100" i="4" s="1"/>
  <c r="K100" i="4" s="1"/>
  <c r="AC156" i="4"/>
  <c r="P156" i="4" s="1"/>
  <c r="J156" i="4" s="1"/>
  <c r="AC121" i="4"/>
  <c r="P121" i="4" s="1"/>
  <c r="J121" i="4" s="1"/>
  <c r="AG99" i="4"/>
  <c r="AF6" i="4"/>
  <c r="AD194" i="4"/>
  <c r="Q194" i="4" s="1"/>
  <c r="K194" i="4" s="1"/>
  <c r="AD45" i="4"/>
  <c r="Q45" i="4" s="1"/>
  <c r="K45" i="4" s="1"/>
  <c r="AF210" i="4"/>
  <c r="AD115" i="4"/>
  <c r="Q115" i="4" s="1"/>
  <c r="K115" i="4" s="1"/>
  <c r="AF143" i="4"/>
  <c r="AG185" i="4"/>
  <c r="AG160" i="4"/>
  <c r="AF96" i="4"/>
  <c r="AD190" i="4"/>
  <c r="Q190" i="4" s="1"/>
  <c r="K190" i="4" s="1"/>
  <c r="AF171" i="4"/>
  <c r="AC9" i="4"/>
  <c r="P9" i="4" s="1"/>
  <c r="J9" i="4" s="1"/>
  <c r="AD187" i="4"/>
  <c r="Q187" i="4" s="1"/>
  <c r="K187" i="4" s="1"/>
  <c r="AG69" i="4"/>
  <c r="AG27" i="4"/>
  <c r="AG139" i="4"/>
  <c r="AC68" i="4"/>
  <c r="P68" i="4" s="1"/>
  <c r="J68" i="4" s="1"/>
  <c r="AC165" i="4"/>
  <c r="P165" i="4" s="1"/>
  <c r="J165" i="4" s="1"/>
  <c r="AG164" i="4"/>
  <c r="AG70" i="4"/>
  <c r="AF153" i="4"/>
  <c r="AF188" i="4"/>
  <c r="AD133" i="4"/>
  <c r="Q133" i="4" s="1"/>
  <c r="K133" i="4" s="1"/>
  <c r="AC50" i="4"/>
  <c r="P50" i="4" s="1"/>
  <c r="J50" i="4" s="1"/>
  <c r="AF183" i="4"/>
  <c r="AG181" i="4"/>
  <c r="AF155" i="4"/>
  <c r="AG151" i="4"/>
  <c r="AC47" i="4"/>
  <c r="P47" i="4" s="1"/>
  <c r="J47" i="4" s="1"/>
  <c r="AF91" i="4"/>
  <c r="AG42" i="4"/>
  <c r="AD27" i="4"/>
  <c r="Q27" i="4" s="1"/>
  <c r="K27" i="4" s="1"/>
  <c r="AF64" i="4"/>
  <c r="AD82" i="4"/>
  <c r="Q82" i="4" s="1"/>
  <c r="K82" i="4" s="1"/>
  <c r="AF5" i="4"/>
  <c r="AC12" i="4"/>
  <c r="P12" i="4" s="1"/>
  <c r="J12" i="4" s="1"/>
  <c r="AG7" i="4"/>
  <c r="AC20" i="4"/>
  <c r="P20" i="4" s="1"/>
  <c r="J20" i="4" s="1"/>
  <c r="AG191" i="4"/>
  <c r="Z74" i="4"/>
  <c r="Y74" i="4"/>
  <c r="Z43" i="4"/>
  <c r="Y43" i="4"/>
  <c r="Y63" i="4"/>
  <c r="Z63" i="4"/>
  <c r="Z106" i="4"/>
  <c r="Y106" i="4"/>
  <c r="Z104" i="4"/>
  <c r="Y104" i="4"/>
  <c r="Y18" i="4"/>
  <c r="Z18" i="4"/>
  <c r="Y8" i="4"/>
  <c r="Z8" i="4"/>
  <c r="Z129" i="4"/>
  <c r="Y129" i="4"/>
  <c r="Y130" i="4"/>
  <c r="Z130" i="4"/>
  <c r="Y123" i="4"/>
  <c r="Z123" i="4"/>
  <c r="Z79" i="4"/>
  <c r="Y79" i="4"/>
  <c r="Z66" i="4"/>
  <c r="Y66" i="4"/>
  <c r="Z162" i="4"/>
  <c r="Y162" i="4"/>
  <c r="Y146" i="4"/>
  <c r="Z146" i="4"/>
  <c r="Z38" i="4"/>
  <c r="Y38" i="4"/>
  <c r="Z198" i="4"/>
  <c r="Y198" i="4"/>
  <c r="Z177" i="4"/>
  <c r="Y177" i="4"/>
  <c r="Z57" i="4"/>
  <c r="Y57" i="4"/>
  <c r="Z150" i="4"/>
  <c r="Y150" i="4"/>
  <c r="Z10" i="4"/>
  <c r="Y10" i="4"/>
  <c r="Z144" i="4"/>
  <c r="Y144" i="4"/>
  <c r="Y3" i="4"/>
  <c r="Z3" i="4"/>
  <c r="Y19" i="4"/>
  <c r="Z19" i="4"/>
  <c r="Z35" i="4"/>
  <c r="Y35" i="4"/>
  <c r="Z103" i="4"/>
  <c r="Y103" i="4"/>
  <c r="Y88" i="4"/>
  <c r="Z88" i="4"/>
  <c r="Y145" i="4"/>
  <c r="Z145" i="4"/>
  <c r="Y169" i="4"/>
  <c r="Z169" i="4"/>
  <c r="Y26" i="4"/>
  <c r="Z26" i="4"/>
  <c r="Y154" i="4"/>
  <c r="Z154" i="4"/>
  <c r="Z92" i="4"/>
  <c r="Y92" i="4"/>
  <c r="Y178" i="4"/>
  <c r="Z178" i="4"/>
  <c r="Y83" i="4"/>
  <c r="Z83" i="4"/>
  <c r="Z101" i="4"/>
  <c r="Y101" i="4"/>
  <c r="Y15" i="4"/>
  <c r="Z15" i="4"/>
  <c r="Z61" i="4"/>
  <c r="Y61" i="4"/>
  <c r="Y113" i="4"/>
  <c r="Z113" i="4"/>
  <c r="Y90" i="4"/>
  <c r="Z90" i="4"/>
  <c r="Y75" i="4"/>
  <c r="Z75" i="4"/>
  <c r="Z189" i="4"/>
  <c r="Y189" i="4"/>
  <c r="Z195" i="4"/>
  <c r="Y195" i="4"/>
  <c r="Y175" i="4"/>
  <c r="Z175" i="4"/>
  <c r="Z152" i="4"/>
  <c r="Y152" i="4"/>
  <c r="Y209" i="4"/>
  <c r="Z209" i="4"/>
  <c r="Y159" i="4"/>
  <c r="Z159" i="4"/>
  <c r="Z141" i="4"/>
  <c r="Y141" i="4"/>
  <c r="Y168" i="4"/>
  <c r="Z168" i="4"/>
  <c r="Y180" i="4"/>
  <c r="Z180" i="4"/>
  <c r="Y72" i="4"/>
  <c r="Z72" i="4"/>
  <c r="Y93" i="4"/>
  <c r="Z93" i="4"/>
  <c r="Y122" i="4"/>
  <c r="Z122" i="4"/>
  <c r="Y55" i="4"/>
  <c r="Z55" i="4"/>
  <c r="Z149" i="4"/>
  <c r="Y149" i="4"/>
  <c r="Z174" i="4"/>
  <c r="Y174" i="4"/>
  <c r="Z128" i="4"/>
  <c r="Y128" i="4"/>
  <c r="Y204" i="4"/>
  <c r="Z204" i="4"/>
  <c r="Y207" i="4"/>
  <c r="Z207" i="4"/>
  <c r="Y111" i="4"/>
  <c r="Z111" i="4"/>
  <c r="Y76" i="4"/>
  <c r="Z76" i="4"/>
  <c r="Z29" i="4"/>
  <c r="Y29" i="4"/>
  <c r="Y170" i="4"/>
  <c r="Z170" i="4"/>
  <c r="Y41" i="4"/>
  <c r="Z41" i="4"/>
  <c r="Y67" i="4"/>
  <c r="Z67" i="4"/>
  <c r="Y107" i="4"/>
  <c r="Z107" i="4"/>
  <c r="Z52" i="4"/>
  <c r="Y52" i="4"/>
  <c r="Y77" i="4"/>
  <c r="Z77" i="4"/>
  <c r="Z126" i="4"/>
  <c r="Y126" i="4"/>
  <c r="Y21" i="4"/>
  <c r="Z21" i="4"/>
  <c r="Z22" i="4"/>
  <c r="Y22" i="4"/>
  <c r="Z163" i="4"/>
  <c r="Y163" i="4"/>
  <c r="Y108" i="4"/>
  <c r="Z108" i="4"/>
  <c r="Y78" i="4"/>
  <c r="Z78" i="4"/>
  <c r="Y33" i="4"/>
  <c r="Z33" i="4"/>
  <c r="Y49" i="4"/>
  <c r="Z49" i="4"/>
  <c r="Y179" i="4"/>
  <c r="Z179" i="4"/>
  <c r="Z46" i="4"/>
  <c r="Y46" i="4"/>
  <c r="Y124" i="4"/>
  <c r="Z124" i="4"/>
  <c r="Z205" i="4"/>
  <c r="Y205" i="4"/>
  <c r="Z184" i="4"/>
  <c r="Y184" i="4"/>
  <c r="Z13" i="4"/>
  <c r="Y13" i="4"/>
  <c r="Z16" i="4"/>
  <c r="Y16" i="4"/>
  <c r="Z206" i="4"/>
  <c r="Y206" i="4"/>
  <c r="Z37" i="4"/>
  <c r="Y37" i="4"/>
  <c r="Y172" i="4"/>
  <c r="Z172" i="4"/>
  <c r="Z201" i="4"/>
  <c r="Y201" i="4"/>
  <c r="AB209" i="4"/>
  <c r="AE209" i="4"/>
  <c r="AB159" i="4"/>
  <c r="AE159" i="4"/>
  <c r="AB141" i="4"/>
  <c r="AE141" i="4"/>
  <c r="AB168" i="4"/>
  <c r="AE168" i="4"/>
  <c r="AE180" i="4"/>
  <c r="AB180" i="4"/>
  <c r="AE72" i="4"/>
  <c r="AB72" i="4"/>
  <c r="AB93" i="4"/>
  <c r="AE93" i="4"/>
  <c r="AB122" i="4"/>
  <c r="AE122" i="4"/>
  <c r="AB55" i="4"/>
  <c r="AE55" i="4"/>
  <c r="AB149" i="4"/>
  <c r="AE149" i="4"/>
  <c r="AB174" i="4"/>
  <c r="AE174" i="4"/>
  <c r="AE128" i="4"/>
  <c r="AB128" i="4"/>
  <c r="AB204" i="4"/>
  <c r="AE204" i="4"/>
  <c r="AE207" i="4"/>
  <c r="AB207" i="4"/>
  <c r="AE111" i="4"/>
  <c r="AB111" i="4"/>
  <c r="AB76" i="4"/>
  <c r="AE76" i="4"/>
  <c r="AB29" i="4"/>
  <c r="AE29" i="4"/>
  <c r="AE170" i="4"/>
  <c r="AB170" i="4"/>
  <c r="AE41" i="4"/>
  <c r="AB41" i="4"/>
  <c r="AB67" i="4"/>
  <c r="AE67" i="4"/>
  <c r="AE107" i="4"/>
  <c r="AB107" i="4"/>
  <c r="AB52" i="4"/>
  <c r="AE52" i="4"/>
  <c r="AB77" i="4"/>
  <c r="AE77" i="4"/>
  <c r="AB126" i="4"/>
  <c r="AE126" i="4"/>
  <c r="AE21" i="4"/>
  <c r="AB21" i="4"/>
  <c r="AE22" i="4"/>
  <c r="AB22" i="4"/>
  <c r="AE163" i="4"/>
  <c r="AB163" i="4"/>
  <c r="AB108" i="4"/>
  <c r="AE108" i="4"/>
  <c r="AB78" i="4"/>
  <c r="AE78" i="4"/>
  <c r="AE33" i="4"/>
  <c r="AB33" i="4"/>
  <c r="AE49" i="4"/>
  <c r="AB49" i="4"/>
  <c r="AB179" i="4"/>
  <c r="AE179" i="4"/>
  <c r="AB46" i="4"/>
  <c r="AE46" i="4"/>
  <c r="AB124" i="4"/>
  <c r="AE124" i="4"/>
  <c r="AB205" i="4"/>
  <c r="AE205" i="4"/>
  <c r="AB184" i="4"/>
  <c r="AE184" i="4"/>
  <c r="AB13" i="4"/>
  <c r="AE13" i="4"/>
  <c r="AB16" i="4"/>
  <c r="AE16" i="4"/>
  <c r="AE206" i="4"/>
  <c r="AB206" i="4"/>
  <c r="AB37" i="4"/>
  <c r="AE37" i="4"/>
  <c r="AB172" i="4"/>
  <c r="AE172" i="4"/>
  <c r="AE201" i="4"/>
  <c r="AB201" i="4"/>
  <c r="AB74" i="4"/>
  <c r="AE74" i="4"/>
  <c r="AB43" i="4"/>
  <c r="AE43" i="4"/>
  <c r="AB63" i="4"/>
  <c r="AE63" i="4"/>
  <c r="AB106" i="4"/>
  <c r="AE106" i="4"/>
  <c r="AB104" i="4"/>
  <c r="AE104" i="4"/>
  <c r="AB18" i="4"/>
  <c r="AE18" i="4"/>
  <c r="AB8" i="4"/>
  <c r="AE8" i="4"/>
  <c r="AB129" i="4"/>
  <c r="AE129" i="4"/>
  <c r="AE130" i="4"/>
  <c r="AB130" i="4"/>
  <c r="AB123" i="4"/>
  <c r="AE123" i="4"/>
  <c r="AB79" i="4"/>
  <c r="AE79" i="4"/>
  <c r="AB66" i="4"/>
  <c r="AE66" i="4"/>
  <c r="AB162" i="4"/>
  <c r="AE162" i="4"/>
  <c r="AB146" i="4"/>
  <c r="AE146" i="4"/>
  <c r="AB38" i="4"/>
  <c r="AE38" i="4"/>
  <c r="AE198" i="4"/>
  <c r="AB198" i="4"/>
  <c r="AB177" i="4"/>
  <c r="AE177" i="4"/>
  <c r="AB57" i="4"/>
  <c r="AE57" i="4"/>
  <c r="AB150" i="4"/>
  <c r="AE150" i="4"/>
  <c r="AB10" i="4"/>
  <c r="AE10" i="4"/>
  <c r="AE144" i="4"/>
  <c r="AB144" i="4"/>
  <c r="AB3" i="4"/>
  <c r="AE3" i="4"/>
  <c r="AB19" i="4"/>
  <c r="AE19" i="4"/>
  <c r="AB35" i="4"/>
  <c r="AE35" i="4"/>
  <c r="AB103" i="4"/>
  <c r="AE103" i="4"/>
  <c r="AB88" i="4"/>
  <c r="AE88" i="4"/>
  <c r="AB145" i="4"/>
  <c r="AE145" i="4"/>
  <c r="AB169" i="4"/>
  <c r="AE169" i="4"/>
  <c r="AB26" i="4"/>
  <c r="AE26" i="4"/>
  <c r="AB154" i="4"/>
  <c r="AE154" i="4"/>
  <c r="AB92" i="4"/>
  <c r="AE92" i="4"/>
  <c r="AB178" i="4"/>
  <c r="AE178" i="4"/>
  <c r="AE83" i="4"/>
  <c r="AB83" i="4"/>
  <c r="AE101" i="4"/>
  <c r="AB101" i="4"/>
  <c r="AB15" i="4"/>
  <c r="AE15" i="4"/>
  <c r="AE61" i="4"/>
  <c r="AB61" i="4"/>
  <c r="AB113" i="4"/>
  <c r="AE113" i="4"/>
  <c r="AB90" i="4"/>
  <c r="AE90" i="4"/>
  <c r="AE75" i="4"/>
  <c r="AB75" i="4"/>
  <c r="AE189" i="4"/>
  <c r="AB189" i="4"/>
  <c r="AE195" i="4"/>
  <c r="AB195" i="4"/>
  <c r="AE175" i="4"/>
  <c r="AB175" i="4"/>
  <c r="AB152" i="4"/>
  <c r="AE152" i="4"/>
  <c r="AC152" i="4" l="1"/>
  <c r="P152" i="4" s="1"/>
  <c r="J152" i="4" s="1"/>
  <c r="AD152" i="4"/>
  <c r="Q152" i="4" s="1"/>
  <c r="K152" i="4" s="1"/>
  <c r="AG75" i="4"/>
  <c r="AF75" i="4"/>
  <c r="AD15" i="4"/>
  <c r="Q15" i="4" s="1"/>
  <c r="K15" i="4" s="1"/>
  <c r="AC15" i="4"/>
  <c r="P15" i="4" s="1"/>
  <c r="J15" i="4" s="1"/>
  <c r="AD175" i="4"/>
  <c r="Q175" i="4" s="1"/>
  <c r="K175" i="4" s="1"/>
  <c r="AC175" i="4"/>
  <c r="P175" i="4" s="1"/>
  <c r="J175" i="4" s="1"/>
  <c r="AD189" i="4"/>
  <c r="Q189" i="4" s="1"/>
  <c r="K189" i="4" s="1"/>
  <c r="AC189" i="4"/>
  <c r="P189" i="4" s="1"/>
  <c r="J189" i="4" s="1"/>
  <c r="AG90" i="4"/>
  <c r="AF90" i="4"/>
  <c r="AD61" i="4"/>
  <c r="Q61" i="4" s="1"/>
  <c r="K61" i="4" s="1"/>
  <c r="AC61" i="4"/>
  <c r="P61" i="4" s="1"/>
  <c r="J61" i="4" s="1"/>
  <c r="AD101" i="4"/>
  <c r="Q101" i="4" s="1"/>
  <c r="K101" i="4" s="1"/>
  <c r="AC101" i="4"/>
  <c r="P101" i="4" s="1"/>
  <c r="J101" i="4" s="1"/>
  <c r="AG178" i="4"/>
  <c r="AF178" i="4"/>
  <c r="AG154" i="4"/>
  <c r="AF154" i="4"/>
  <c r="AF169" i="4"/>
  <c r="AG169" i="4"/>
  <c r="AG88" i="4"/>
  <c r="AF88" i="4"/>
  <c r="AG35" i="4"/>
  <c r="AF35" i="4"/>
  <c r="AG3" i="4"/>
  <c r="AF3" i="4"/>
  <c r="AG10" i="4"/>
  <c r="AF10" i="4"/>
  <c r="AG57" i="4"/>
  <c r="AF57" i="4"/>
  <c r="AD198" i="4"/>
  <c r="Q198" i="4" s="1"/>
  <c r="K198" i="4" s="1"/>
  <c r="AC198" i="4"/>
  <c r="P198" i="4" s="1"/>
  <c r="J198" i="4" s="1"/>
  <c r="AG146" i="4"/>
  <c r="AF146" i="4"/>
  <c r="AF66" i="4"/>
  <c r="AG66" i="4"/>
  <c r="AF123" i="4"/>
  <c r="AG123" i="4"/>
  <c r="AF129" i="4"/>
  <c r="AG129" i="4"/>
  <c r="AG18" i="4"/>
  <c r="AF18" i="4"/>
  <c r="AF106" i="4"/>
  <c r="AG106" i="4"/>
  <c r="AG43" i="4"/>
  <c r="AF43" i="4"/>
  <c r="AD201" i="4"/>
  <c r="Q201" i="4" s="1"/>
  <c r="K201" i="4" s="1"/>
  <c r="AC201" i="4"/>
  <c r="P201" i="4" s="1"/>
  <c r="J201" i="4" s="1"/>
  <c r="AG37" i="4"/>
  <c r="AF37" i="4"/>
  <c r="AG16" i="4"/>
  <c r="AF16" i="4"/>
  <c r="AG184" i="4"/>
  <c r="AF184" i="4"/>
  <c r="AF124" i="4"/>
  <c r="AG124" i="4"/>
  <c r="AG179" i="4"/>
  <c r="AF179" i="4"/>
  <c r="AD33" i="4"/>
  <c r="Q33" i="4" s="1"/>
  <c r="K33" i="4" s="1"/>
  <c r="AC33" i="4"/>
  <c r="P33" i="4" s="1"/>
  <c r="J33" i="4" s="1"/>
  <c r="AF108" i="4"/>
  <c r="AG108" i="4"/>
  <c r="AC22" i="4"/>
  <c r="P22" i="4" s="1"/>
  <c r="J22" i="4" s="1"/>
  <c r="AD22" i="4"/>
  <c r="Q22" i="4" s="1"/>
  <c r="K22" i="4" s="1"/>
  <c r="AG126" i="4"/>
  <c r="AF126" i="4"/>
  <c r="AG52" i="4"/>
  <c r="AF52" i="4"/>
  <c r="AF67" i="4"/>
  <c r="AG67" i="4"/>
  <c r="AC170" i="4"/>
  <c r="P170" i="4" s="1"/>
  <c r="J170" i="4" s="1"/>
  <c r="AD170" i="4"/>
  <c r="Q170" i="4" s="1"/>
  <c r="K170" i="4" s="1"/>
  <c r="AG76" i="4"/>
  <c r="AF76" i="4"/>
  <c r="AD207" i="4"/>
  <c r="Q207" i="4" s="1"/>
  <c r="K207" i="4" s="1"/>
  <c r="AC207" i="4"/>
  <c r="P207" i="4" s="1"/>
  <c r="J207" i="4" s="1"/>
  <c r="AC128" i="4"/>
  <c r="P128" i="4" s="1"/>
  <c r="J128" i="4" s="1"/>
  <c r="AD128" i="4"/>
  <c r="Q128" i="4" s="1"/>
  <c r="K128" i="4" s="1"/>
  <c r="AF149" i="4"/>
  <c r="AG149" i="4"/>
  <c r="AG122" i="4"/>
  <c r="AF122" i="4"/>
  <c r="AC72" i="4"/>
  <c r="P72" i="4" s="1"/>
  <c r="J72" i="4" s="1"/>
  <c r="AD72" i="4"/>
  <c r="Q72" i="4" s="1"/>
  <c r="K72" i="4" s="1"/>
  <c r="AF168" i="4"/>
  <c r="AG168" i="4"/>
  <c r="AG159" i="4"/>
  <c r="AF159" i="4"/>
  <c r="AG189" i="4"/>
  <c r="AF189" i="4"/>
  <c r="AF61" i="4"/>
  <c r="AG61" i="4"/>
  <c r="AC154" i="4"/>
  <c r="P154" i="4" s="1"/>
  <c r="J154" i="4" s="1"/>
  <c r="AD154" i="4"/>
  <c r="Q154" i="4" s="1"/>
  <c r="K154" i="4" s="1"/>
  <c r="AC169" i="4"/>
  <c r="P169" i="4" s="1"/>
  <c r="J169" i="4" s="1"/>
  <c r="AD169" i="4"/>
  <c r="Q169" i="4" s="1"/>
  <c r="K169" i="4" s="1"/>
  <c r="AD88" i="4"/>
  <c r="Q88" i="4" s="1"/>
  <c r="K88" i="4" s="1"/>
  <c r="AC88" i="4"/>
  <c r="P88" i="4" s="1"/>
  <c r="J88" i="4" s="1"/>
  <c r="AD35" i="4"/>
  <c r="Q35" i="4" s="1"/>
  <c r="K35" i="4" s="1"/>
  <c r="AC35" i="4"/>
  <c r="P35" i="4" s="1"/>
  <c r="J35" i="4" s="1"/>
  <c r="AD3" i="4"/>
  <c r="Q3" i="4" s="1"/>
  <c r="K3" i="4" s="1"/>
  <c r="AC3" i="4"/>
  <c r="P3" i="4" s="1"/>
  <c r="J3" i="4" s="1"/>
  <c r="AD10" i="4"/>
  <c r="Q10" i="4" s="1"/>
  <c r="K10" i="4" s="1"/>
  <c r="AC10" i="4"/>
  <c r="P10" i="4" s="1"/>
  <c r="J10" i="4" s="1"/>
  <c r="AC57" i="4"/>
  <c r="P57" i="4" s="1"/>
  <c r="J57" i="4" s="1"/>
  <c r="AD57" i="4"/>
  <c r="Q57" i="4" s="1"/>
  <c r="K57" i="4" s="1"/>
  <c r="AG198" i="4"/>
  <c r="AF198" i="4"/>
  <c r="AC146" i="4"/>
  <c r="P146" i="4" s="1"/>
  <c r="J146" i="4" s="1"/>
  <c r="AD146" i="4"/>
  <c r="Q146" i="4" s="1"/>
  <c r="K146" i="4" s="1"/>
  <c r="AC66" i="4"/>
  <c r="P66" i="4" s="1"/>
  <c r="J66" i="4" s="1"/>
  <c r="AD66" i="4"/>
  <c r="Q66" i="4" s="1"/>
  <c r="K66" i="4" s="1"/>
  <c r="AD123" i="4"/>
  <c r="Q123" i="4" s="1"/>
  <c r="K123" i="4" s="1"/>
  <c r="AC123" i="4"/>
  <c r="P123" i="4" s="1"/>
  <c r="J123" i="4" s="1"/>
  <c r="AD129" i="4"/>
  <c r="Q129" i="4" s="1"/>
  <c r="K129" i="4" s="1"/>
  <c r="AC129" i="4"/>
  <c r="P129" i="4" s="1"/>
  <c r="J129" i="4" s="1"/>
  <c r="AD18" i="4"/>
  <c r="Q18" i="4" s="1"/>
  <c r="K18" i="4" s="1"/>
  <c r="AC18" i="4"/>
  <c r="P18" i="4" s="1"/>
  <c r="J18" i="4" s="1"/>
  <c r="AD106" i="4"/>
  <c r="Q106" i="4" s="1"/>
  <c r="K106" i="4" s="1"/>
  <c r="AC106" i="4"/>
  <c r="P106" i="4" s="1"/>
  <c r="J106" i="4" s="1"/>
  <c r="AD43" i="4"/>
  <c r="Q43" i="4" s="1"/>
  <c r="K43" i="4" s="1"/>
  <c r="AC43" i="4"/>
  <c r="P43" i="4" s="1"/>
  <c r="J43" i="4" s="1"/>
  <c r="AF201" i="4"/>
  <c r="AG201" i="4"/>
  <c r="AC37" i="4"/>
  <c r="P37" i="4" s="1"/>
  <c r="J37" i="4" s="1"/>
  <c r="AD37" i="4"/>
  <c r="Q37" i="4" s="1"/>
  <c r="K37" i="4" s="1"/>
  <c r="AD16" i="4"/>
  <c r="Q16" i="4" s="1"/>
  <c r="K16" i="4" s="1"/>
  <c r="AC16" i="4"/>
  <c r="P16" i="4" s="1"/>
  <c r="J16" i="4" s="1"/>
  <c r="AD184" i="4"/>
  <c r="Q184" i="4" s="1"/>
  <c r="K184" i="4" s="1"/>
  <c r="AC184" i="4"/>
  <c r="P184" i="4" s="1"/>
  <c r="J184" i="4" s="1"/>
  <c r="AC124" i="4"/>
  <c r="P124" i="4" s="1"/>
  <c r="J124" i="4" s="1"/>
  <c r="AD124" i="4"/>
  <c r="Q124" i="4" s="1"/>
  <c r="K124" i="4" s="1"/>
  <c r="AD179" i="4"/>
  <c r="Q179" i="4" s="1"/>
  <c r="K179" i="4" s="1"/>
  <c r="AC179" i="4"/>
  <c r="P179" i="4" s="1"/>
  <c r="J179" i="4" s="1"/>
  <c r="AG33" i="4"/>
  <c r="AF33" i="4"/>
  <c r="AD108" i="4"/>
  <c r="Q108" i="4" s="1"/>
  <c r="K108" i="4" s="1"/>
  <c r="AC108" i="4"/>
  <c r="P108" i="4" s="1"/>
  <c r="J108" i="4" s="1"/>
  <c r="AF22" i="4"/>
  <c r="AG22" i="4"/>
  <c r="AC126" i="4"/>
  <c r="P126" i="4" s="1"/>
  <c r="J126" i="4" s="1"/>
  <c r="AD126" i="4"/>
  <c r="Q126" i="4" s="1"/>
  <c r="K126" i="4" s="1"/>
  <c r="AC52" i="4"/>
  <c r="P52" i="4" s="1"/>
  <c r="J52" i="4" s="1"/>
  <c r="AD52" i="4"/>
  <c r="Q52" i="4" s="1"/>
  <c r="K52" i="4" s="1"/>
  <c r="AD67" i="4"/>
  <c r="Q67" i="4" s="1"/>
  <c r="K67" i="4" s="1"/>
  <c r="AC67" i="4"/>
  <c r="P67" i="4" s="1"/>
  <c r="J67" i="4" s="1"/>
  <c r="AG170" i="4"/>
  <c r="AF170" i="4"/>
  <c r="AC76" i="4"/>
  <c r="P76" i="4" s="1"/>
  <c r="J76" i="4" s="1"/>
  <c r="AD76" i="4"/>
  <c r="Q76" i="4" s="1"/>
  <c r="K76" i="4" s="1"/>
  <c r="AG207" i="4"/>
  <c r="AF207" i="4"/>
  <c r="AF128" i="4"/>
  <c r="AG128" i="4"/>
  <c r="AC149" i="4"/>
  <c r="P149" i="4" s="1"/>
  <c r="J149" i="4" s="1"/>
  <c r="AD149" i="4"/>
  <c r="Q149" i="4" s="1"/>
  <c r="K149" i="4" s="1"/>
  <c r="AD122" i="4"/>
  <c r="Q122" i="4" s="1"/>
  <c r="K122" i="4" s="1"/>
  <c r="AC122" i="4"/>
  <c r="P122" i="4" s="1"/>
  <c r="J122" i="4" s="1"/>
  <c r="AG72" i="4"/>
  <c r="AF72" i="4"/>
  <c r="AD168" i="4"/>
  <c r="Q168" i="4" s="1"/>
  <c r="K168" i="4" s="1"/>
  <c r="AC168" i="4"/>
  <c r="P168" i="4" s="1"/>
  <c r="J168" i="4" s="1"/>
  <c r="AC159" i="4"/>
  <c r="P159" i="4" s="1"/>
  <c r="J159" i="4" s="1"/>
  <c r="AD159" i="4"/>
  <c r="Q159" i="4" s="1"/>
  <c r="K159" i="4" s="1"/>
  <c r="AC90" i="4"/>
  <c r="P90" i="4" s="1"/>
  <c r="J90" i="4" s="1"/>
  <c r="AD90" i="4"/>
  <c r="Q90" i="4" s="1"/>
  <c r="K90" i="4" s="1"/>
  <c r="AG101" i="4"/>
  <c r="AF101" i="4"/>
  <c r="AD178" i="4"/>
  <c r="Q178" i="4" s="1"/>
  <c r="K178" i="4" s="1"/>
  <c r="AC178" i="4"/>
  <c r="P178" i="4" s="1"/>
  <c r="J178" i="4" s="1"/>
  <c r="AF152" i="4"/>
  <c r="AG152" i="4"/>
  <c r="AC195" i="4"/>
  <c r="P195" i="4" s="1"/>
  <c r="J195" i="4" s="1"/>
  <c r="AD195" i="4"/>
  <c r="Q195" i="4" s="1"/>
  <c r="K195" i="4" s="1"/>
  <c r="AD75" i="4"/>
  <c r="Q75" i="4" s="1"/>
  <c r="K75" i="4" s="1"/>
  <c r="AC75" i="4"/>
  <c r="P75" i="4" s="1"/>
  <c r="J75" i="4" s="1"/>
  <c r="AG113" i="4"/>
  <c r="AF113" i="4"/>
  <c r="AG15" i="4"/>
  <c r="AF15" i="4"/>
  <c r="AD83" i="4"/>
  <c r="Q83" i="4" s="1"/>
  <c r="K83" i="4" s="1"/>
  <c r="AC83" i="4"/>
  <c r="P83" i="4" s="1"/>
  <c r="J83" i="4" s="1"/>
  <c r="AG92" i="4"/>
  <c r="AF92" i="4"/>
  <c r="AG26" i="4"/>
  <c r="AF26" i="4"/>
  <c r="AG145" i="4"/>
  <c r="AF145" i="4"/>
  <c r="AG103" i="4"/>
  <c r="AF103" i="4"/>
  <c r="AG19" i="4"/>
  <c r="AF19" i="4"/>
  <c r="AD144" i="4"/>
  <c r="Q144" i="4" s="1"/>
  <c r="K144" i="4" s="1"/>
  <c r="AC144" i="4"/>
  <c r="P144" i="4" s="1"/>
  <c r="J144" i="4" s="1"/>
  <c r="AF150" i="4"/>
  <c r="AG150" i="4"/>
  <c r="AG177" i="4"/>
  <c r="AF177" i="4"/>
  <c r="AF38" i="4"/>
  <c r="AG38" i="4"/>
  <c r="AG162" i="4"/>
  <c r="AF162" i="4"/>
  <c r="AF79" i="4"/>
  <c r="AG79" i="4"/>
  <c r="AC130" i="4"/>
  <c r="P130" i="4" s="1"/>
  <c r="J130" i="4" s="1"/>
  <c r="AD130" i="4"/>
  <c r="Q130" i="4" s="1"/>
  <c r="K130" i="4" s="1"/>
  <c r="AG8" i="4"/>
  <c r="AF8" i="4"/>
  <c r="AF104" i="4"/>
  <c r="AG104" i="4"/>
  <c r="AF63" i="4"/>
  <c r="AG63" i="4"/>
  <c r="AF74" i="4"/>
  <c r="AG74" i="4"/>
  <c r="AG172" i="4"/>
  <c r="AF172" i="4"/>
  <c r="AD206" i="4"/>
  <c r="Q206" i="4" s="1"/>
  <c r="K206" i="4" s="1"/>
  <c r="AC206" i="4"/>
  <c r="P206" i="4" s="1"/>
  <c r="J206" i="4" s="1"/>
  <c r="AF13" i="4"/>
  <c r="AG13" i="4"/>
  <c r="AF205" i="4"/>
  <c r="AG205" i="4"/>
  <c r="AF46" i="4"/>
  <c r="AG46" i="4"/>
  <c r="AD49" i="4"/>
  <c r="Q49" i="4" s="1"/>
  <c r="K49" i="4" s="1"/>
  <c r="AC49" i="4"/>
  <c r="P49" i="4" s="1"/>
  <c r="J49" i="4" s="1"/>
  <c r="AG78" i="4"/>
  <c r="AF78" i="4"/>
  <c r="AD163" i="4"/>
  <c r="Q163" i="4" s="1"/>
  <c r="K163" i="4" s="1"/>
  <c r="AC163" i="4"/>
  <c r="P163" i="4" s="1"/>
  <c r="J163" i="4" s="1"/>
  <c r="AD21" i="4"/>
  <c r="Q21" i="4" s="1"/>
  <c r="K21" i="4" s="1"/>
  <c r="AC21" i="4"/>
  <c r="P21" i="4" s="1"/>
  <c r="J21" i="4" s="1"/>
  <c r="AG77" i="4"/>
  <c r="AF77" i="4"/>
  <c r="AD107" i="4"/>
  <c r="Q107" i="4" s="1"/>
  <c r="K107" i="4" s="1"/>
  <c r="AC107" i="4"/>
  <c r="P107" i="4" s="1"/>
  <c r="J107" i="4" s="1"/>
  <c r="AD41" i="4"/>
  <c r="Q41" i="4" s="1"/>
  <c r="K41" i="4" s="1"/>
  <c r="AC41" i="4"/>
  <c r="P41" i="4" s="1"/>
  <c r="J41" i="4" s="1"/>
  <c r="AG29" i="4"/>
  <c r="AF29" i="4"/>
  <c r="AD111" i="4"/>
  <c r="Q111" i="4" s="1"/>
  <c r="K111" i="4" s="1"/>
  <c r="AC111" i="4"/>
  <c r="P111" i="4" s="1"/>
  <c r="J111" i="4" s="1"/>
  <c r="AF204" i="4"/>
  <c r="AG204" i="4"/>
  <c r="AG174" i="4"/>
  <c r="AF174" i="4"/>
  <c r="AF55" i="4"/>
  <c r="AG55" i="4"/>
  <c r="AG93" i="4"/>
  <c r="AF93" i="4"/>
  <c r="AD180" i="4"/>
  <c r="Q180" i="4" s="1"/>
  <c r="K180" i="4" s="1"/>
  <c r="AC180" i="4"/>
  <c r="P180" i="4" s="1"/>
  <c r="J180" i="4" s="1"/>
  <c r="AG141" i="4"/>
  <c r="AF141" i="4"/>
  <c r="AG209" i="4"/>
  <c r="AF209" i="4"/>
  <c r="AF175" i="4"/>
  <c r="AG175" i="4"/>
  <c r="AF195" i="4"/>
  <c r="AG195" i="4"/>
  <c r="AC113" i="4"/>
  <c r="P113" i="4" s="1"/>
  <c r="J113" i="4" s="1"/>
  <c r="AD113" i="4"/>
  <c r="Q113" i="4" s="1"/>
  <c r="K113" i="4" s="1"/>
  <c r="AF83" i="4"/>
  <c r="AG83" i="4"/>
  <c r="AD92" i="4"/>
  <c r="Q92" i="4" s="1"/>
  <c r="K92" i="4" s="1"/>
  <c r="AC92" i="4"/>
  <c r="P92" i="4" s="1"/>
  <c r="J92" i="4" s="1"/>
  <c r="AC26" i="4"/>
  <c r="P26" i="4" s="1"/>
  <c r="J26" i="4" s="1"/>
  <c r="AD26" i="4"/>
  <c r="Q26" i="4" s="1"/>
  <c r="K26" i="4" s="1"/>
  <c r="AC145" i="4"/>
  <c r="P145" i="4" s="1"/>
  <c r="J145" i="4" s="1"/>
  <c r="AD145" i="4"/>
  <c r="Q145" i="4" s="1"/>
  <c r="K145" i="4" s="1"/>
  <c r="AD103" i="4"/>
  <c r="Q103" i="4" s="1"/>
  <c r="K103" i="4" s="1"/>
  <c r="AC103" i="4"/>
  <c r="P103" i="4" s="1"/>
  <c r="J103" i="4" s="1"/>
  <c r="AD19" i="4"/>
  <c r="Q19" i="4" s="1"/>
  <c r="K19" i="4" s="1"/>
  <c r="AC19" i="4"/>
  <c r="P19" i="4" s="1"/>
  <c r="J19" i="4" s="1"/>
  <c r="AF144" i="4"/>
  <c r="AG144" i="4"/>
  <c r="AD150" i="4"/>
  <c r="Q150" i="4" s="1"/>
  <c r="K150" i="4" s="1"/>
  <c r="AC150" i="4"/>
  <c r="P150" i="4" s="1"/>
  <c r="J150" i="4" s="1"/>
  <c r="AD177" i="4"/>
  <c r="Q177" i="4" s="1"/>
  <c r="K177" i="4" s="1"/>
  <c r="AC177" i="4"/>
  <c r="P177" i="4" s="1"/>
  <c r="J177" i="4" s="1"/>
  <c r="AC38" i="4"/>
  <c r="P38" i="4" s="1"/>
  <c r="J38" i="4" s="1"/>
  <c r="AD38" i="4"/>
  <c r="Q38" i="4" s="1"/>
  <c r="K38" i="4" s="1"/>
  <c r="AC162" i="4"/>
  <c r="P162" i="4" s="1"/>
  <c r="J162" i="4" s="1"/>
  <c r="AD162" i="4"/>
  <c r="Q162" i="4" s="1"/>
  <c r="K162" i="4" s="1"/>
  <c r="AC79" i="4"/>
  <c r="P79" i="4" s="1"/>
  <c r="J79" i="4" s="1"/>
  <c r="AD79" i="4"/>
  <c r="Q79" i="4" s="1"/>
  <c r="K79" i="4" s="1"/>
  <c r="AG130" i="4"/>
  <c r="AF130" i="4"/>
  <c r="AC8" i="4"/>
  <c r="P8" i="4" s="1"/>
  <c r="J8" i="4" s="1"/>
  <c r="AD8" i="4"/>
  <c r="Q8" i="4" s="1"/>
  <c r="K8" i="4" s="1"/>
  <c r="AD104" i="4"/>
  <c r="Q104" i="4" s="1"/>
  <c r="K104" i="4" s="1"/>
  <c r="AC104" i="4"/>
  <c r="P104" i="4" s="1"/>
  <c r="J104" i="4" s="1"/>
  <c r="AD63" i="4"/>
  <c r="Q63" i="4" s="1"/>
  <c r="K63" i="4" s="1"/>
  <c r="AC63" i="4"/>
  <c r="P63" i="4" s="1"/>
  <c r="J63" i="4" s="1"/>
  <c r="AC74" i="4"/>
  <c r="P74" i="4" s="1"/>
  <c r="J74" i="4" s="1"/>
  <c r="AD74" i="4"/>
  <c r="Q74" i="4" s="1"/>
  <c r="K74" i="4" s="1"/>
  <c r="AC172" i="4"/>
  <c r="P172" i="4" s="1"/>
  <c r="J172" i="4" s="1"/>
  <c r="AD172" i="4"/>
  <c r="Q172" i="4" s="1"/>
  <c r="K172" i="4" s="1"/>
  <c r="AF206" i="4"/>
  <c r="AG206" i="4"/>
  <c r="AD13" i="4"/>
  <c r="Q13" i="4" s="1"/>
  <c r="K13" i="4" s="1"/>
  <c r="AC13" i="4"/>
  <c r="P13" i="4" s="1"/>
  <c r="J13" i="4" s="1"/>
  <c r="AC205" i="4"/>
  <c r="P205" i="4" s="1"/>
  <c r="J205" i="4" s="1"/>
  <c r="AD205" i="4"/>
  <c r="Q205" i="4" s="1"/>
  <c r="K205" i="4" s="1"/>
  <c r="AD46" i="4"/>
  <c r="Q46" i="4" s="1"/>
  <c r="K46" i="4" s="1"/>
  <c r="AC46" i="4"/>
  <c r="P46" i="4" s="1"/>
  <c r="J46" i="4" s="1"/>
  <c r="AF49" i="4"/>
  <c r="AG49" i="4"/>
  <c r="AD78" i="4"/>
  <c r="Q78" i="4" s="1"/>
  <c r="K78" i="4" s="1"/>
  <c r="AC78" i="4"/>
  <c r="P78" i="4" s="1"/>
  <c r="J78" i="4" s="1"/>
  <c r="AG163" i="4"/>
  <c r="AF163" i="4"/>
  <c r="AG21" i="4"/>
  <c r="AF21" i="4"/>
  <c r="AC77" i="4"/>
  <c r="P77" i="4" s="1"/>
  <c r="J77" i="4" s="1"/>
  <c r="AD77" i="4"/>
  <c r="Q77" i="4" s="1"/>
  <c r="K77" i="4" s="1"/>
  <c r="AF107" i="4"/>
  <c r="AG107" i="4"/>
  <c r="AG41" i="4"/>
  <c r="AF41" i="4"/>
  <c r="AD29" i="4"/>
  <c r="Q29" i="4" s="1"/>
  <c r="K29" i="4" s="1"/>
  <c r="AC29" i="4"/>
  <c r="P29" i="4" s="1"/>
  <c r="J29" i="4" s="1"/>
  <c r="AG111" i="4"/>
  <c r="AF111" i="4"/>
  <c r="AC204" i="4"/>
  <c r="P204" i="4" s="1"/>
  <c r="J204" i="4" s="1"/>
  <c r="AD204" i="4"/>
  <c r="Q204" i="4" s="1"/>
  <c r="K204" i="4" s="1"/>
  <c r="AC174" i="4"/>
  <c r="P174" i="4" s="1"/>
  <c r="J174" i="4" s="1"/>
  <c r="AD174" i="4"/>
  <c r="Q174" i="4" s="1"/>
  <c r="K174" i="4" s="1"/>
  <c r="AC55" i="4"/>
  <c r="P55" i="4" s="1"/>
  <c r="J55" i="4" s="1"/>
  <c r="AD55" i="4"/>
  <c r="Q55" i="4" s="1"/>
  <c r="K55" i="4" s="1"/>
  <c r="AC93" i="4"/>
  <c r="P93" i="4" s="1"/>
  <c r="J93" i="4" s="1"/>
  <c r="AD93" i="4"/>
  <c r="Q93" i="4" s="1"/>
  <c r="K93" i="4" s="1"/>
  <c r="AG180" i="4"/>
  <c r="AF180" i="4"/>
  <c r="AC141" i="4"/>
  <c r="P141" i="4" s="1"/>
  <c r="J141" i="4" s="1"/>
  <c r="AD141" i="4"/>
  <c r="Q141" i="4" s="1"/>
  <c r="K141" i="4" s="1"/>
  <c r="AC209" i="4"/>
  <c r="P209" i="4" s="1"/>
  <c r="J209" i="4" s="1"/>
  <c r="AD209" i="4"/>
  <c r="Q209" i="4" s="1"/>
  <c r="K209" i="4" s="1"/>
  <c r="C20" i="4" l="1"/>
  <c r="C19" i="4"/>
  <c r="C21" i="4"/>
</calcChain>
</file>

<file path=xl/comments1.xml><?xml version="1.0" encoding="utf-8"?>
<comments xmlns="http://schemas.openxmlformats.org/spreadsheetml/2006/main">
  <authors>
    <author>Anthony Fagnani</author>
  </authors>
  <commentList>
    <comment ref="D28" authorId="0">
      <text>
        <r>
          <rPr>
            <sz val="8"/>
            <color indexed="81"/>
            <rFont val="Tahoma"/>
            <family val="2"/>
          </rPr>
          <t xml:space="preserve">Saturation current rating should at a minimum be 20% greater than the steady state peak current in the inductor or the typical current limit.
</t>
        </r>
      </text>
    </comment>
    <comment ref="B66" authorId="0">
      <text>
        <r>
          <rPr>
            <sz val="9"/>
            <color indexed="81"/>
            <rFont val="Tahoma"/>
            <family val="2"/>
          </rPr>
          <t>Maximum switching frequency to avoid pulse skipping.</t>
        </r>
      </text>
    </comment>
    <comment ref="B76" authorId="0">
      <text>
        <r>
          <rPr>
            <sz val="9"/>
            <color indexed="81"/>
            <rFont val="Tahoma"/>
            <family val="2"/>
          </rPr>
          <t>Represent inductor current ripple percentage of output current.</t>
        </r>
      </text>
    </comment>
    <comment ref="B92" authorId="0">
      <text>
        <r>
          <rPr>
            <sz val="9"/>
            <color indexed="81"/>
            <rFont val="Tahoma"/>
            <family val="2"/>
          </rPr>
          <t>Ceramic capacitors must be derated base on AC voltage and DC bias. This is required for correct compensation calculations.</t>
        </r>
      </text>
    </comment>
    <comment ref="B152" authorId="0">
      <text>
        <r>
          <rPr>
            <sz val="9"/>
            <color indexed="81"/>
            <rFont val="Tahoma"/>
            <family val="2"/>
          </rPr>
          <t>Cpole value to cancel the ESR zero of the selected output capacitor.</t>
        </r>
      </text>
    </comment>
    <comment ref="B153" authorId="0">
      <text>
        <r>
          <rPr>
            <sz val="9"/>
            <color indexed="81"/>
            <rFont val="Tahoma"/>
            <family val="2"/>
          </rPr>
          <t>Cpole value for high frequency roll off.</t>
        </r>
      </text>
    </comment>
  </commentList>
</comments>
</file>

<file path=xl/comments2.xml><?xml version="1.0" encoding="utf-8"?>
<comments xmlns="http://schemas.openxmlformats.org/spreadsheetml/2006/main">
  <authors>
    <author>Anthony Fagnani</author>
  </authors>
  <commentList>
    <comment ref="AA6" authorId="0">
      <text>
        <r>
          <rPr>
            <b/>
            <sz val="9"/>
            <color indexed="81"/>
            <rFont val="Tahoma"/>
            <family val="2"/>
          </rPr>
          <t>Anthony Fagnani:</t>
        </r>
        <r>
          <rPr>
            <sz val="9"/>
            <color indexed="81"/>
            <rFont val="Tahoma"/>
            <family val="2"/>
          </rPr>
          <t xml:space="preserve">
Needs to be checked</t>
        </r>
      </text>
    </comment>
    <comment ref="AA10" authorId="0">
      <text>
        <r>
          <rPr>
            <b/>
            <sz val="9"/>
            <color indexed="81"/>
            <rFont val="Tahoma"/>
            <family val="2"/>
          </rPr>
          <t>Anthony Fagnani:</t>
        </r>
        <r>
          <rPr>
            <sz val="9"/>
            <color indexed="81"/>
            <rFont val="Tahoma"/>
            <family val="2"/>
          </rPr>
          <t xml:space="preserve">
Needs to be checked</t>
        </r>
      </text>
    </comment>
    <comment ref="J11" authorId="0">
      <text>
        <r>
          <rPr>
            <b/>
            <sz val="9"/>
            <color indexed="81"/>
            <rFont val="Tahoma"/>
            <family val="2"/>
          </rPr>
          <t>Anthony Fagnani:</t>
        </r>
        <r>
          <rPr>
            <sz val="9"/>
            <color indexed="81"/>
            <rFont val="Tahoma"/>
            <family val="2"/>
          </rPr>
          <t xml:space="preserve">
Needs to be checked</t>
        </r>
      </text>
    </comment>
    <comment ref="AA11" authorId="0">
      <text>
        <r>
          <rPr>
            <b/>
            <sz val="9"/>
            <color indexed="81"/>
            <rFont val="Tahoma"/>
            <family val="2"/>
          </rPr>
          <t>Anthony Fagnani:</t>
        </r>
        <r>
          <rPr>
            <sz val="9"/>
            <color indexed="81"/>
            <rFont val="Tahoma"/>
            <family val="2"/>
          </rPr>
          <t xml:space="preserve">
Needs to be checked</t>
        </r>
      </text>
    </comment>
    <comment ref="J12" authorId="0">
      <text>
        <r>
          <rPr>
            <b/>
            <sz val="9"/>
            <color indexed="81"/>
            <rFont val="Tahoma"/>
            <family val="2"/>
          </rPr>
          <t>Anthony Fagnani:</t>
        </r>
        <r>
          <rPr>
            <sz val="9"/>
            <color indexed="81"/>
            <rFont val="Tahoma"/>
            <family val="2"/>
          </rPr>
          <t xml:space="preserve">
Needs to be checked</t>
        </r>
      </text>
    </comment>
    <comment ref="AA12" authorId="0">
      <text>
        <r>
          <rPr>
            <b/>
            <sz val="9"/>
            <color indexed="81"/>
            <rFont val="Tahoma"/>
            <family val="2"/>
          </rPr>
          <t>Anthony Fagnani:</t>
        </r>
        <r>
          <rPr>
            <sz val="9"/>
            <color indexed="81"/>
            <rFont val="Tahoma"/>
            <family val="2"/>
          </rPr>
          <t xml:space="preserve">
Needs to be checked</t>
        </r>
      </text>
    </comment>
    <comment ref="J13" authorId="0">
      <text>
        <r>
          <rPr>
            <b/>
            <sz val="9"/>
            <color indexed="81"/>
            <rFont val="Tahoma"/>
            <family val="2"/>
          </rPr>
          <t>Anthony Fagnani:</t>
        </r>
        <r>
          <rPr>
            <sz val="9"/>
            <color indexed="81"/>
            <rFont val="Tahoma"/>
            <family val="2"/>
          </rPr>
          <t xml:space="preserve">
Needs to be checked</t>
        </r>
      </text>
    </comment>
    <comment ref="AA13" authorId="0">
      <text>
        <r>
          <rPr>
            <b/>
            <sz val="9"/>
            <color indexed="81"/>
            <rFont val="Tahoma"/>
            <family val="2"/>
          </rPr>
          <t>Anthony Fagnani:</t>
        </r>
        <r>
          <rPr>
            <sz val="9"/>
            <color indexed="81"/>
            <rFont val="Tahoma"/>
            <family val="2"/>
          </rPr>
          <t xml:space="preserve">
Needs to be checked</t>
        </r>
      </text>
    </comment>
  </commentList>
</comments>
</file>

<file path=xl/sharedStrings.xml><?xml version="1.0" encoding="utf-8"?>
<sst xmlns="http://schemas.openxmlformats.org/spreadsheetml/2006/main" count="559" uniqueCount="366">
  <si>
    <t>gmea</t>
  </si>
  <si>
    <t>gmps</t>
  </si>
  <si>
    <t>A/V</t>
  </si>
  <si>
    <t>Vref</t>
  </si>
  <si>
    <t>A</t>
  </si>
  <si>
    <t>V</t>
  </si>
  <si>
    <t>%</t>
  </si>
  <si>
    <t>Resr has to be less than</t>
  </si>
  <si>
    <t>L chosen</t>
  </si>
  <si>
    <t>Units</t>
  </si>
  <si>
    <t>Value</t>
  </si>
  <si>
    <t>Vena start</t>
  </si>
  <si>
    <t>Compensation</t>
  </si>
  <si>
    <t>Rt resistor value chosen</t>
  </si>
  <si>
    <t>kHz</t>
  </si>
  <si>
    <t>Iq non switching</t>
  </si>
  <si>
    <t>ton min</t>
  </si>
  <si>
    <t>Rdc</t>
  </si>
  <si>
    <t>Fm</t>
  </si>
  <si>
    <t>Calculated Cells</t>
  </si>
  <si>
    <t>Constants Cells</t>
  </si>
  <si>
    <t xml:space="preserve">Icorms (Output rms ripple current) </t>
  </si>
  <si>
    <t>Rcomp</t>
  </si>
  <si>
    <t>Rcomp chosen</t>
  </si>
  <si>
    <t>Ccomp</t>
  </si>
  <si>
    <t>Ccomp chosen</t>
  </si>
  <si>
    <t>Cpole chosen</t>
  </si>
  <si>
    <t>Rhs chosen</t>
  </si>
  <si>
    <t>fsw max range</t>
  </si>
  <si>
    <t>fsw min range</t>
  </si>
  <si>
    <t>fsw skip</t>
  </si>
  <si>
    <t>Rhs</t>
  </si>
  <si>
    <t>R</t>
  </si>
  <si>
    <t>freq</t>
  </si>
  <si>
    <t>s=2*pi*freq*i</t>
  </si>
  <si>
    <t>Co</t>
  </si>
  <si>
    <t>Rc</t>
  </si>
  <si>
    <t>Lo</t>
  </si>
  <si>
    <t>Vin</t>
  </si>
  <si>
    <t>Vout</t>
  </si>
  <si>
    <t>wo</t>
  </si>
  <si>
    <t>esr zero</t>
  </si>
  <si>
    <t>Ri</t>
  </si>
  <si>
    <t>fsw</t>
  </si>
  <si>
    <t>Sn</t>
  </si>
  <si>
    <t>Se</t>
  </si>
  <si>
    <t>Aol</t>
  </si>
  <si>
    <t>BW</t>
  </si>
  <si>
    <t>Cpole</t>
  </si>
  <si>
    <t>Gain-dB</t>
  </si>
  <si>
    <t>Phase Degrees</t>
  </si>
  <si>
    <t>Compensation Complex</t>
  </si>
  <si>
    <t>Comp Gain</t>
  </si>
  <si>
    <t>Comp Phase</t>
  </si>
  <si>
    <t>Gain Phase</t>
  </si>
  <si>
    <t>Co err amp</t>
  </si>
  <si>
    <t>Ro err amp</t>
  </si>
  <si>
    <t>Hd</t>
  </si>
  <si>
    <t>Ddcm</t>
  </si>
  <si>
    <t>a1</t>
  </si>
  <si>
    <t>a2</t>
  </si>
  <si>
    <t>wz1</t>
  </si>
  <si>
    <t>C1</t>
  </si>
  <si>
    <t>C0</t>
  </si>
  <si>
    <t>D0</t>
  </si>
  <si>
    <t>D1</t>
  </si>
  <si>
    <t>D2</t>
  </si>
  <si>
    <t>Overall ccm</t>
  </si>
  <si>
    <t>power stage gain</t>
  </si>
  <si>
    <t>power stage phase</t>
  </si>
  <si>
    <t>overall gain</t>
  </si>
  <si>
    <t>overall phase</t>
  </si>
  <si>
    <t>Overall dcm</t>
  </si>
  <si>
    <t>DCM &gt;= 1</t>
  </si>
  <si>
    <t>Disclaimer:</t>
  </si>
  <si>
    <t>Important:  Analysis Toolpak is needed to run small signal worksheet.   Go to Tools&gt;Add-Ins&gt; select Analysis Toolpak</t>
  </si>
  <si>
    <t>Ioutmin</t>
  </si>
  <si>
    <t>Ioutmax</t>
  </si>
  <si>
    <t>Iout (for plot)</t>
  </si>
  <si>
    <t>I1 (Enable current - 50mV)</t>
  </si>
  <si>
    <t>Resr</t>
  </si>
  <si>
    <t>Ruvlo1 chosen</t>
  </si>
  <si>
    <t>Ruvlo2 chosen</t>
  </si>
  <si>
    <t>I current limit</t>
  </si>
  <si>
    <t>W</t>
  </si>
  <si>
    <t>Vout with selected divider</t>
  </si>
  <si>
    <t>VSTOP calc</t>
  </si>
  <si>
    <t>VSTART calc</t>
  </si>
  <si>
    <t>See Small Signal sheet for frequency response</t>
  </si>
  <si>
    <t>Hide Sheet</t>
  </si>
  <si>
    <t>Std. Resistors</t>
  </si>
  <si>
    <t>Capacitors</t>
  </si>
  <si>
    <t>Enter resistor value</t>
  </si>
  <si>
    <t>E6</t>
  </si>
  <si>
    <t>E96</t>
  </si>
  <si>
    <t>Cap value</t>
  </si>
  <si>
    <t>Closest E6 Value</t>
  </si>
  <si>
    <t>Closest E12 Value</t>
  </si>
  <si>
    <t>C values up to 10nF</t>
  </si>
  <si>
    <t>Closest E24 Value</t>
  </si>
  <si>
    <t>Closest E48 Value</t>
  </si>
  <si>
    <t>Closest E96 Value</t>
  </si>
  <si>
    <t>E12</t>
  </si>
  <si>
    <t>C values greater than 10nF</t>
  </si>
  <si>
    <t>E24</t>
  </si>
  <si>
    <t>E48</t>
  </si>
  <si>
    <t>CIN</t>
  </si>
  <si>
    <t>LO</t>
  </si>
  <si>
    <t>RT</t>
  </si>
  <si>
    <t>RUVLO1</t>
  </si>
  <si>
    <t>RUVLO2</t>
  </si>
  <si>
    <t>RHS</t>
  </si>
  <si>
    <t>RLS</t>
  </si>
  <si>
    <t>RCOMP</t>
  </si>
  <si>
    <t>CCOMP</t>
  </si>
  <si>
    <t>CPOLE</t>
  </si>
  <si>
    <t>Rcomp and nearest STD 1% value</t>
  </si>
  <si>
    <t>Rhs (top of voltage divider) and nearest STD 1% value</t>
  </si>
  <si>
    <t>Ruvlo1 (top resistor in the voltage divider) and nearest STD 1% value</t>
  </si>
  <si>
    <t>Ruvlo2 (bottom resistor in the voltage divider) and nearest STD 1% value</t>
  </si>
  <si>
    <t>Ω</t>
  </si>
  <si>
    <t>kΩ</t>
  </si>
  <si>
    <t>Cin min (for target Vin ripple)</t>
  </si>
  <si>
    <t>U1</t>
  </si>
  <si>
    <t>I1</t>
  </si>
  <si>
    <t>Ihyst</t>
  </si>
  <si>
    <t>Ihysteresis</t>
  </si>
  <si>
    <t>fsw max</t>
  </si>
  <si>
    <t>Part Number</t>
  </si>
  <si>
    <t>Parts supported</t>
  </si>
  <si>
    <t>Vdev min</t>
  </si>
  <si>
    <t>Vdev max</t>
  </si>
  <si>
    <t>Vmin device</t>
  </si>
  <si>
    <t>Vmax device</t>
  </si>
  <si>
    <t>CO</t>
  </si>
  <si>
    <t>User-input Cells</t>
  </si>
  <si>
    <t>D</t>
  </si>
  <si>
    <t>All worksheets contain yellow user-input cells, light blue calculated cells, and light gray constants cells.</t>
  </si>
  <si>
    <t>C4</t>
  </si>
  <si>
    <t>L1</t>
  </si>
  <si>
    <t>R3</t>
  </si>
  <si>
    <t>R1</t>
  </si>
  <si>
    <t>R2</t>
  </si>
  <si>
    <t>R5</t>
  </si>
  <si>
    <t>R6</t>
  </si>
  <si>
    <t>R4</t>
  </si>
  <si>
    <t>C5</t>
  </si>
  <si>
    <t>C8</t>
  </si>
  <si>
    <t>PWR Number</t>
  </si>
  <si>
    <t>deg C/W</t>
  </si>
  <si>
    <t>Rt</t>
  </si>
  <si>
    <t>Iss</t>
  </si>
  <si>
    <t>µF</t>
  </si>
  <si>
    <t>mΩ</t>
  </si>
  <si>
    <t>Rdson</t>
  </si>
  <si>
    <t>Vin nom</t>
  </si>
  <si>
    <t>Vin max</t>
  </si>
  <si>
    <t>Vin min</t>
  </si>
  <si>
    <t>ns</t>
  </si>
  <si>
    <t>µH</t>
  </si>
  <si>
    <t>pF</t>
  </si>
  <si>
    <t>mV</t>
  </si>
  <si>
    <t>nF</t>
  </si>
  <si>
    <t>CSS</t>
  </si>
  <si>
    <t>ms</t>
  </si>
  <si>
    <t>Soft start time</t>
  </si>
  <si>
    <t>Soft start capacitor</t>
  </si>
  <si>
    <t>Selected soft start capacitor</t>
  </si>
  <si>
    <t>µA</t>
  </si>
  <si>
    <t>Ven max</t>
  </si>
  <si>
    <t>VEN max</t>
  </si>
  <si>
    <t>n/a</t>
  </si>
  <si>
    <t>This product is designed as an aid for customers of Texas Instruments.  No warranties, either express or implied, with respect to this software or its fitness for any particular purpose is made by Texas Instruments or the author.  The software is licensed solely on an "as is" basis.  The entire risk as to its quality and performance is with the user.</t>
  </si>
  <si>
    <t>Selected component values and their minimum ratings</t>
  </si>
  <si>
    <t>Theta JA Board</t>
  </si>
  <si>
    <t>Ta max</t>
  </si>
  <si>
    <t>deg C</t>
  </si>
  <si>
    <t>Pmax IC</t>
  </si>
  <si>
    <t>Device constants</t>
  </si>
  <si>
    <t>Set output voltage</t>
  </si>
  <si>
    <t>Select output capacitor(s)</t>
  </si>
  <si>
    <t>Select output inductor</t>
  </si>
  <si>
    <t>Select switching frequency</t>
  </si>
  <si>
    <t>Input power supply specifications</t>
  </si>
  <si>
    <t>Select a device from the dropdown menu</t>
  </si>
  <si>
    <t>Power stage</t>
  </si>
  <si>
    <t>Compensate error amplifier</t>
  </si>
  <si>
    <t>Select input capacitor(s)</t>
  </si>
  <si>
    <t>Output voltage</t>
  </si>
  <si>
    <t>Output voltage ripple (Vripple, 0.5% default)</t>
  </si>
  <si>
    <t>Transient response current step</t>
  </si>
  <si>
    <t>Max output current</t>
  </si>
  <si>
    <t>Min output current</t>
  </si>
  <si>
    <t>UVLO start voltage</t>
  </si>
  <si>
    <t>UVLO stop voltage</t>
  </si>
  <si>
    <t>Target Vin ripple (0.5% Vin nom default)</t>
  </si>
  <si>
    <t>Estimate IC power dissipation (assumes 25 deg C ambient)</t>
  </si>
  <si>
    <t>Iripple (Vin max, Vin nom, Vin min)</t>
  </si>
  <si>
    <t>Ilrms (Vin max, Vin nom, Vin min)</t>
  </si>
  <si>
    <t>Ilpeak  (Vin max, Vin nom, Vin min)</t>
  </si>
  <si>
    <t>Pcond (Vin nom, Vin max, Vin min)</t>
  </si>
  <si>
    <t>Psw (Vin nom, Vin max, Vin min)</t>
  </si>
  <si>
    <t>Pgd (Vin nom, Vin max, Vin min)</t>
  </si>
  <si>
    <t>Pq (Vin nom, Vin max, Vin min)</t>
  </si>
  <si>
    <t>Ptot (Vin nom, Vin max, Vin min)</t>
  </si>
  <si>
    <t>fsw calculated with resistor selected resistor</t>
  </si>
  <si>
    <t>Rt resistor value and nearest STD 1% value</t>
  </si>
  <si>
    <t>Rls (bottom of voltage divider) and nearest STD 1% value</t>
  </si>
  <si>
    <t>Values for plotting</t>
  </si>
  <si>
    <t>From design equations</t>
  </si>
  <si>
    <t>CIN RD</t>
  </si>
  <si>
    <t>COUT RD</t>
  </si>
  <si>
    <t>This worksheet is designed for use with Microsoft Excel 2002 or later.  It is intended to assist circuit designers in calculations.  Additional worksheets may be added as they are completed.</t>
  </si>
  <si>
    <t>3V</t>
  </si>
  <si>
    <t>TBD</t>
  </si>
  <si>
    <t>TPS54478</t>
  </si>
  <si>
    <t>Vena stop</t>
  </si>
  <si>
    <t>Rls</t>
  </si>
  <si>
    <t>Rdson_hs</t>
  </si>
  <si>
    <t>ton min max</t>
  </si>
  <si>
    <t>Rdson_ls</t>
  </si>
  <si>
    <t>Iomin for positive IL operation (Vin max, Vin nom, Vin min)</t>
  </si>
  <si>
    <t>Ilvalley no load (Vin max, Vin nom, Vin min)</t>
  </si>
  <si>
    <t>Vena_start</t>
  </si>
  <si>
    <t>Vena_stop</t>
  </si>
  <si>
    <t>µS</t>
  </si>
  <si>
    <t>Cff chosen</t>
  </si>
  <si>
    <t>Cff</t>
  </si>
  <si>
    <t>6V</t>
  </si>
  <si>
    <t>Select UVLO resistors (pins in parallel)</t>
  </si>
  <si>
    <t>Rhs FB</t>
  </si>
  <si>
    <t>Rls FB</t>
  </si>
  <si>
    <t>Cff Complex</t>
  </si>
  <si>
    <t>EA BW</t>
  </si>
  <si>
    <t>Sf</t>
  </si>
  <si>
    <t>Se to Sn ratio</t>
  </si>
  <si>
    <t>FCCM</t>
  </si>
  <si>
    <t>TPS54824</t>
  </si>
  <si>
    <t>Estimated on time (with Vin max and no load)</t>
  </si>
  <si>
    <t>TPS54116-Q1</t>
  </si>
  <si>
    <t>S</t>
  </si>
  <si>
    <t>Cboot</t>
  </si>
  <si>
    <t>TPS54623</t>
  </si>
  <si>
    <t>TPS54620</t>
  </si>
  <si>
    <t>TPS54320</t>
  </si>
  <si>
    <t>TPS54622</t>
  </si>
  <si>
    <t>Desired Vout</t>
  </si>
  <si>
    <t>Volts</t>
  </si>
  <si>
    <t>Tolerance</t>
  </si>
  <si>
    <t>Max Value</t>
  </si>
  <si>
    <t>Min Value</t>
  </si>
  <si>
    <t>Upper Divider Resistor</t>
  </si>
  <si>
    <t>Lower Divider Resistor</t>
  </si>
  <si>
    <t>Error</t>
  </si>
  <si>
    <t>Nominal output voltage:</t>
  </si>
  <si>
    <t>Minimum output voltage</t>
  </si>
  <si>
    <t>Maximum output voltage</t>
  </si>
  <si>
    <r>
      <t xml:space="preserve">Value in </t>
    </r>
    <r>
      <rPr>
        <b/>
        <sz val="11"/>
        <color theme="1"/>
        <rFont val="Arial"/>
        <family val="2"/>
      </rPr>
      <t>Ω</t>
    </r>
  </si>
  <si>
    <t>VFB Reference</t>
  </si>
  <si>
    <t>Vref tol</t>
  </si>
  <si>
    <t>Line and Load Regulation</t>
  </si>
  <si>
    <t>Line Load Reg</t>
  </si>
  <si>
    <t>Vin ripple (Vin max, Vin nom, Vin min)</t>
  </si>
  <si>
    <t>Icirms (Input rms ripple current with Vin min)</t>
  </si>
  <si>
    <t>Cin chosen (Use derated value)</t>
  </si>
  <si>
    <t>Co derating based on Vout bias, AC voltage and temperature</t>
  </si>
  <si>
    <t>Derate capacitance of ceramic capacitors</t>
  </si>
  <si>
    <t>Hz</t>
  </si>
  <si>
    <t>H</t>
  </si>
  <si>
    <t>F</t>
  </si>
  <si>
    <t>Cpole at 10x fco and nearest STD value</t>
  </si>
  <si>
    <t>Cpole at fsw/2 and nearest STD value</t>
  </si>
  <si>
    <t>fpole ps</t>
  </si>
  <si>
    <t>fzero ESR</t>
  </si>
  <si>
    <t>Ccomp at ps fpole and nearest STD value</t>
  </si>
  <si>
    <t>Cpole at ESR fzero and nearest STD value</t>
  </si>
  <si>
    <t>fzero Cff</t>
  </si>
  <si>
    <t>fpole Cff</t>
  </si>
  <si>
    <t>Vstart calc</t>
  </si>
  <si>
    <t>Vstop calc</t>
  </si>
  <si>
    <t>TPS54821</t>
  </si>
  <si>
    <t>fco</t>
  </si>
  <si>
    <t>Phase Margin</t>
  </si>
  <si>
    <t>Gain Margin</t>
  </si>
  <si>
    <t>deg</t>
  </si>
  <si>
    <t>dB</t>
  </si>
  <si>
    <t>find gain &gt; 0</t>
  </si>
  <si>
    <t>find phase &gt; 0</t>
  </si>
  <si>
    <t>Reference Schematic</t>
  </si>
  <si>
    <t>0.1 to 0.4 recommended</t>
  </si>
  <si>
    <t>Lo using application Io</t>
  </si>
  <si>
    <t>Io device</t>
  </si>
  <si>
    <t>Idev</t>
  </si>
  <si>
    <t>Comments</t>
  </si>
  <si>
    <t>Kind - inductor ripple current ratio</t>
  </si>
  <si>
    <t>Lomax (10% ripple based on device max Iout)</t>
  </si>
  <si>
    <t>Transient response voltage change (4% default)</t>
  </si>
  <si>
    <t>Transient response voltage change</t>
  </si>
  <si>
    <t>fzero esr</t>
  </si>
  <si>
    <t>fzero comp</t>
  </si>
  <si>
    <t>fpole comp</t>
  </si>
  <si>
    <t>Display Power Stage?</t>
  </si>
  <si>
    <t>Display Compensation?</t>
  </si>
  <si>
    <t>NO</t>
  </si>
  <si>
    <t>YES</t>
  </si>
  <si>
    <t>TPS54020 (ILIM=NC)</t>
  </si>
  <si>
    <t>TPS54020 (ILIM=RTN)</t>
  </si>
  <si>
    <t>TPS54020 (ILIM=499kΩ)</t>
  </si>
  <si>
    <t>Estimated on time (with Vin max and min load)</t>
  </si>
  <si>
    <t>Estimated on time (with Vin max and max load)</t>
  </si>
  <si>
    <t>Design Calculator Tool</t>
  </si>
  <si>
    <t>The calculator models the small signal gain and phase for the final design.</t>
  </si>
  <si>
    <t>This tool supports peak current mode control buck converters</t>
  </si>
  <si>
    <t>The calculator includes power stage design in CCM.</t>
  </si>
  <si>
    <t>Note: there is no password to unlock parts of this excel spreadsheet for editing.</t>
  </si>
  <si>
    <t>Peak Current-Mode Control Buck Converter CCM Design Equations</t>
  </si>
  <si>
    <t>fco1 between ps pole and zero (DS Equation)</t>
  </si>
  <si>
    <t>fco2 between ps pole and fsw/2 (DS Equation)</t>
  </si>
  <si>
    <t>Crossover Frequency Target (fco)</t>
  </si>
  <si>
    <t>fco2 target using loop model in 'Small Signal' tab</t>
  </si>
  <si>
    <t>Ccomp at 1/10 fco and nearest STD value</t>
  </si>
  <si>
    <t>fco estimation</t>
  </si>
  <si>
    <t>Co has to be greater than Co1 (transient)</t>
  </si>
  <si>
    <t>Co has to be greater than Co2 (ripple)</t>
  </si>
  <si>
    <t>TPS54418</t>
  </si>
  <si>
    <t>TPS54424</t>
  </si>
  <si>
    <t>mc</t>
  </si>
  <si>
    <t>wp</t>
  </si>
  <si>
    <t>Ro</t>
  </si>
  <si>
    <t>wp2</t>
  </si>
  <si>
    <t>q_2</t>
  </si>
  <si>
    <t>w_2</t>
  </si>
  <si>
    <t>k_2</t>
  </si>
  <si>
    <t>Re</t>
  </si>
  <si>
    <t>Ce</t>
  </si>
  <si>
    <t>Ze(s)</t>
  </si>
  <si>
    <t>Zcr(s)</t>
  </si>
  <si>
    <t>Zl(s)</t>
  </si>
  <si>
    <t>DCM Peak CMC complex</t>
  </si>
  <si>
    <t>OLD CCM Peak CMC complex</t>
  </si>
  <si>
    <t>Phase New Equivalent Circuit</t>
  </si>
  <si>
    <t>Gain New Equivalent Circuit</t>
  </si>
  <si>
    <t>Cff at fsw/2 and nearest STD value</t>
  </si>
  <si>
    <t>Vo(s)/Vc(s) New Equivalent Circuit</t>
  </si>
  <si>
    <t>With Vin_max</t>
  </si>
  <si>
    <t>Ze(s) Vin_max</t>
  </si>
  <si>
    <t>Vo(s)/Vc(s) New Equivalent Circuit Vin_max</t>
  </si>
  <si>
    <t>Gain New Equivalent Circuit Vin_max</t>
  </si>
  <si>
    <t>Phase New Equivalent Circuit Vin_max</t>
  </si>
  <si>
    <t>Zcer(s)</t>
  </si>
  <si>
    <t>Zload(s)</t>
  </si>
  <si>
    <t>Zesr(s)</t>
  </si>
  <si>
    <t>Co2</t>
  </si>
  <si>
    <t>Resr_2</t>
  </si>
  <si>
    <t>Co ceramic chosen</t>
  </si>
  <si>
    <t>Co ceramic final value based on derating</t>
  </si>
  <si>
    <t>Resr ceramic chosen</t>
  </si>
  <si>
    <t>Resr high esr cap</t>
  </si>
  <si>
    <r>
      <t xml:space="preserve">Co high esr cap chosen </t>
    </r>
    <r>
      <rPr>
        <b/>
        <sz val="10"/>
        <rFont val="Arial"/>
        <family val="2"/>
      </rPr>
      <t>(if not used, set equal to 0.1)</t>
    </r>
  </si>
  <si>
    <t>Anticipated type 3 ea phase</t>
  </si>
  <si>
    <t>Anticipated type 2 ea phase</t>
  </si>
  <si>
    <t>find phase &gt;65</t>
  </si>
  <si>
    <t>Select UVLO resistors</t>
  </si>
  <si>
    <t>Updated:</t>
  </si>
  <si>
    <t>TPS54A24</t>
  </si>
  <si>
    <t>Istart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</si>
</sst>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
    <numFmt numFmtId="166" formatCode="0.000E+00"/>
    <numFmt numFmtId="167" formatCode="0.0000"/>
    <numFmt numFmtId="168" formatCode="0.0%"/>
  </numFmts>
  <fonts count="32" x14ac:knownFonts="1">
    <font>
      <sz val="10"/>
      <name val="Arial"/>
    </font>
    <font>
      <sz val="10"/>
      <name val="Arial"/>
      <family val="2"/>
    </font>
    <font>
      <sz val="8"/>
      <name val="Arial"/>
      <family val="2"/>
    </font>
    <font>
      <b/>
      <sz val="10"/>
      <name val="Arial"/>
      <family val="2"/>
    </font>
    <font>
      <sz val="10"/>
      <name val="Arial"/>
      <family val="2"/>
    </font>
    <font>
      <sz val="10"/>
      <color indexed="8"/>
      <name val="Arial"/>
      <family val="2"/>
    </font>
    <font>
      <b/>
      <sz val="24"/>
      <name val="Arial"/>
      <family val="2"/>
    </font>
    <font>
      <b/>
      <sz val="12"/>
      <name val="Arial"/>
      <family val="2"/>
    </font>
    <font>
      <sz val="10"/>
      <color indexed="10"/>
      <name val="Arial"/>
      <family val="2"/>
    </font>
    <font>
      <sz val="10"/>
      <color indexed="9"/>
      <name val="Arial"/>
      <family val="2"/>
    </font>
    <font>
      <b/>
      <sz val="10"/>
      <color indexed="8"/>
      <name val="Arial"/>
      <family val="2"/>
    </font>
    <font>
      <b/>
      <sz val="14"/>
      <color indexed="10"/>
      <name val="Arial"/>
      <family val="2"/>
    </font>
    <font>
      <sz val="14"/>
      <name val="Arial"/>
      <family val="2"/>
    </font>
    <font>
      <b/>
      <sz val="10"/>
      <color indexed="12"/>
      <name val="Arial"/>
      <family val="2"/>
    </font>
    <font>
      <b/>
      <sz val="10"/>
      <color indexed="17"/>
      <name val="Arial"/>
      <family val="2"/>
    </font>
    <font>
      <b/>
      <sz val="10"/>
      <color indexed="9"/>
      <name val="Arial"/>
      <family val="2"/>
    </font>
    <font>
      <b/>
      <sz val="8"/>
      <name val="Arial"/>
      <family val="2"/>
    </font>
    <font>
      <sz val="8"/>
      <name val="Verdana"/>
      <family val="2"/>
    </font>
    <font>
      <b/>
      <sz val="10"/>
      <color indexed="10"/>
      <name val="Arial"/>
      <family val="2"/>
    </font>
    <font>
      <sz val="10"/>
      <color indexed="22"/>
      <name val="Arial"/>
      <family val="2"/>
    </font>
    <font>
      <sz val="8"/>
      <color indexed="81"/>
      <name val="Tahoma"/>
      <family val="2"/>
    </font>
    <font>
      <b/>
      <sz val="11"/>
      <name val="Arial"/>
      <family val="2"/>
    </font>
    <font>
      <b/>
      <i/>
      <sz val="10"/>
      <name val="Arial"/>
      <family val="2"/>
    </font>
    <font>
      <sz val="9"/>
      <color indexed="81"/>
      <name val="Tahoma"/>
      <family val="2"/>
    </font>
    <font>
      <b/>
      <sz val="14"/>
      <name val="Arial"/>
      <family val="2"/>
    </font>
    <font>
      <sz val="10"/>
      <name val="Arial"/>
      <family val="2"/>
    </font>
    <font>
      <sz val="11"/>
      <color theme="1"/>
      <name val="Calibri"/>
      <family val="2"/>
      <scheme val="minor"/>
    </font>
    <font>
      <sz val="10"/>
      <color theme="1"/>
      <name val="Arial"/>
      <family val="2"/>
    </font>
    <font>
      <b/>
      <sz val="10"/>
      <color theme="0"/>
      <name val="Arial"/>
      <family val="2"/>
    </font>
    <font>
      <sz val="10"/>
      <color theme="0"/>
      <name val="Arial"/>
      <family val="2"/>
    </font>
    <font>
      <b/>
      <sz val="9"/>
      <color indexed="81"/>
      <name val="Tahoma"/>
      <family val="2"/>
    </font>
    <font>
      <b/>
      <sz val="11"/>
      <color theme="1"/>
      <name val="Arial"/>
      <family val="2"/>
    </font>
  </fonts>
  <fills count="16">
    <fill>
      <patternFill patternType="none"/>
    </fill>
    <fill>
      <patternFill patternType="gray125"/>
    </fill>
    <fill>
      <patternFill patternType="solid">
        <fgColor indexed="13"/>
        <bgColor indexed="64"/>
      </patternFill>
    </fill>
    <fill>
      <patternFill patternType="solid">
        <fgColor indexed="15"/>
        <bgColor indexed="64"/>
      </patternFill>
    </fill>
    <fill>
      <patternFill patternType="solid">
        <fgColor indexed="22"/>
        <bgColor indexed="64"/>
      </patternFill>
    </fill>
    <fill>
      <patternFill patternType="solid">
        <fgColor indexed="34"/>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31"/>
        <bgColor indexed="64"/>
      </patternFill>
    </fill>
    <fill>
      <patternFill patternType="solid">
        <fgColor indexed="26"/>
        <bgColor indexed="64"/>
      </patternFill>
    </fill>
    <fill>
      <patternFill patternType="solid">
        <fgColor rgb="FF00FFFF"/>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9"/>
      </left>
      <right style="medium">
        <color indexed="9"/>
      </right>
      <top style="medium">
        <color indexed="9"/>
      </top>
      <bottom/>
      <diagonal/>
    </border>
    <border>
      <left style="medium">
        <color indexed="9"/>
      </left>
      <right style="medium">
        <color indexed="9"/>
      </right>
      <top/>
      <bottom/>
      <diagonal/>
    </border>
    <border>
      <left style="medium">
        <color indexed="9"/>
      </left>
      <right style="medium">
        <color indexed="9"/>
      </right>
      <top/>
      <bottom style="medium">
        <color indexed="9"/>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9"/>
      </right>
      <top/>
      <bottom/>
      <diagonal/>
    </border>
    <border>
      <left style="medium">
        <color indexed="9"/>
      </left>
      <right/>
      <top/>
      <bottom/>
      <diagonal/>
    </border>
    <border>
      <left style="medium">
        <color indexed="9"/>
      </left>
      <right/>
      <top style="medium">
        <color indexed="9"/>
      </top>
      <bottom/>
      <diagonal/>
    </border>
    <border>
      <left/>
      <right style="medium">
        <color indexed="9"/>
      </right>
      <top style="medium">
        <color indexed="9"/>
      </top>
      <bottom/>
      <diagonal/>
    </border>
  </borders>
  <cellStyleXfs count="11">
    <xf numFmtId="0" fontId="0" fillId="0" borderId="0"/>
    <xf numFmtId="0" fontId="4" fillId="0" borderId="0"/>
    <xf numFmtId="0" fontId="4" fillId="0" borderId="0"/>
    <xf numFmtId="0" fontId="4" fillId="0" borderId="0"/>
    <xf numFmtId="0" fontId="4" fillId="0" borderId="0"/>
    <xf numFmtId="0" fontId="4" fillId="0" borderId="0"/>
    <xf numFmtId="9" fontId="1" fillId="0" borderId="0" applyFont="0" applyFill="0" applyBorder="0" applyAlignment="0" applyProtection="0"/>
    <xf numFmtId="9" fontId="4"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5" fillId="0" borderId="0" applyFont="0" applyFill="0" applyBorder="0" applyAlignment="0" applyProtection="0"/>
  </cellStyleXfs>
  <cellXfs count="268">
    <xf numFmtId="0" fontId="0" fillId="0" borderId="0" xfId="0"/>
    <xf numFmtId="0" fontId="3" fillId="0" borderId="0" xfId="0" applyFont="1"/>
    <xf numFmtId="0" fontId="0" fillId="0" borderId="0" xfId="0" applyFill="1"/>
    <xf numFmtId="0" fontId="3" fillId="0" borderId="0" xfId="0" applyFont="1" applyFill="1"/>
    <xf numFmtId="0" fontId="3" fillId="0" borderId="0" xfId="0" applyFont="1" applyAlignment="1">
      <alignment wrapText="1"/>
    </xf>
    <xf numFmtId="0" fontId="4" fillId="0" borderId="0" xfId="0" applyFont="1"/>
    <xf numFmtId="0" fontId="0" fillId="0" borderId="0" xfId="0" applyNumberFormat="1" applyFill="1"/>
    <xf numFmtId="0" fontId="0" fillId="2" borderId="0" xfId="0" applyFill="1"/>
    <xf numFmtId="0" fontId="0" fillId="4" borderId="0" xfId="0" applyFill="1"/>
    <xf numFmtId="0" fontId="4" fillId="0" borderId="0" xfId="0" applyFont="1" applyFill="1"/>
    <xf numFmtId="2" fontId="0" fillId="4" borderId="0" xfId="0" applyNumberFormat="1" applyFill="1"/>
    <xf numFmtId="1" fontId="5" fillId="3" borderId="0" xfId="0" applyNumberFormat="1" applyFont="1" applyFill="1"/>
    <xf numFmtId="0" fontId="0" fillId="5" borderId="1" xfId="0" applyFill="1" applyBorder="1"/>
    <xf numFmtId="0" fontId="0" fillId="5" borderId="2" xfId="0" applyFill="1" applyBorder="1"/>
    <xf numFmtId="0" fontId="0" fillId="5" borderId="3" xfId="0" applyFill="1" applyBorder="1"/>
    <xf numFmtId="0" fontId="0" fillId="5" borderId="4" xfId="0" applyFill="1" applyBorder="1"/>
    <xf numFmtId="0" fontId="0" fillId="5" borderId="0" xfId="0" applyFill="1"/>
    <xf numFmtId="0" fontId="0" fillId="5" borderId="5" xfId="0" applyFill="1" applyBorder="1"/>
    <xf numFmtId="0" fontId="6" fillId="5" borderId="4" xfId="0" applyFont="1" applyFill="1" applyBorder="1"/>
    <xf numFmtId="0" fontId="6" fillId="5" borderId="0" xfId="0" applyFont="1" applyFill="1"/>
    <xf numFmtId="0" fontId="6" fillId="5" borderId="5" xfId="0" applyFont="1" applyFill="1" applyBorder="1"/>
    <xf numFmtId="0" fontId="0" fillId="5" borderId="6" xfId="0" applyFill="1" applyBorder="1"/>
    <xf numFmtId="0" fontId="0" fillId="5" borderId="7" xfId="0" applyFill="1" applyBorder="1"/>
    <xf numFmtId="0" fontId="0" fillId="5" borderId="8" xfId="0" applyFill="1" applyBorder="1"/>
    <xf numFmtId="0" fontId="0" fillId="5" borderId="9" xfId="0" applyFill="1" applyBorder="1"/>
    <xf numFmtId="0" fontId="0" fillId="5" borderId="10" xfId="0" applyFill="1" applyBorder="1"/>
    <xf numFmtId="0" fontId="0" fillId="5" borderId="11" xfId="0" applyFill="1" applyBorder="1"/>
    <xf numFmtId="0" fontId="0" fillId="5" borderId="12" xfId="0" applyFill="1" applyBorder="1"/>
    <xf numFmtId="0" fontId="0" fillId="5" borderId="13" xfId="0" applyFill="1" applyBorder="1"/>
    <xf numFmtId="0" fontId="0" fillId="5" borderId="14" xfId="0" applyFill="1" applyBorder="1"/>
    <xf numFmtId="0" fontId="0" fillId="5" borderId="15" xfId="0" applyFill="1" applyBorder="1"/>
    <xf numFmtId="0" fontId="0" fillId="5" borderId="16" xfId="0" applyFill="1" applyBorder="1"/>
    <xf numFmtId="0" fontId="0" fillId="4" borderId="0" xfId="0" applyNumberFormat="1" applyFill="1"/>
    <xf numFmtId="165" fontId="8" fillId="0" borderId="0" xfId="0" applyNumberFormat="1" applyFont="1" applyFill="1"/>
    <xf numFmtId="0" fontId="3" fillId="0" borderId="0" xfId="0" applyFont="1" applyAlignment="1">
      <alignment horizontal="left"/>
    </xf>
    <xf numFmtId="0" fontId="3" fillId="0" borderId="0" xfId="0" applyFont="1" applyFill="1" applyAlignment="1">
      <alignment horizontal="left"/>
    </xf>
    <xf numFmtId="0" fontId="0" fillId="0" borderId="0" xfId="0" applyFill="1" applyAlignment="1">
      <alignment horizontal="right"/>
    </xf>
    <xf numFmtId="165" fontId="3" fillId="0" borderId="0" xfId="0" applyNumberFormat="1" applyFont="1" applyFill="1" applyAlignment="1">
      <alignment horizontal="right"/>
    </xf>
    <xf numFmtId="0" fontId="0" fillId="4" borderId="0" xfId="0" applyFill="1" applyAlignment="1">
      <alignment horizontal="right"/>
    </xf>
    <xf numFmtId="0" fontId="3" fillId="0" borderId="0" xfId="0" applyFont="1" applyFill="1" applyAlignment="1">
      <alignment wrapText="1"/>
    </xf>
    <xf numFmtId="1" fontId="5" fillId="0" borderId="0" xfId="0" applyNumberFormat="1" applyFont="1" applyFill="1"/>
    <xf numFmtId="1" fontId="0" fillId="0" borderId="0" xfId="0" applyNumberFormat="1" applyFill="1"/>
    <xf numFmtId="164" fontId="0" fillId="0" borderId="0" xfId="0" applyNumberFormat="1" applyFill="1"/>
    <xf numFmtId="165" fontId="1" fillId="0" borderId="0" xfId="0" applyNumberFormat="1" applyFont="1" applyFill="1"/>
    <xf numFmtId="0" fontId="11" fillId="6" borderId="0" xfId="3" applyFont="1" applyFill="1" applyProtection="1">
      <protection hidden="1"/>
    </xf>
    <xf numFmtId="0" fontId="8" fillId="6" borderId="0" xfId="3" applyFont="1" applyFill="1" applyProtection="1">
      <protection hidden="1"/>
    </xf>
    <xf numFmtId="0" fontId="4" fillId="6" borderId="0" xfId="3" applyFont="1" applyFill="1" applyProtection="1">
      <protection hidden="1"/>
    </xf>
    <xf numFmtId="0" fontId="4" fillId="6" borderId="0" xfId="3" applyFont="1" applyFill="1" applyBorder="1" applyProtection="1">
      <protection hidden="1"/>
    </xf>
    <xf numFmtId="49" fontId="4" fillId="6" borderId="0" xfId="3" applyNumberFormat="1" applyFont="1" applyFill="1" applyBorder="1" applyProtection="1">
      <protection hidden="1"/>
    </xf>
    <xf numFmtId="0" fontId="4" fillId="6" borderId="0" xfId="3" applyFont="1" applyFill="1" applyBorder="1"/>
    <xf numFmtId="0" fontId="4" fillId="6" borderId="0" xfId="3" applyFill="1" applyProtection="1">
      <protection hidden="1"/>
    </xf>
    <xf numFmtId="0" fontId="12" fillId="6" borderId="0" xfId="3" applyFont="1" applyFill="1" applyProtection="1">
      <protection hidden="1"/>
    </xf>
    <xf numFmtId="0" fontId="11" fillId="6" borderId="0" xfId="3" applyFont="1" applyFill="1" applyBorder="1" applyProtection="1">
      <protection hidden="1"/>
    </xf>
    <xf numFmtId="0" fontId="8" fillId="6" borderId="0" xfId="3" applyFont="1" applyFill="1" applyBorder="1" applyProtection="1">
      <protection hidden="1"/>
    </xf>
    <xf numFmtId="0" fontId="4" fillId="6" borderId="17" xfId="3" applyFont="1" applyFill="1" applyBorder="1" applyProtection="1">
      <protection hidden="1"/>
    </xf>
    <xf numFmtId="0" fontId="13" fillId="7" borderId="18" xfId="3" applyFont="1" applyFill="1" applyBorder="1" applyProtection="1">
      <protection hidden="1"/>
    </xf>
    <xf numFmtId="1" fontId="8" fillId="6" borderId="0" xfId="3" applyNumberFormat="1" applyFont="1" applyFill="1" applyBorder="1" applyProtection="1">
      <protection hidden="1"/>
    </xf>
    <xf numFmtId="48" fontId="14" fillId="8" borderId="19" xfId="3" applyNumberFormat="1" applyFont="1" applyFill="1" applyBorder="1" applyAlignment="1" applyProtection="1">
      <alignment horizontal="center"/>
      <protection hidden="1"/>
    </xf>
    <xf numFmtId="0" fontId="14" fillId="8" borderId="20" xfId="3" applyFont="1" applyFill="1" applyBorder="1" applyProtection="1">
      <protection hidden="1"/>
    </xf>
    <xf numFmtId="0" fontId="10" fillId="9" borderId="21" xfId="3" applyFont="1" applyFill="1" applyBorder="1" applyAlignment="1">
      <alignment horizontal="center" wrapText="1"/>
    </xf>
    <xf numFmtId="0" fontId="10" fillId="9" borderId="22" xfId="3" applyFont="1" applyFill="1" applyBorder="1" applyAlignment="1">
      <alignment horizontal="center" wrapText="1"/>
    </xf>
    <xf numFmtId="0" fontId="10" fillId="10" borderId="21" xfId="3" applyFont="1" applyFill="1" applyBorder="1" applyAlignment="1">
      <alignment horizontal="center" wrapText="1"/>
    </xf>
    <xf numFmtId="0" fontId="10" fillId="10" borderId="23" xfId="3" applyFont="1" applyFill="1" applyBorder="1" applyAlignment="1">
      <alignment horizontal="center" wrapText="1"/>
    </xf>
    <xf numFmtId="48" fontId="13" fillId="7" borderId="11" xfId="3" applyNumberFormat="1" applyFont="1" applyFill="1" applyBorder="1" applyAlignment="1" applyProtection="1">
      <alignment horizontal="center"/>
      <protection hidden="1"/>
    </xf>
    <xf numFmtId="0" fontId="13" fillId="7" borderId="13" xfId="3" applyFont="1" applyFill="1" applyBorder="1" applyProtection="1">
      <protection hidden="1"/>
    </xf>
    <xf numFmtId="0" fontId="4" fillId="6" borderId="24" xfId="3" applyFont="1" applyFill="1" applyBorder="1" applyProtection="1">
      <protection hidden="1"/>
    </xf>
    <xf numFmtId="0" fontId="14" fillId="8" borderId="25" xfId="3" applyFont="1" applyFill="1" applyBorder="1" applyProtection="1">
      <protection hidden="1"/>
    </xf>
    <xf numFmtId="1" fontId="9" fillId="6" borderId="0" xfId="3" applyNumberFormat="1" applyFont="1" applyFill="1" applyBorder="1" applyProtection="1">
      <protection hidden="1"/>
    </xf>
    <xf numFmtId="165" fontId="15" fillId="6" borderId="0" xfId="3" applyNumberFormat="1" applyFont="1" applyFill="1" applyBorder="1" applyAlignment="1" applyProtection="1">
      <alignment horizontal="center"/>
      <protection hidden="1"/>
    </xf>
    <xf numFmtId="2" fontId="9" fillId="6" borderId="0" xfId="3" applyNumberFormat="1" applyFont="1" applyFill="1" applyBorder="1" applyAlignment="1" applyProtection="1">
      <alignment horizontal="center"/>
      <protection hidden="1"/>
    </xf>
    <xf numFmtId="0" fontId="4" fillId="6" borderId="26" xfId="3" applyFont="1" applyFill="1" applyBorder="1" applyProtection="1">
      <protection hidden="1"/>
    </xf>
    <xf numFmtId="0" fontId="14" fillId="8" borderId="27" xfId="3" applyFont="1" applyFill="1" applyBorder="1" applyProtection="1">
      <protection hidden="1"/>
    </xf>
    <xf numFmtId="0" fontId="16" fillId="6" borderId="0" xfId="3" applyFont="1" applyFill="1" applyBorder="1" applyProtection="1">
      <protection hidden="1"/>
    </xf>
    <xf numFmtId="0" fontId="17" fillId="6" borderId="0" xfId="3" applyFont="1" applyFill="1" applyBorder="1" applyAlignment="1" applyProtection="1">
      <alignment horizontal="center" wrapText="1"/>
      <protection hidden="1"/>
    </xf>
    <xf numFmtId="2" fontId="4" fillId="6" borderId="0" xfId="3" applyNumberFormat="1" applyFont="1" applyFill="1" applyBorder="1" applyAlignment="1" applyProtection="1">
      <alignment horizontal="center"/>
      <protection hidden="1"/>
    </xf>
    <xf numFmtId="1" fontId="4" fillId="6" borderId="0" xfId="3" applyNumberFormat="1" applyFont="1" applyFill="1" applyBorder="1" applyProtection="1"/>
    <xf numFmtId="0" fontId="4" fillId="6" borderId="28" xfId="3" applyFont="1" applyFill="1" applyBorder="1" applyProtection="1">
      <protection hidden="1"/>
    </xf>
    <xf numFmtId="0" fontId="14" fillId="8" borderId="29" xfId="3" applyFont="1" applyFill="1" applyBorder="1" applyProtection="1">
      <protection hidden="1"/>
    </xf>
    <xf numFmtId="0" fontId="10" fillId="11" borderId="30" xfId="3" applyFont="1" applyFill="1" applyBorder="1" applyAlignment="1">
      <alignment horizontal="center" wrapText="1"/>
    </xf>
    <xf numFmtId="0" fontId="10" fillId="11" borderId="21" xfId="3" applyFont="1" applyFill="1" applyBorder="1" applyAlignment="1">
      <alignment horizontal="center" wrapText="1"/>
    </xf>
    <xf numFmtId="0" fontId="10" fillId="11" borderId="22" xfId="3" applyFont="1" applyFill="1" applyBorder="1" applyAlignment="1">
      <alignment horizontal="center" wrapText="1"/>
    </xf>
    <xf numFmtId="0" fontId="4" fillId="6" borderId="0" xfId="3" applyFont="1" applyFill="1" applyBorder="1" applyAlignment="1" applyProtection="1">
      <alignment horizontal="center"/>
      <protection hidden="1"/>
    </xf>
    <xf numFmtId="0" fontId="4" fillId="6" borderId="0" xfId="3" applyFill="1" applyBorder="1" applyAlignment="1">
      <alignment wrapText="1"/>
    </xf>
    <xf numFmtId="0" fontId="4" fillId="6" borderId="0" xfId="3" applyFill="1" applyBorder="1" applyAlignment="1">
      <alignment horizontal="center"/>
    </xf>
    <xf numFmtId="0" fontId="14" fillId="6" borderId="0" xfId="3" applyFont="1" applyFill="1" applyBorder="1" applyProtection="1">
      <protection hidden="1"/>
    </xf>
    <xf numFmtId="0" fontId="4" fillId="6" borderId="0" xfId="3" applyFont="1" applyFill="1"/>
    <xf numFmtId="49" fontId="18" fillId="8" borderId="21" xfId="3" applyNumberFormat="1" applyFont="1" applyFill="1" applyBorder="1" applyAlignment="1">
      <alignment horizontal="center" wrapText="1"/>
    </xf>
    <xf numFmtId="49" fontId="18" fillId="8" borderId="22" xfId="3" applyNumberFormat="1" applyFont="1" applyFill="1" applyBorder="1" applyAlignment="1">
      <alignment horizontal="center" wrapText="1"/>
    </xf>
    <xf numFmtId="0" fontId="19" fillId="6" borderId="0" xfId="3" applyFont="1" applyFill="1"/>
    <xf numFmtId="49" fontId="4" fillId="6" borderId="0" xfId="3" applyNumberFormat="1" applyFill="1" applyBorder="1" applyProtection="1"/>
    <xf numFmtId="49" fontId="18" fillId="8" borderId="23" xfId="3" applyNumberFormat="1" applyFont="1" applyFill="1" applyBorder="1" applyAlignment="1">
      <alignment horizontal="center" wrapText="1"/>
    </xf>
    <xf numFmtId="49" fontId="9" fillId="6" borderId="0" xfId="3" applyNumberFormat="1" applyFont="1" applyFill="1" applyBorder="1" applyProtection="1">
      <protection hidden="1"/>
    </xf>
    <xf numFmtId="0" fontId="9" fillId="6" borderId="0" xfId="3" applyFont="1" applyFill="1" applyProtection="1">
      <protection hidden="1"/>
    </xf>
    <xf numFmtId="0" fontId="9" fillId="6" borderId="0" xfId="3" applyFont="1" applyFill="1" applyBorder="1" applyProtection="1">
      <protection hidden="1"/>
    </xf>
    <xf numFmtId="0" fontId="18" fillId="6" borderId="0" xfId="3" applyFont="1" applyFill="1" applyBorder="1" applyAlignment="1" applyProtection="1">
      <alignment horizontal="center" wrapText="1"/>
      <protection hidden="1"/>
    </xf>
    <xf numFmtId="0" fontId="9" fillId="6" borderId="0" xfId="3" applyFont="1" applyFill="1"/>
    <xf numFmtId="0" fontId="27" fillId="12" borderId="0" xfId="3" applyFont="1" applyFill="1" applyBorder="1" applyProtection="1">
      <protection hidden="1"/>
    </xf>
    <xf numFmtId="0" fontId="4" fillId="13" borderId="0" xfId="0" applyFont="1" applyFill="1"/>
    <xf numFmtId="0" fontId="21" fillId="0" borderId="0" xfId="0" applyFont="1" applyAlignment="1">
      <alignment wrapText="1"/>
    </xf>
    <xf numFmtId="0" fontId="1" fillId="0" borderId="0" xfId="0" applyFont="1" applyFill="1" applyAlignment="1">
      <alignment wrapText="1"/>
    </xf>
    <xf numFmtId="0" fontId="22" fillId="0" borderId="0" xfId="0" applyFont="1" applyAlignment="1">
      <alignment wrapText="1"/>
    </xf>
    <xf numFmtId="165" fontId="1" fillId="2" borderId="0" xfId="0" applyNumberFormat="1" applyFont="1" applyFill="1" applyProtection="1">
      <protection locked="0"/>
    </xf>
    <xf numFmtId="0" fontId="4" fillId="0" borderId="0" xfId="0" applyFont="1" applyAlignment="1">
      <alignment horizontal="center"/>
    </xf>
    <xf numFmtId="0" fontId="0" fillId="13" borderId="0" xfId="0" applyFill="1" applyAlignment="1" applyProtection="1">
      <alignment horizontal="right"/>
    </xf>
    <xf numFmtId="1" fontId="0" fillId="13" borderId="0" xfId="0" applyNumberFormat="1" applyFill="1"/>
    <xf numFmtId="164" fontId="0" fillId="4" borderId="0" xfId="0" applyNumberFormat="1" applyFill="1"/>
    <xf numFmtId="1" fontId="0" fillId="13" borderId="0" xfId="0" applyNumberFormat="1" applyFill="1" applyAlignment="1" applyProtection="1">
      <alignment horizontal="right"/>
    </xf>
    <xf numFmtId="1" fontId="0" fillId="4" borderId="0" xfId="0" applyNumberFormat="1" applyFill="1"/>
    <xf numFmtId="164" fontId="0" fillId="13" borderId="0" xfId="0" applyNumberFormat="1" applyFill="1"/>
    <xf numFmtId="1" fontId="0" fillId="4" borderId="0" xfId="0" applyNumberFormat="1" applyFill="1" applyAlignment="1">
      <alignment horizontal="right"/>
    </xf>
    <xf numFmtId="2" fontId="27" fillId="12" borderId="0" xfId="3" applyNumberFormat="1" applyFont="1" applyFill="1" applyBorder="1" applyProtection="1">
      <protection hidden="1"/>
    </xf>
    <xf numFmtId="164" fontId="27" fillId="12" borderId="0" xfId="3" applyNumberFormat="1" applyFont="1" applyFill="1" applyBorder="1" applyProtection="1">
      <protection hidden="1"/>
    </xf>
    <xf numFmtId="0" fontId="28" fillId="0" borderId="0" xfId="0" applyFont="1" applyAlignment="1">
      <alignment vertical="center"/>
    </xf>
    <xf numFmtId="0" fontId="29" fillId="0" borderId="0" xfId="0" applyFont="1" applyAlignment="1">
      <alignment horizontal="center"/>
    </xf>
    <xf numFmtId="1" fontId="0" fillId="0" borderId="0" xfId="0" applyNumberFormat="1" applyFill="1" applyAlignment="1">
      <alignment horizontal="right"/>
    </xf>
    <xf numFmtId="0" fontId="0" fillId="0" borderId="0" xfId="0" applyFill="1" applyAlignment="1" applyProtection="1">
      <alignment horizontal="right"/>
    </xf>
    <xf numFmtId="1" fontId="0" fillId="0" borderId="0" xfId="0" applyNumberFormat="1" applyFill="1" applyAlignment="1" applyProtection="1">
      <alignment horizontal="right"/>
    </xf>
    <xf numFmtId="0" fontId="0" fillId="13" borderId="0" xfId="0" applyNumberFormat="1" applyFill="1"/>
    <xf numFmtId="1" fontId="0" fillId="13" borderId="0" xfId="0" applyNumberFormat="1" applyFill="1" applyAlignment="1">
      <alignment horizontal="right"/>
    </xf>
    <xf numFmtId="0" fontId="0" fillId="13" borderId="0" xfId="0" applyFill="1" applyAlignment="1">
      <alignment horizontal="right"/>
    </xf>
    <xf numFmtId="0" fontId="0" fillId="13" borderId="0" xfId="0" applyFill="1"/>
    <xf numFmtId="164" fontId="3" fillId="2" borderId="0" xfId="0" applyNumberFormat="1" applyFont="1" applyFill="1" applyProtection="1">
      <protection locked="0"/>
    </xf>
    <xf numFmtId="2" fontId="3" fillId="2" borderId="0" xfId="0" applyNumberFormat="1" applyFont="1" applyFill="1" applyProtection="1">
      <protection locked="0"/>
    </xf>
    <xf numFmtId="1" fontId="3" fillId="2" borderId="0" xfId="0" applyNumberFormat="1" applyFont="1" applyFill="1" applyProtection="1">
      <protection locked="0"/>
    </xf>
    <xf numFmtId="2" fontId="0" fillId="13" borderId="0" xfId="0" applyNumberFormat="1" applyFill="1"/>
    <xf numFmtId="0" fontId="1" fillId="0" borderId="0" xfId="0" applyFont="1"/>
    <xf numFmtId="0" fontId="3" fillId="0" borderId="0" xfId="0" applyFont="1" applyAlignment="1">
      <alignment horizontal="left" vertical="center"/>
    </xf>
    <xf numFmtId="0" fontId="1" fillId="0" borderId="0" xfId="0" applyFont="1" applyFill="1"/>
    <xf numFmtId="0" fontId="1" fillId="0" borderId="0" xfId="1" applyFont="1"/>
    <xf numFmtId="2" fontId="1" fillId="0" borderId="0" xfId="1" applyNumberFormat="1" applyFont="1" applyFill="1"/>
    <xf numFmtId="0" fontId="1" fillId="0" borderId="0" xfId="1" applyFont="1" applyFill="1"/>
    <xf numFmtId="0" fontId="1" fillId="0" borderId="0" xfId="1" applyFont="1" applyFill="1" applyAlignment="1">
      <alignment horizontal="left"/>
    </xf>
    <xf numFmtId="11" fontId="1" fillId="0" borderId="0" xfId="0" applyNumberFormat="1" applyFont="1" applyFill="1"/>
    <xf numFmtId="0" fontId="1" fillId="14" borderId="0" xfId="0" applyFont="1" applyFill="1" applyAlignment="1" applyProtection="1">
      <alignment horizontal="center"/>
      <protection locked="0"/>
    </xf>
    <xf numFmtId="0" fontId="1" fillId="2" borderId="0" xfId="0" applyFont="1" applyFill="1" applyAlignment="1">
      <alignment horizontal="center" vertical="center"/>
    </xf>
    <xf numFmtId="0" fontId="1" fillId="0" borderId="0" xfId="0" applyFont="1" applyAlignment="1">
      <alignment wrapText="1"/>
    </xf>
    <xf numFmtId="0" fontId="1" fillId="3" borderId="0" xfId="0" applyFont="1" applyFill="1" applyAlignment="1">
      <alignment horizontal="center" vertical="center"/>
    </xf>
    <xf numFmtId="0" fontId="1" fillId="4" borderId="0" xfId="0" applyFont="1" applyFill="1" applyAlignment="1">
      <alignment horizontal="center" vertical="center"/>
    </xf>
    <xf numFmtId="2" fontId="1" fillId="2" borderId="0" xfId="0" applyNumberFormat="1" applyFont="1" applyFill="1" applyProtection="1">
      <protection locked="0"/>
    </xf>
    <xf numFmtId="0" fontId="1" fillId="0" borderId="0" xfId="0" applyFont="1" applyFill="1" applyAlignment="1">
      <alignment horizontal="left"/>
    </xf>
    <xf numFmtId="165" fontId="1" fillId="0" borderId="0" xfId="0" applyNumberFormat="1" applyFont="1" applyFill="1" applyAlignment="1">
      <alignment horizontal="right"/>
    </xf>
    <xf numFmtId="0" fontId="1" fillId="0" borderId="0" xfId="0" applyFont="1" applyFill="1" applyAlignment="1">
      <alignment horizontal="right"/>
    </xf>
    <xf numFmtId="0" fontId="1" fillId="2" borderId="0" xfId="0" applyFont="1" applyFill="1" applyProtection="1">
      <protection locked="0"/>
    </xf>
    <xf numFmtId="0" fontId="1" fillId="0" borderId="0" xfId="0" applyFont="1" applyFill="1" applyAlignment="1" applyProtection="1">
      <alignment horizontal="left"/>
    </xf>
    <xf numFmtId="0" fontId="1" fillId="0" borderId="0" xfId="0" applyFont="1" applyAlignment="1">
      <alignment horizontal="left"/>
    </xf>
    <xf numFmtId="0" fontId="1" fillId="0" borderId="0" xfId="0" applyNumberFormat="1" applyFont="1" applyFill="1"/>
    <xf numFmtId="1" fontId="1" fillId="2" borderId="0" xfId="0" applyNumberFormat="1" applyFont="1" applyFill="1" applyProtection="1">
      <protection locked="0"/>
    </xf>
    <xf numFmtId="2" fontId="1" fillId="0" borderId="0" xfId="0" applyNumberFormat="1" applyFont="1" applyFill="1"/>
    <xf numFmtId="0" fontId="1" fillId="0" borderId="0" xfId="0" applyFont="1" applyAlignment="1">
      <alignment horizontal="right" wrapText="1"/>
    </xf>
    <xf numFmtId="0" fontId="1" fillId="12" borderId="0" xfId="0" applyFont="1" applyFill="1" applyAlignment="1">
      <alignment horizontal="right"/>
    </xf>
    <xf numFmtId="11" fontId="1" fillId="12" borderId="0" xfId="0" applyNumberFormat="1" applyFont="1" applyFill="1" applyAlignment="1">
      <alignment horizontal="right"/>
    </xf>
    <xf numFmtId="48" fontId="1" fillId="12" borderId="0" xfId="0" applyNumberFormat="1" applyFont="1" applyFill="1" applyAlignment="1">
      <alignment horizontal="right"/>
    </xf>
    <xf numFmtId="11" fontId="1" fillId="0" borderId="0" xfId="0" applyNumberFormat="1" applyFont="1" applyAlignment="1">
      <alignment horizontal="right" wrapText="1"/>
    </xf>
    <xf numFmtId="48" fontId="1" fillId="13" borderId="0" xfId="0" applyNumberFormat="1" applyFont="1" applyFill="1" applyAlignment="1">
      <alignment horizontal="right"/>
    </xf>
    <xf numFmtId="0" fontId="1" fillId="13" borderId="0" xfId="0" applyFont="1" applyFill="1" applyAlignment="1">
      <alignment horizontal="right"/>
    </xf>
    <xf numFmtId="11" fontId="1" fillId="0" borderId="0" xfId="0" applyNumberFormat="1" applyFont="1" applyAlignment="1">
      <alignment horizontal="right"/>
    </xf>
    <xf numFmtId="0" fontId="1" fillId="12" borderId="0" xfId="7" applyNumberFormat="1" applyFont="1" applyFill="1" applyAlignment="1">
      <alignment horizontal="right"/>
    </xf>
    <xf numFmtId="0" fontId="1" fillId="0" borderId="0" xfId="7" applyNumberFormat="1" applyFont="1" applyAlignment="1">
      <alignment horizontal="right" wrapText="1"/>
    </xf>
    <xf numFmtId="0" fontId="1" fillId="0" borderId="0" xfId="0" applyFont="1" applyAlignment="1">
      <alignment horizontal="center"/>
    </xf>
    <xf numFmtId="164" fontId="1" fillId="3" borderId="0" xfId="0" applyNumberFormat="1" applyFont="1" applyFill="1"/>
    <xf numFmtId="0" fontId="1" fillId="0" borderId="0" xfId="0" applyNumberFormat="1" applyFont="1"/>
    <xf numFmtId="1" fontId="1" fillId="3" borderId="0" xfId="0" applyNumberFormat="1" applyFont="1" applyFill="1"/>
    <xf numFmtId="166" fontId="1" fillId="0" borderId="0" xfId="0" applyNumberFormat="1" applyFont="1" applyFill="1" applyAlignment="1">
      <alignment horizontal="left"/>
    </xf>
    <xf numFmtId="2" fontId="1" fillId="3" borderId="0" xfId="0" applyNumberFormat="1" applyFont="1" applyFill="1"/>
    <xf numFmtId="164" fontId="1" fillId="0" borderId="0" xfId="0" applyNumberFormat="1" applyFont="1" applyAlignment="1">
      <alignment horizontal="center"/>
    </xf>
    <xf numFmtId="1" fontId="1" fillId="0" borderId="0" xfId="0" applyNumberFormat="1" applyFont="1"/>
    <xf numFmtId="0" fontId="1" fillId="0" borderId="0" xfId="0" applyFont="1" applyFill="1" applyAlignment="1">
      <alignment horizontal="center"/>
    </xf>
    <xf numFmtId="0" fontId="1" fillId="0" borderId="0" xfId="0" quotePrefix="1" applyFont="1"/>
    <xf numFmtId="164" fontId="1" fillId="2" borderId="0" xfId="0" applyNumberFormat="1" applyFont="1" applyFill="1" applyProtection="1">
      <protection locked="0"/>
    </xf>
    <xf numFmtId="2" fontId="1" fillId="3" borderId="0" xfId="0" applyNumberFormat="1" applyFont="1" applyFill="1" applyAlignment="1">
      <alignment horizontal="right"/>
    </xf>
    <xf numFmtId="165" fontId="1" fillId="3" borderId="0" xfId="0" applyNumberFormat="1" applyFont="1" applyFill="1"/>
    <xf numFmtId="166" fontId="1" fillId="0" borderId="0" xfId="0" applyNumberFormat="1" applyFont="1" applyFill="1"/>
    <xf numFmtId="9" fontId="1" fillId="2" borderId="0" xfId="6" applyFont="1" applyFill="1" applyProtection="1">
      <protection locked="0"/>
    </xf>
    <xf numFmtId="11" fontId="1" fillId="0" borderId="0" xfId="0" applyNumberFormat="1" applyFont="1"/>
    <xf numFmtId="1" fontId="1" fillId="0" borderId="0" xfId="0" applyNumberFormat="1" applyFont="1" applyFill="1"/>
    <xf numFmtId="164" fontId="1" fillId="0" borderId="0" xfId="0" applyNumberFormat="1" applyFont="1" applyFill="1"/>
    <xf numFmtId="167" fontId="1" fillId="0" borderId="0" xfId="0" applyNumberFormat="1" applyFont="1" applyFill="1" applyAlignment="1">
      <alignment horizontal="right"/>
    </xf>
    <xf numFmtId="0" fontId="1" fillId="0" borderId="0" xfId="0" applyFont="1" applyAlignment="1"/>
    <xf numFmtId="11" fontId="1" fillId="0" borderId="0" xfId="0" applyNumberFormat="1" applyFont="1" applyFill="1" applyAlignment="1">
      <alignment horizontal="left"/>
    </xf>
    <xf numFmtId="0" fontId="1" fillId="0" borderId="0" xfId="0" applyFont="1" applyProtection="1"/>
    <xf numFmtId="48" fontId="1" fillId="0" borderId="0" xfId="0" applyNumberFormat="1" applyFont="1" applyFill="1"/>
    <xf numFmtId="165" fontId="1" fillId="12" borderId="0" xfId="0" applyNumberFormat="1" applyFont="1" applyFill="1"/>
    <xf numFmtId="2" fontId="1" fillId="0" borderId="0" xfId="0" applyNumberFormat="1" applyFont="1"/>
    <xf numFmtId="2" fontId="1" fillId="12" borderId="0" xfId="0" applyNumberFormat="1" applyFont="1" applyFill="1"/>
    <xf numFmtId="2" fontId="1" fillId="13" borderId="0" xfId="0" applyNumberFormat="1" applyFont="1" applyFill="1"/>
    <xf numFmtId="164" fontId="1" fillId="13" borderId="0" xfId="0" applyNumberFormat="1" applyFont="1" applyFill="1"/>
    <xf numFmtId="1" fontId="1" fillId="4" borderId="0" xfId="0" applyNumberFormat="1" applyFont="1" applyFill="1"/>
    <xf numFmtId="164" fontId="1" fillId="4" borderId="0" xfId="0" applyNumberFormat="1" applyFont="1" applyFill="1" applyAlignment="1">
      <alignment horizontal="right"/>
    </xf>
    <xf numFmtId="2" fontId="1" fillId="4" borderId="0" xfId="0" applyNumberFormat="1" applyFont="1" applyFill="1" applyAlignment="1">
      <alignment horizontal="right"/>
    </xf>
    <xf numFmtId="165" fontId="1" fillId="4" borderId="0" xfId="0" applyNumberFormat="1" applyFont="1" applyFill="1"/>
    <xf numFmtId="164" fontId="1" fillId="4" borderId="0" xfId="0" applyNumberFormat="1" applyFont="1" applyFill="1"/>
    <xf numFmtId="2" fontId="1" fillId="4" borderId="0" xfId="0" applyNumberFormat="1" applyFont="1" applyFill="1"/>
    <xf numFmtId="166" fontId="1" fillId="0" borderId="0" xfId="0" applyNumberFormat="1" applyFont="1"/>
    <xf numFmtId="1" fontId="1" fillId="3" borderId="0" xfId="0" applyNumberFormat="1" applyFont="1" applyFill="1" applyAlignment="1">
      <alignment horizontal="right" vertical="center"/>
    </xf>
    <xf numFmtId="0" fontId="1" fillId="4" borderId="0" xfId="0" applyFont="1" applyFill="1" applyAlignment="1">
      <alignment horizontal="right" vertical="center"/>
    </xf>
    <xf numFmtId="165" fontId="1" fillId="3" borderId="0" xfId="0" applyNumberFormat="1" applyFont="1" applyFill="1" applyAlignment="1">
      <alignment horizontal="right" vertical="center"/>
    </xf>
    <xf numFmtId="167" fontId="1" fillId="3" borderId="0" xfId="0" applyNumberFormat="1" applyFont="1" applyFill="1" applyAlignment="1">
      <alignment horizontal="right" vertical="center"/>
    </xf>
    <xf numFmtId="10" fontId="1" fillId="3" borderId="0" xfId="6" applyNumberFormat="1" applyFont="1" applyFill="1" applyAlignment="1">
      <alignment horizontal="right" vertical="center"/>
    </xf>
    <xf numFmtId="9" fontId="0" fillId="4" borderId="0" xfId="0" applyNumberFormat="1" applyFill="1"/>
    <xf numFmtId="10" fontId="0" fillId="4" borderId="0" xfId="0" applyNumberFormat="1" applyFill="1"/>
    <xf numFmtId="168" fontId="1" fillId="4" borderId="0" xfId="6" applyNumberFormat="1" applyFont="1" applyFill="1" applyAlignment="1">
      <alignment horizontal="right" vertical="center"/>
    </xf>
    <xf numFmtId="10" fontId="1" fillId="4" borderId="0" xfId="6" applyNumberFormat="1" applyFont="1" applyFill="1" applyAlignment="1">
      <alignment horizontal="center" vertical="center"/>
    </xf>
    <xf numFmtId="0" fontId="3" fillId="0" borderId="0" xfId="0" applyFont="1" applyAlignment="1">
      <alignment horizontal="center" wrapText="1"/>
    </xf>
    <xf numFmtId="0" fontId="24" fillId="0" borderId="0" xfId="0" applyFont="1" applyAlignment="1">
      <alignment vertical="center" wrapText="1"/>
    </xf>
    <xf numFmtId="0" fontId="1" fillId="2" borderId="0" xfId="0" applyFont="1" applyFill="1" applyAlignment="1" applyProtection="1">
      <alignment horizontal="right"/>
      <protection locked="0"/>
    </xf>
    <xf numFmtId="0" fontId="1" fillId="12" borderId="0" xfId="0" applyFont="1" applyFill="1"/>
    <xf numFmtId="1" fontId="1" fillId="12" borderId="0" xfId="0" applyNumberFormat="1" applyFont="1" applyFill="1"/>
    <xf numFmtId="48" fontId="1" fillId="12" borderId="0" xfId="0" applyNumberFormat="1" applyFont="1" applyFill="1"/>
    <xf numFmtId="0" fontId="1" fillId="0" borderId="0" xfId="0" applyFont="1" applyProtection="1">
      <protection hidden="1"/>
    </xf>
    <xf numFmtId="0" fontId="1" fillId="0" borderId="0" xfId="0" applyFont="1" applyAlignment="1" applyProtection="1">
      <alignment horizontal="left"/>
      <protection hidden="1"/>
    </xf>
    <xf numFmtId="48" fontId="1" fillId="12" borderId="0" xfId="0" applyNumberFormat="1" applyFont="1" applyFill="1" applyProtection="1">
      <protection hidden="1"/>
    </xf>
    <xf numFmtId="164" fontId="1" fillId="12" borderId="0" xfId="0" applyNumberFormat="1" applyFont="1" applyFill="1" applyProtection="1">
      <protection hidden="1"/>
    </xf>
    <xf numFmtId="0" fontId="4" fillId="0" borderId="0" xfId="0" applyFont="1" applyAlignment="1">
      <alignment wrapText="1"/>
    </xf>
    <xf numFmtId="0" fontId="0" fillId="0" borderId="0" xfId="0" applyAlignment="1">
      <alignment horizontal="left" wrapText="1"/>
    </xf>
    <xf numFmtId="0" fontId="0" fillId="0" borderId="0" xfId="0" applyFill="1" applyAlignment="1">
      <alignment horizontal="left" wrapText="1"/>
    </xf>
    <xf numFmtId="0" fontId="1" fillId="0" borderId="0" xfId="0" applyFont="1" applyAlignment="1">
      <alignment horizontal="left" wrapText="1"/>
    </xf>
    <xf numFmtId="0" fontId="4" fillId="0" borderId="0" xfId="0" applyFont="1" applyAlignment="1">
      <alignment horizontal="left" wrapText="1"/>
    </xf>
    <xf numFmtId="0" fontId="0" fillId="0" borderId="0" xfId="0" applyAlignment="1">
      <alignment wrapText="1"/>
    </xf>
    <xf numFmtId="165" fontId="1" fillId="2" borderId="0" xfId="0" applyNumberFormat="1" applyFont="1" applyFill="1" applyAlignment="1" applyProtection="1">
      <alignment horizontal="right" vertical="center"/>
      <protection locked="0"/>
    </xf>
    <xf numFmtId="0" fontId="1" fillId="2" borderId="0" xfId="0" applyFont="1" applyFill="1" applyAlignment="1" applyProtection="1">
      <alignment horizontal="right" vertical="center"/>
      <protection locked="0"/>
    </xf>
    <xf numFmtId="168" fontId="1" fillId="2" borderId="0" xfId="6" applyNumberFormat="1" applyFont="1" applyFill="1" applyAlignment="1" applyProtection="1">
      <alignment horizontal="right" vertical="center"/>
      <protection locked="0"/>
    </xf>
    <xf numFmtId="10" fontId="1" fillId="14" borderId="0" xfId="6" applyNumberFormat="1" applyFont="1" applyFill="1" applyAlignment="1" applyProtection="1">
      <alignment horizontal="center" vertical="center"/>
      <protection locked="0"/>
    </xf>
    <xf numFmtId="0" fontId="1" fillId="2" borderId="0" xfId="0" applyNumberFormat="1" applyFont="1" applyFill="1" applyAlignment="1" applyProtection="1">
      <alignment horizontal="center"/>
      <protection locked="0"/>
    </xf>
    <xf numFmtId="9" fontId="0" fillId="0" borderId="0" xfId="0" applyNumberFormat="1" applyFill="1"/>
    <xf numFmtId="168" fontId="0" fillId="0" borderId="0" xfId="0" applyNumberFormat="1" applyFill="1"/>
    <xf numFmtId="0" fontId="3" fillId="0" borderId="0" xfId="0" applyFont="1" applyAlignment="1">
      <alignment horizontal="left" vertical="center"/>
    </xf>
    <xf numFmtId="14" fontId="4" fillId="5" borderId="0" xfId="0" applyNumberFormat="1" applyFont="1" applyFill="1"/>
    <xf numFmtId="0" fontId="0" fillId="15" borderId="0" xfId="0" applyFill="1"/>
    <xf numFmtId="0" fontId="7" fillId="0" borderId="0" xfId="0" applyFont="1" applyAlignment="1">
      <alignment wrapText="1"/>
    </xf>
    <xf numFmtId="0" fontId="7" fillId="0" borderId="0" xfId="0" applyFont="1" applyAlignment="1">
      <alignment horizontal="right" wrapText="1"/>
    </xf>
    <xf numFmtId="0" fontId="29" fillId="0" borderId="0" xfId="0" applyFont="1" applyAlignment="1" applyProtection="1">
      <alignment horizontal="center"/>
      <protection hidden="1"/>
    </xf>
    <xf numFmtId="0" fontId="29" fillId="0" borderId="0" xfId="0" applyFont="1" applyAlignment="1" applyProtection="1">
      <alignment horizontal="center" wrapText="1"/>
      <protection hidden="1"/>
    </xf>
    <xf numFmtId="0" fontId="29" fillId="0" borderId="0" xfId="0" quotePrefix="1" applyFont="1" applyAlignment="1" applyProtection="1">
      <alignment horizontal="center"/>
      <protection hidden="1"/>
    </xf>
    <xf numFmtId="0" fontId="29" fillId="0" borderId="0" xfId="0" applyFont="1" applyProtection="1">
      <protection hidden="1"/>
    </xf>
    <xf numFmtId="0" fontId="29" fillId="0" borderId="0" xfId="0" applyFont="1" applyAlignment="1" applyProtection="1">
      <alignment wrapText="1"/>
      <protection hidden="1"/>
    </xf>
    <xf numFmtId="0" fontId="29" fillId="0" borderId="0" xfId="0" applyFont="1" applyAlignment="1" applyProtection="1">
      <alignment horizontal="left"/>
      <protection hidden="1"/>
    </xf>
    <xf numFmtId="0" fontId="29" fillId="0" borderId="0" xfId="0" applyFont="1" applyFill="1" applyAlignment="1" applyProtection="1">
      <alignment horizontal="left"/>
      <protection hidden="1"/>
    </xf>
    <xf numFmtId="0" fontId="29" fillId="0" borderId="0" xfId="0" applyFont="1" applyFill="1" applyAlignment="1" applyProtection="1">
      <alignment horizontal="right"/>
      <protection hidden="1"/>
    </xf>
    <xf numFmtId="0" fontId="29" fillId="0" borderId="0" xfId="0" applyFont="1" applyFill="1" applyProtection="1">
      <protection hidden="1"/>
    </xf>
    <xf numFmtId="48" fontId="29" fillId="0" borderId="0" xfId="0" applyNumberFormat="1" applyFont="1" applyFill="1" applyProtection="1">
      <protection hidden="1"/>
    </xf>
    <xf numFmtId="165" fontId="29" fillId="0" borderId="0" xfId="0" applyNumberFormat="1" applyFont="1" applyFill="1" applyProtection="1">
      <protection hidden="1"/>
    </xf>
    <xf numFmtId="2" fontId="29" fillId="0" borderId="0" xfId="0" applyNumberFormat="1" applyFont="1" applyFill="1" applyProtection="1">
      <protection hidden="1"/>
    </xf>
    <xf numFmtId="0" fontId="1" fillId="4" borderId="0" xfId="0" applyNumberFormat="1" applyFont="1" applyFill="1"/>
    <xf numFmtId="48" fontId="1" fillId="2" borderId="0" xfId="0" applyNumberFormat="1" applyFont="1" applyFill="1" applyAlignment="1" applyProtection="1">
      <alignment horizontal="right"/>
      <protection locked="0"/>
    </xf>
    <xf numFmtId="0" fontId="1" fillId="0" borderId="0" xfId="0" applyFont="1" applyFill="1" applyProtection="1">
      <protection hidden="1"/>
    </xf>
    <xf numFmtId="48" fontId="1" fillId="0" borderId="0" xfId="0" applyNumberFormat="1" applyFont="1" applyFill="1" applyProtection="1">
      <protection hidden="1"/>
    </xf>
    <xf numFmtId="2" fontId="1" fillId="0" borderId="0" xfId="0" applyNumberFormat="1" applyFont="1" applyFill="1" applyProtection="1">
      <protection hidden="1"/>
    </xf>
    <xf numFmtId="1" fontId="1" fillId="2" borderId="0" xfId="0" applyNumberFormat="1" applyFont="1" applyFill="1" applyAlignment="1" applyProtection="1">
      <alignment horizontal="right"/>
      <protection locked="0"/>
    </xf>
    <xf numFmtId="0" fontId="1" fillId="0" borderId="0" xfId="0" applyFont="1" applyAlignment="1" applyProtection="1">
      <alignment horizontal="center"/>
      <protection hidden="1"/>
    </xf>
    <xf numFmtId="1" fontId="29" fillId="0" borderId="0" xfId="0" applyNumberFormat="1" applyFont="1" applyProtection="1">
      <protection hidden="1"/>
    </xf>
    <xf numFmtId="0" fontId="1" fillId="5" borderId="0" xfId="0" applyFont="1" applyFill="1"/>
    <xf numFmtId="0" fontId="4" fillId="5" borderId="0" xfId="0" applyFont="1" applyFill="1" applyAlignment="1">
      <alignment horizontal="left" vertical="center" wrapText="1"/>
    </xf>
    <xf numFmtId="0" fontId="4" fillId="5" borderId="0" xfId="0" applyFont="1" applyFill="1" applyAlignment="1">
      <alignment horizontal="left" vertical="top" wrapText="1"/>
    </xf>
    <xf numFmtId="0" fontId="1" fillId="5" borderId="0" xfId="0" applyFont="1" applyFill="1" applyAlignment="1">
      <alignment horizontal="left" vertical="center"/>
    </xf>
    <xf numFmtId="0" fontId="4" fillId="5" borderId="0" xfId="0" applyFont="1" applyFill="1" applyAlignment="1">
      <alignment horizontal="left" vertical="center"/>
    </xf>
    <xf numFmtId="0" fontId="0" fillId="5" borderId="0" xfId="0" applyFill="1" applyAlignment="1">
      <alignment horizontal="left" vertical="center"/>
    </xf>
    <xf numFmtId="0" fontId="0" fillId="2" borderId="0" xfId="0" applyFill="1" applyAlignment="1">
      <alignment horizontal="left" vertical="center"/>
    </xf>
    <xf numFmtId="0" fontId="7" fillId="5" borderId="0" xfId="0" applyFont="1" applyFill="1" applyAlignment="1">
      <alignment horizontal="left" vertical="center"/>
    </xf>
    <xf numFmtId="0" fontId="24" fillId="0" borderId="0" xfId="0" applyFont="1" applyAlignment="1">
      <alignment horizontal="center" vertical="center" wrapText="1"/>
    </xf>
    <xf numFmtId="0" fontId="10" fillId="9" borderId="31" xfId="3" applyFont="1" applyFill="1" applyBorder="1" applyAlignment="1">
      <alignment horizontal="center" wrapText="1"/>
    </xf>
    <xf numFmtId="0" fontId="10" fillId="9" borderId="30" xfId="3" applyFont="1" applyFill="1" applyBorder="1" applyAlignment="1">
      <alignment horizontal="center" wrapText="1"/>
    </xf>
    <xf numFmtId="0" fontId="10" fillId="10" borderId="32" xfId="3" applyFont="1" applyFill="1" applyBorder="1" applyAlignment="1">
      <alignment horizontal="center" wrapText="1"/>
    </xf>
    <xf numFmtId="0" fontId="10" fillId="10" borderId="33" xfId="3" applyFont="1" applyFill="1" applyBorder="1" applyAlignment="1">
      <alignment horizontal="center" wrapText="1"/>
    </xf>
    <xf numFmtId="0" fontId="10" fillId="11" borderId="31" xfId="3" applyFont="1" applyFill="1" applyBorder="1" applyAlignment="1">
      <alignment horizontal="center" wrapText="1"/>
    </xf>
    <xf numFmtId="0" fontId="10" fillId="11" borderId="30" xfId="3" applyFont="1" applyFill="1" applyBorder="1" applyAlignment="1">
      <alignment horizontal="center" wrapText="1"/>
    </xf>
    <xf numFmtId="49" fontId="18" fillId="8" borderId="31" xfId="3" applyNumberFormat="1" applyFont="1" applyFill="1" applyBorder="1" applyAlignment="1">
      <alignment horizontal="center" wrapText="1"/>
    </xf>
    <xf numFmtId="49" fontId="18" fillId="8" borderId="0" xfId="3" applyNumberFormat="1" applyFont="1" applyFill="1" applyBorder="1" applyAlignment="1">
      <alignment horizontal="center" wrapText="1"/>
    </xf>
    <xf numFmtId="0" fontId="18" fillId="6" borderId="0" xfId="3" applyFont="1" applyFill="1" applyBorder="1" applyAlignment="1" applyProtection="1">
      <alignment horizontal="center" wrapText="1"/>
      <protection hidden="1"/>
    </xf>
  </cellXfs>
  <cellStyles count="11">
    <cellStyle name="Normal" xfId="0" builtinId="0"/>
    <cellStyle name="Normal 2" xfId="1"/>
    <cellStyle name="Normal 2 2" xfId="2"/>
    <cellStyle name="Normal 3" xfId="3"/>
    <cellStyle name="Normal 3 2" xfId="4"/>
    <cellStyle name="Normal 4" xfId="5"/>
    <cellStyle name="Percent" xfId="6" builtinId="5"/>
    <cellStyle name="Percent 2" xfId="7"/>
    <cellStyle name="Percent 3" xfId="8"/>
    <cellStyle name="Percent 4" xfId="9"/>
    <cellStyle name="Percent 5" xfId="10"/>
  </cellStyles>
  <dxfs count="17">
    <dxf>
      <font>
        <b val="0"/>
        <i val="0"/>
        <strike val="0"/>
        <condense val="0"/>
        <extend val="0"/>
        <outline val="0"/>
        <shadow val="0"/>
        <u val="none"/>
        <vertAlign val="baseline"/>
        <sz val="10"/>
        <color auto="1"/>
        <name val="Arial"/>
        <scheme val="none"/>
      </font>
      <alignmen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00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Frequency Response</a:t>
            </a:r>
          </a:p>
        </c:rich>
      </c:tx>
      <c:layout>
        <c:manualLayout>
          <c:xMode val="edge"/>
          <c:yMode val="edge"/>
          <c:x val="0.42647068353928524"/>
          <c:y val="2.7950247416256069E-2"/>
        </c:manualLayout>
      </c:layout>
      <c:overlay val="0"/>
      <c:spPr>
        <a:noFill/>
        <a:ln w="25400">
          <a:noFill/>
        </a:ln>
      </c:spPr>
    </c:title>
    <c:autoTitleDeleted val="0"/>
    <c:plotArea>
      <c:layout>
        <c:manualLayout>
          <c:layoutTarget val="inner"/>
          <c:xMode val="edge"/>
          <c:yMode val="edge"/>
          <c:x val="6.1320945251672705E-2"/>
          <c:y val="7.3230459293368758E-2"/>
          <c:w val="0.85446114412090191"/>
          <c:h val="0.7726367637425674"/>
        </c:manualLayout>
      </c:layout>
      <c:scatterChart>
        <c:scatterStyle val="smoothMarker"/>
        <c:varyColors val="0"/>
        <c:ser>
          <c:idx val="2"/>
          <c:order val="0"/>
          <c:tx>
            <c:v>Overall Gain </c:v>
          </c:tx>
          <c:spPr>
            <a:ln w="38100">
              <a:solidFill>
                <a:srgbClr val="000000"/>
              </a:solidFill>
              <a:prstDash val="solid"/>
            </a:ln>
          </c:spPr>
          <c:marker>
            <c:symbol val="none"/>
          </c:marker>
          <c:xVal>
            <c:numRef>
              <c:f>'Small Signal'!$L$2:$L$212</c:f>
              <c:numCache>
                <c:formatCode>General</c:formatCode>
                <c:ptCount val="211"/>
                <c:pt idx="0">
                  <c:v>1</c:v>
                </c:pt>
                <c:pt idx="1">
                  <c:v>1.0797751623277096</c:v>
                </c:pt>
                <c:pt idx="2">
                  <c:v>1.1659144011798317</c:v>
                </c:pt>
                <c:pt idx="3">
                  <c:v>1.2589254117941673</c:v>
                </c:pt>
                <c:pt idx="4">
                  <c:v>1.3593563908785258</c:v>
                </c:pt>
                <c:pt idx="5">
                  <c:v>1.4677992676220697</c:v>
                </c:pt>
                <c:pt idx="6">
                  <c:v>1.5848931924611136</c:v>
                </c:pt>
                <c:pt idx="7">
                  <c:v>1.7113283041617808</c:v>
                </c:pt>
                <c:pt idx="8">
                  <c:v>1.8478497974222912</c:v>
                </c:pt>
                <c:pt idx="9">
                  <c:v>1.9952623149688797</c:v>
                </c:pt>
                <c:pt idx="10">
                  <c:v>2.1544346900318838</c:v>
                </c:pt>
                <c:pt idx="11">
                  <c:v>2.3263050671536263</c:v>
                </c:pt>
                <c:pt idx="12">
                  <c:v>2.5118864315095806</c:v>
                </c:pt>
                <c:pt idx="13">
                  <c:v>2.7122725793320286</c:v>
                </c:pt>
                <c:pt idx="14">
                  <c:v>2.9286445646252366</c:v>
                </c:pt>
                <c:pt idx="15">
                  <c:v>3.1622776601683795</c:v>
                </c:pt>
                <c:pt idx="16">
                  <c:v>3.4145488738336023</c:v>
                </c:pt>
                <c:pt idx="17">
                  <c:v>3.6869450645195756</c:v>
                </c:pt>
                <c:pt idx="18">
                  <c:v>3.9810717055349727</c:v>
                </c:pt>
                <c:pt idx="19">
                  <c:v>4.2986623470822769</c:v>
                </c:pt>
                <c:pt idx="20">
                  <c:v>4.6415888336127793</c:v>
                </c:pt>
                <c:pt idx="21">
                  <c:v>5.0118723362727229</c:v>
                </c:pt>
                <c:pt idx="22">
                  <c:v>5.4116952654646369</c:v>
                </c:pt>
                <c:pt idx="23">
                  <c:v>5.8434141337351777</c:v>
                </c:pt>
                <c:pt idx="24">
                  <c:v>6.3095734448019343</c:v>
                </c:pt>
                <c:pt idx="25">
                  <c:v>6.812920690579614</c:v>
                </c:pt>
                <c:pt idx="26">
                  <c:v>7.3564225445964153</c:v>
                </c:pt>
                <c:pt idx="27">
                  <c:v>7.9432823472428176</c:v>
                </c:pt>
                <c:pt idx="28">
                  <c:v>8.5769589859089415</c:v>
                </c:pt>
                <c:pt idx="29">
                  <c:v>9.2611872812879383</c:v>
                </c:pt>
                <c:pt idx="30">
                  <c:v>10</c:v>
                </c:pt>
                <c:pt idx="31">
                  <c:v>10.797751623277103</c:v>
                </c:pt>
                <c:pt idx="32">
                  <c:v>11.659144011798322</c:v>
                </c:pt>
                <c:pt idx="33">
                  <c:v>12.58925411794168</c:v>
                </c:pt>
                <c:pt idx="34">
                  <c:v>13.593563908785256</c:v>
                </c:pt>
                <c:pt idx="35">
                  <c:v>14.677992676220699</c:v>
                </c:pt>
                <c:pt idx="36">
                  <c:v>15.848931924611136</c:v>
                </c:pt>
                <c:pt idx="37">
                  <c:v>17.113283041617812</c:v>
                </c:pt>
                <c:pt idx="38">
                  <c:v>18.478497974222911</c:v>
                </c:pt>
                <c:pt idx="39">
                  <c:v>19.952623149688804</c:v>
                </c:pt>
                <c:pt idx="40">
                  <c:v>21.544346900318843</c:v>
                </c:pt>
                <c:pt idx="41">
                  <c:v>23.263050671536273</c:v>
                </c:pt>
                <c:pt idx="42">
                  <c:v>25.118864315095799</c:v>
                </c:pt>
                <c:pt idx="43">
                  <c:v>27.122725793320289</c:v>
                </c:pt>
                <c:pt idx="44">
                  <c:v>29.286445646252368</c:v>
                </c:pt>
                <c:pt idx="45">
                  <c:v>31.622776601683803</c:v>
                </c:pt>
                <c:pt idx="46">
                  <c:v>34.145488738336034</c:v>
                </c:pt>
                <c:pt idx="47">
                  <c:v>36.869450645195769</c:v>
                </c:pt>
                <c:pt idx="48">
                  <c:v>39.810717055349755</c:v>
                </c:pt>
                <c:pt idx="49">
                  <c:v>42.986623470822771</c:v>
                </c:pt>
                <c:pt idx="50">
                  <c:v>46.415888336127807</c:v>
                </c:pt>
                <c:pt idx="51">
                  <c:v>50.118723362727238</c:v>
                </c:pt>
                <c:pt idx="52">
                  <c:v>54.11695265464639</c:v>
                </c:pt>
                <c:pt idx="53">
                  <c:v>58.434141337351775</c:v>
                </c:pt>
                <c:pt idx="54">
                  <c:v>63.095734448019364</c:v>
                </c:pt>
                <c:pt idx="55">
                  <c:v>68.129206905796124</c:v>
                </c:pt>
                <c:pt idx="56">
                  <c:v>73.564225445964155</c:v>
                </c:pt>
                <c:pt idx="57">
                  <c:v>79.432823472428197</c:v>
                </c:pt>
                <c:pt idx="58">
                  <c:v>85.769589859089479</c:v>
                </c:pt>
                <c:pt idx="59">
                  <c:v>92.611872812879369</c:v>
                </c:pt>
                <c:pt idx="60">
                  <c:v>100</c:v>
                </c:pt>
                <c:pt idx="61">
                  <c:v>107.97751623277095</c:v>
                </c:pt>
                <c:pt idx="62">
                  <c:v>116.59144011798328</c:v>
                </c:pt>
                <c:pt idx="63">
                  <c:v>125.89254117941677</c:v>
                </c:pt>
                <c:pt idx="64">
                  <c:v>135.93563908785265</c:v>
                </c:pt>
                <c:pt idx="65">
                  <c:v>146.77992676220697</c:v>
                </c:pt>
                <c:pt idx="66">
                  <c:v>158.48931924611153</c:v>
                </c:pt>
                <c:pt idx="67">
                  <c:v>171.13283041617817</c:v>
                </c:pt>
                <c:pt idx="68">
                  <c:v>184.7849797422291</c:v>
                </c:pt>
                <c:pt idx="69">
                  <c:v>199.52623149688802</c:v>
                </c:pt>
                <c:pt idx="70">
                  <c:v>215.44346900318848</c:v>
                </c:pt>
                <c:pt idx="71">
                  <c:v>232.6305067153628</c:v>
                </c:pt>
                <c:pt idx="72">
                  <c:v>251.18864315095806</c:v>
                </c:pt>
                <c:pt idx="73">
                  <c:v>271.22725793320296</c:v>
                </c:pt>
                <c:pt idx="74">
                  <c:v>292.86445646252383</c:v>
                </c:pt>
                <c:pt idx="75">
                  <c:v>316.22776601683825</c:v>
                </c:pt>
                <c:pt idx="76">
                  <c:v>341.4548873833603</c:v>
                </c:pt>
                <c:pt idx="77">
                  <c:v>368.69450645195781</c:v>
                </c:pt>
                <c:pt idx="78">
                  <c:v>398.10717055349761</c:v>
                </c:pt>
                <c:pt idx="79">
                  <c:v>429.86623470822781</c:v>
                </c:pt>
                <c:pt idx="80">
                  <c:v>464.15888336127819</c:v>
                </c:pt>
                <c:pt idx="81">
                  <c:v>501.18723362727269</c:v>
                </c:pt>
                <c:pt idx="82">
                  <c:v>541.16952654646434</c:v>
                </c:pt>
                <c:pt idx="83">
                  <c:v>584.34141337351787</c:v>
                </c:pt>
                <c:pt idx="84">
                  <c:v>630.95734448019323</c:v>
                </c:pt>
                <c:pt idx="85">
                  <c:v>681.29206905796195</c:v>
                </c:pt>
                <c:pt idx="86">
                  <c:v>735.64225445964166</c:v>
                </c:pt>
                <c:pt idx="87">
                  <c:v>794.32823472428208</c:v>
                </c:pt>
                <c:pt idx="88">
                  <c:v>857.69589859089422</c:v>
                </c:pt>
                <c:pt idx="89">
                  <c:v>926.11872812879471</c:v>
                </c:pt>
                <c:pt idx="90">
                  <c:v>1000</c:v>
                </c:pt>
                <c:pt idx="91">
                  <c:v>1079.7751623277097</c:v>
                </c:pt>
                <c:pt idx="92">
                  <c:v>1165.914401179833</c:v>
                </c:pt>
                <c:pt idx="93">
                  <c:v>1258.925411794168</c:v>
                </c:pt>
                <c:pt idx="94">
                  <c:v>1359.3563908785268</c:v>
                </c:pt>
                <c:pt idx="95">
                  <c:v>1467.7992676220699</c:v>
                </c:pt>
                <c:pt idx="96">
                  <c:v>1584.8931924611156</c:v>
                </c:pt>
                <c:pt idx="97">
                  <c:v>1711.3283041617822</c:v>
                </c:pt>
                <c:pt idx="98">
                  <c:v>1847.8497974222912</c:v>
                </c:pt>
                <c:pt idx="99">
                  <c:v>1995.2623149688804</c:v>
                </c:pt>
                <c:pt idx="100">
                  <c:v>2154.4346900318851</c:v>
                </c:pt>
                <c:pt idx="101">
                  <c:v>2326.3050671536284</c:v>
                </c:pt>
                <c:pt idx="102">
                  <c:v>2511.8864315095811</c:v>
                </c:pt>
                <c:pt idx="103">
                  <c:v>2712.2725793320301</c:v>
                </c:pt>
                <c:pt idx="104">
                  <c:v>2928.6445646252391</c:v>
                </c:pt>
                <c:pt idx="105">
                  <c:v>3162.2776601683804</c:v>
                </c:pt>
                <c:pt idx="106">
                  <c:v>3414.5488738336035</c:v>
                </c:pt>
                <c:pt idx="107">
                  <c:v>3686.9450645195784</c:v>
                </c:pt>
                <c:pt idx="108">
                  <c:v>3981.0717055349769</c:v>
                </c:pt>
                <c:pt idx="109">
                  <c:v>4298.6623470822833</c:v>
                </c:pt>
                <c:pt idx="110">
                  <c:v>4641.5888336127782</c:v>
                </c:pt>
                <c:pt idx="111">
                  <c:v>5011.8723362727324</c:v>
                </c:pt>
                <c:pt idx="112">
                  <c:v>5411.6952654646393</c:v>
                </c:pt>
                <c:pt idx="113">
                  <c:v>5843.4141337351803</c:v>
                </c:pt>
                <c:pt idx="114">
                  <c:v>6309.5734448019384</c:v>
                </c:pt>
                <c:pt idx="115">
                  <c:v>6812.9206905796218</c:v>
                </c:pt>
                <c:pt idx="116">
                  <c:v>7356.4225445964248</c:v>
                </c:pt>
                <c:pt idx="117">
                  <c:v>7943.2823472428154</c:v>
                </c:pt>
                <c:pt idx="118">
                  <c:v>8576.9589859089447</c:v>
                </c:pt>
                <c:pt idx="119">
                  <c:v>9261.187281287941</c:v>
                </c:pt>
                <c:pt idx="120">
                  <c:v>10000</c:v>
                </c:pt>
                <c:pt idx="121">
                  <c:v>10797.751623277109</c:v>
                </c:pt>
                <c:pt idx="122">
                  <c:v>11659.144011798313</c:v>
                </c:pt>
                <c:pt idx="123">
                  <c:v>12589.254117941671</c:v>
                </c:pt>
                <c:pt idx="124">
                  <c:v>13593.563908785283</c:v>
                </c:pt>
                <c:pt idx="125">
                  <c:v>14677.992676220729</c:v>
                </c:pt>
                <c:pt idx="126">
                  <c:v>15848.931924611146</c:v>
                </c:pt>
                <c:pt idx="127">
                  <c:v>17113.283041617826</c:v>
                </c:pt>
                <c:pt idx="128">
                  <c:v>18478.497974222933</c:v>
                </c:pt>
                <c:pt idx="129">
                  <c:v>19952.623149688792</c:v>
                </c:pt>
                <c:pt idx="130">
                  <c:v>21544.346900318837</c:v>
                </c:pt>
                <c:pt idx="131">
                  <c:v>23263.050671536268</c:v>
                </c:pt>
                <c:pt idx="132">
                  <c:v>25118.86431509586</c:v>
                </c:pt>
                <c:pt idx="133">
                  <c:v>27122.725793320307</c:v>
                </c:pt>
                <c:pt idx="134">
                  <c:v>29286.445646252399</c:v>
                </c:pt>
                <c:pt idx="135">
                  <c:v>31622.77660168384</c:v>
                </c:pt>
                <c:pt idx="136">
                  <c:v>34145.488738336011</c:v>
                </c:pt>
                <c:pt idx="137">
                  <c:v>36869.450645195764</c:v>
                </c:pt>
                <c:pt idx="138">
                  <c:v>39810.717055349742</c:v>
                </c:pt>
                <c:pt idx="139">
                  <c:v>42986.62347082288</c:v>
                </c:pt>
                <c:pt idx="140">
                  <c:v>46415.888336127835</c:v>
                </c:pt>
                <c:pt idx="141">
                  <c:v>50118.723362727294</c:v>
                </c:pt>
                <c:pt idx="142">
                  <c:v>54116.952654646455</c:v>
                </c:pt>
                <c:pt idx="143">
                  <c:v>58434.141337351764</c:v>
                </c:pt>
                <c:pt idx="144">
                  <c:v>63095.734448019342</c:v>
                </c:pt>
                <c:pt idx="145">
                  <c:v>68129.206905796163</c:v>
                </c:pt>
                <c:pt idx="146">
                  <c:v>73564.225445964199</c:v>
                </c:pt>
                <c:pt idx="147">
                  <c:v>79432.823472428237</c:v>
                </c:pt>
                <c:pt idx="148">
                  <c:v>85769.589859089538</c:v>
                </c:pt>
                <c:pt idx="149">
                  <c:v>92611.872812879505</c:v>
                </c:pt>
                <c:pt idx="150">
                  <c:v>100000</c:v>
                </c:pt>
                <c:pt idx="151">
                  <c:v>107977.51623277101</c:v>
                </c:pt>
                <c:pt idx="152">
                  <c:v>116591.44011798326</c:v>
                </c:pt>
                <c:pt idx="153">
                  <c:v>125892.54117941685</c:v>
                </c:pt>
                <c:pt idx="154">
                  <c:v>135935.63908785273</c:v>
                </c:pt>
                <c:pt idx="155">
                  <c:v>146779.92676220718</c:v>
                </c:pt>
                <c:pt idx="156">
                  <c:v>158489.31924611164</c:v>
                </c:pt>
                <c:pt idx="157">
                  <c:v>171132.83041617845</c:v>
                </c:pt>
                <c:pt idx="158">
                  <c:v>184784.97974222922</c:v>
                </c:pt>
                <c:pt idx="159">
                  <c:v>199526.23149688813</c:v>
                </c:pt>
                <c:pt idx="160">
                  <c:v>215443.46900318863</c:v>
                </c:pt>
                <c:pt idx="161">
                  <c:v>232630.50671536254</c:v>
                </c:pt>
                <c:pt idx="162">
                  <c:v>251188.64315095844</c:v>
                </c:pt>
                <c:pt idx="163">
                  <c:v>271227.25793320336</c:v>
                </c:pt>
                <c:pt idx="164">
                  <c:v>292864.45646252431</c:v>
                </c:pt>
                <c:pt idx="165">
                  <c:v>316227.7660168382</c:v>
                </c:pt>
                <c:pt idx="166">
                  <c:v>341454.88738336053</c:v>
                </c:pt>
                <c:pt idx="167">
                  <c:v>368694.50645195803</c:v>
                </c:pt>
                <c:pt idx="168">
                  <c:v>398107.17055349716</c:v>
                </c:pt>
                <c:pt idx="169">
                  <c:v>429866.2347082285</c:v>
                </c:pt>
                <c:pt idx="170">
                  <c:v>464158.88336127886</c:v>
                </c:pt>
                <c:pt idx="171">
                  <c:v>501187.23362727347</c:v>
                </c:pt>
                <c:pt idx="172">
                  <c:v>541169.52654646419</c:v>
                </c:pt>
                <c:pt idx="173">
                  <c:v>584341.41337351827</c:v>
                </c:pt>
                <c:pt idx="174">
                  <c:v>630957.34448019415</c:v>
                </c:pt>
                <c:pt idx="175">
                  <c:v>681292.06905796123</c:v>
                </c:pt>
                <c:pt idx="176">
                  <c:v>735642.25445964152</c:v>
                </c:pt>
                <c:pt idx="177">
                  <c:v>794328.23472428333</c:v>
                </c:pt>
                <c:pt idx="178">
                  <c:v>857695.89859089628</c:v>
                </c:pt>
                <c:pt idx="179">
                  <c:v>926118.72812879446</c:v>
                </c:pt>
                <c:pt idx="180">
                  <c:v>1000000</c:v>
                </c:pt>
                <c:pt idx="181">
                  <c:v>1079775.1623277115</c:v>
                </c:pt>
                <c:pt idx="182">
                  <c:v>1165914.4011798317</c:v>
                </c:pt>
                <c:pt idx="183">
                  <c:v>1258925.4117941677</c:v>
                </c:pt>
                <c:pt idx="184">
                  <c:v>1359356.3908785288</c:v>
                </c:pt>
                <c:pt idx="185">
                  <c:v>1467799.2676220734</c:v>
                </c:pt>
                <c:pt idx="186">
                  <c:v>1584893.1924611153</c:v>
                </c:pt>
                <c:pt idx="187">
                  <c:v>1711328.3041617833</c:v>
                </c:pt>
                <c:pt idx="188">
                  <c:v>1847849.797422294</c:v>
                </c:pt>
                <c:pt idx="189">
                  <c:v>1995262.31496888</c:v>
                </c:pt>
                <c:pt idx="190">
                  <c:v>2154434.6900318847</c:v>
                </c:pt>
                <c:pt idx="191">
                  <c:v>2326305.067153628</c:v>
                </c:pt>
                <c:pt idx="192">
                  <c:v>2511886.431509587</c:v>
                </c:pt>
                <c:pt idx="193">
                  <c:v>2712272.5793320318</c:v>
                </c:pt>
                <c:pt idx="194">
                  <c:v>2928644.5646252413</c:v>
                </c:pt>
                <c:pt idx="195">
                  <c:v>3162277.6601683851</c:v>
                </c:pt>
                <c:pt idx="196">
                  <c:v>3414548.8738336028</c:v>
                </c:pt>
                <c:pt idx="197">
                  <c:v>3686945.0645195777</c:v>
                </c:pt>
                <c:pt idx="198">
                  <c:v>3981071.705534976</c:v>
                </c:pt>
                <c:pt idx="199">
                  <c:v>4298662.3470822899</c:v>
                </c:pt>
                <c:pt idx="200">
                  <c:v>4641588.8336127857</c:v>
                </c:pt>
                <c:pt idx="201">
                  <c:v>5011872.3362727314</c:v>
                </c:pt>
                <c:pt idx="202">
                  <c:v>5411695.2654646477</c:v>
                </c:pt>
                <c:pt idx="203">
                  <c:v>5843414.133735179</c:v>
                </c:pt>
                <c:pt idx="204">
                  <c:v>6309573.4448019378</c:v>
                </c:pt>
                <c:pt idx="205">
                  <c:v>6812920.6905796202</c:v>
                </c:pt>
                <c:pt idx="206">
                  <c:v>7356422.5445964225</c:v>
                </c:pt>
                <c:pt idx="207">
                  <c:v>7943282.3472428275</c:v>
                </c:pt>
                <c:pt idx="208">
                  <c:v>8576958.9859089572</c:v>
                </c:pt>
                <c:pt idx="209">
                  <c:v>9261187.2812879551</c:v>
                </c:pt>
                <c:pt idx="210">
                  <c:v>10000000</c:v>
                </c:pt>
              </c:numCache>
            </c:numRef>
          </c:xVal>
          <c:yVal>
            <c:numRef>
              <c:f>'Small Signal'!$P$2:$P$212</c:f>
              <c:numCache>
                <c:formatCode>General</c:formatCode>
                <c:ptCount val="211"/>
                <c:pt idx="0">
                  <c:v>61.877940352498364</c:v>
                </c:pt>
                <c:pt idx="1">
                  <c:v>61.87582142246405</c:v>
                </c:pt>
                <c:pt idx="2">
                  <c:v>61.873352236095663</c:v>
                </c:pt>
                <c:pt idx="3">
                  <c:v>61.870475147634608</c:v>
                </c:pt>
                <c:pt idx="4">
                  <c:v>61.867123113630797</c:v>
                </c:pt>
                <c:pt idx="5">
                  <c:v>61.863218192901286</c:v>
                </c:pt>
                <c:pt idx="6">
                  <c:v>61.858669818477594</c:v>
                </c:pt>
                <c:pt idx="7">
                  <c:v>61.853372810981064</c:v>
                </c:pt>
                <c:pt idx="8">
                  <c:v>61.847205100274479</c:v>
                </c:pt>
                <c:pt idx="9">
                  <c:v>61.840025120043983</c:v>
                </c:pt>
                <c:pt idx="10">
                  <c:v>61.831668838461972</c:v>
                </c:pt>
                <c:pt idx="11">
                  <c:v>61.821946387736105</c:v>
                </c:pt>
                <c:pt idx="12">
                  <c:v>61.81063825672905</c:v>
                </c:pt>
                <c:pt idx="13">
                  <c:v>61.797491014736025</c:v>
                </c:pt>
                <c:pt idx="14">
                  <c:v>61.782212541933802</c:v>
                </c:pt>
                <c:pt idx="15">
                  <c:v>61.764466754255182</c:v>
                </c:pt>
                <c:pt idx="16">
                  <c:v>61.743867829050998</c:v>
                </c:pt>
                <c:pt idx="17">
                  <c:v>61.719973964742337</c:v>
                </c:pt>
                <c:pt idx="18">
                  <c:v>61.692280744838371</c:v>
                </c:pt>
                <c:pt idx="19">
                  <c:v>61.660214226406687</c:v>
                </c:pt>
                <c:pt idx="20">
                  <c:v>61.623123937444824</c:v>
                </c:pt>
                <c:pt idx="21">
                  <c:v>61.580276048181574</c:v>
                </c:pt>
                <c:pt idx="22">
                  <c:v>61.53084707856739</c:v>
                </c:pt>
                <c:pt idx="23">
                  <c:v>61.473918616538143</c:v>
                </c:pt>
                <c:pt idx="24">
                  <c:v>61.408473644334208</c:v>
                </c:pt>
                <c:pt idx="25">
                  <c:v>61.333395194088268</c:v>
                </c:pt>
                <c:pt idx="26">
                  <c:v>61.247468164149993</c:v>
                </c:pt>
                <c:pt idx="27">
                  <c:v>61.149385202647352</c:v>
                </c:pt>
                <c:pt idx="28">
                  <c:v>61.037757576441209</c:v>
                </c:pt>
                <c:pt idx="29">
                  <c:v>60.911131859022419</c:v>
                </c:pt>
                <c:pt idx="30">
                  <c:v>60.768013056793464</c:v>
                </c:pt>
                <c:pt idx="31">
                  <c:v>60.606894423430859</c:v>
                </c:pt>
                <c:pt idx="32">
                  <c:v>60.426293677987758</c:v>
                </c:pt>
                <c:pt idx="33">
                  <c:v>60.22479466416479</c:v>
                </c:pt>
                <c:pt idx="34">
                  <c:v>60.001092724093972</c:v>
                </c:pt>
                <c:pt idx="35">
                  <c:v>59.754041308949482</c:v>
                </c:pt>
                <c:pt idx="36">
                  <c:v>59.482696741473305</c:v>
                </c:pt>
                <c:pt idx="37">
                  <c:v>59.186357722001617</c:v>
                </c:pt>
                <c:pt idx="38">
                  <c:v>58.864596245277554</c:v>
                </c:pt>
                <c:pt idx="39">
                  <c:v>58.517277124683311</c:v>
                </c:pt>
                <c:pt idx="40">
                  <c:v>58.144564270320309</c:v>
                </c:pt>
                <c:pt idx="41">
                  <c:v>57.746913112012578</c:v>
                </c:pt>
                <c:pt idx="42">
                  <c:v>57.325049902509463</c:v>
                </c:pt>
                <c:pt idx="43">
                  <c:v>56.87993986035184</c:v>
                </c:pt>
                <c:pt idx="44">
                  <c:v>56.412747025705769</c:v>
                </c:pt>
                <c:pt idx="45">
                  <c:v>55.92478918859306</c:v>
                </c:pt>
                <c:pt idx="46">
                  <c:v>55.417491283124711</c:v>
                </c:pt>
                <c:pt idx="47">
                  <c:v>54.892340285235043</c:v>
                </c:pt>
                <c:pt idx="48">
                  <c:v>54.350844024429286</c:v>
                </c:pt>
                <c:pt idx="49">
                  <c:v>53.79449556257353</c:v>
                </c:pt>
                <c:pt idx="50">
                  <c:v>53.224744033242629</c:v>
                </c:pt>
                <c:pt idx="51">
                  <c:v>52.642972168833097</c:v>
                </c:pt>
                <c:pt idx="52">
                  <c:v>52.050480223978646</c:v>
                </c:pt>
                <c:pt idx="53">
                  <c:v>51.448475649691531</c:v>
                </c:pt>
                <c:pt idx="54">
                  <c:v>50.838067672266796</c:v>
                </c:pt>
                <c:pt idx="55">
                  <c:v>50.22026585712937</c:v>
                </c:pt>
                <c:pt idx="56">
                  <c:v>49.595981756985168</c:v>
                </c:pt>
                <c:pt idx="57">
                  <c:v>48.966032823291741</c:v>
                </c:pt>
                <c:pt idx="58">
                  <c:v>48.331147872620434</c:v>
                </c:pt>
                <c:pt idx="59">
                  <c:v>47.691973524045927</c:v>
                </c:pt>
                <c:pt idx="60">
                  <c:v>47.049081145966333</c:v>
                </c:pt>
                <c:pt idx="61">
                  <c:v>46.402973962071613</c:v>
                </c:pt>
                <c:pt idx="62">
                  <c:v>45.754094062174445</c:v>
                </c:pt>
                <c:pt idx="63">
                  <c:v>45.10282914299588</c:v>
                </c:pt>
                <c:pt idx="64">
                  <c:v>44.449518867307383</c:v>
                </c:pt>
                <c:pt idx="65">
                  <c:v>43.794460778766904</c:v>
                </c:pt>
                <c:pt idx="66">
                  <c:v>43.137915746444321</c:v>
                </c:pt>
                <c:pt idx="67">
                  <c:v>42.480112939663798</c:v>
                </c:pt>
                <c:pt idx="68">
                  <c:v>41.821254352466553</c:v>
                </c:pt>
                <c:pt idx="69">
                  <c:v>41.16151890956553</c:v>
                </c:pt>
                <c:pt idx="70">
                  <c:v>40.501066193671235</c:v>
                </c:pt>
                <c:pt idx="71">
                  <c:v>39.840039838773571</c:v>
                </c:pt>
                <c:pt idx="72">
                  <c:v>39.178570636357691</c:v>
                </c:pt>
                <c:pt idx="73">
                  <c:v>38.516779402390625</c:v>
                </c:pt>
                <c:pt idx="74">
                  <c:v>37.854779652793923</c:v>
                </c:pt>
                <c:pt idx="75">
                  <c:v>37.192680134440899</c:v>
                </c:pt>
                <c:pt idx="76">
                  <c:v>36.530587257760835</c:v>
                </c:pt>
                <c:pt idx="77">
                  <c:v>35.868607475971352</c:v>
                </c:pt>
                <c:pt idx="78">
                  <c:v>35.206849654858907</c:v>
                </c:pt>
                <c:pt idx="79">
                  <c:v>34.545427475894698</c:v>
                </c:pt>
                <c:pt idx="80">
                  <c:v>33.884461914189188</c:v>
                </c:pt>
                <c:pt idx="81">
                  <c:v>33.224083831179222</c:v>
                </c:pt>
                <c:pt idx="82">
                  <c:v>32.564436719704048</c:v>
                </c:pt>
                <c:pt idx="83">
                  <c:v>31.905679635844916</c:v>
                </c:pt>
                <c:pt idx="84">
                  <c:v>31.24799034700164</c:v>
                </c:pt>
                <c:pt idx="85">
                  <c:v>30.591568718430171</c:v>
                </c:pt>
                <c:pt idx="86">
                  <c:v>29.936640349882452</c:v>
                </c:pt>
                <c:pt idx="87">
                  <c:v>29.28346045890299</c:v>
                </c:pt>
                <c:pt idx="88">
                  <c:v>28.632317986279602</c:v>
                </c:pt>
                <c:pt idx="89">
                  <c:v>27.983539870407608</c:v>
                </c:pt>
                <c:pt idx="90">
                  <c:v>27.337495399018763</c:v>
                </c:pt>
                <c:pt idx="91">
                  <c:v>26.694600496850612</c:v>
                </c:pt>
                <c:pt idx="92">
                  <c:v>26.055321744575878</c:v>
                </c:pt>
                <c:pt idx="93">
                  <c:v>25.420179846405404</c:v>
                </c:pt>
                <c:pt idx="94">
                  <c:v>24.789752171101046</c:v>
                </c:pt>
                <c:pt idx="95">
                  <c:v>24.164673885593633</c:v>
                </c:pt>
                <c:pt idx="96">
                  <c:v>23.545637087008426</c:v>
                </c:pt>
                <c:pt idx="97">
                  <c:v>22.933387227120981</c:v>
                </c:pt>
                <c:pt idx="98">
                  <c:v>22.32871602836051</c:v>
                </c:pt>
                <c:pt idx="99">
                  <c:v>21.732450034513704</c:v>
                </c:pt>
                <c:pt idx="100">
                  <c:v>21.145433951258589</c:v>
                </c:pt>
                <c:pt idx="101">
                  <c:v>20.568508045977541</c:v>
                </c:pt>
                <c:pt idx="102">
                  <c:v>20.002479128642054</c:v>
                </c:pt>
                <c:pt idx="103">
                  <c:v>19.448085055616787</c:v>
                </c:pt>
                <c:pt idx="104">
                  <c:v>18.90595329923692</c:v>
                </c:pt>
                <c:pt idx="105">
                  <c:v>18.376554892391464</c:v>
                </c:pt>
                <c:pt idx="106">
                  <c:v>17.860155933485132</c:v>
                </c:pt>
                <c:pt idx="107">
                  <c:v>17.35676972173583</c:v>
                </c:pt>
                <c:pt idx="108">
                  <c:v>16.866113343823436</c:v>
                </c:pt>
                <c:pt idx="109">
                  <c:v>16.38757298680736</c:v>
                </c:pt>
                <c:pt idx="110">
                  <c:v>15.920182256065827</c:v>
                </c:pt>
                <c:pt idx="111">
                  <c:v>15.462617227769154</c:v>
                </c:pt>
                <c:pt idx="112">
                  <c:v>15.013210844883087</c:v>
                </c:pt>
                <c:pt idx="113">
                  <c:v>14.569987658601558</c:v>
                </c:pt>
                <c:pt idx="114">
                  <c:v>14.130718004694515</c:v>
                </c:pt>
                <c:pt idx="115">
                  <c:v>13.692988733906901</c:v>
                </c:pt>
                <c:pt idx="116">
                  <c:v>13.254285855693229</c:v>
                </c:pt>
                <c:pt idx="117">
                  <c:v>12.812083147860839</c:v>
                </c:pt>
                <c:pt idx="118">
                  <c:v>12.363930110450932</c:v>
                </c:pt>
                <c:pt idx="119">
                  <c:v>11.907532692752341</c:v>
                </c:pt>
                <c:pt idx="120">
                  <c:v>11.440820992621905</c:v>
                </c:pt>
                <c:pt idx="121">
                  <c:v>10.961999515345687</c:v>
                </c:pt>
                <c:pt idx="122">
                  <c:v>10.469577398262345</c:v>
                </c:pt>
                <c:pt idx="123">
                  <c:v>9.962378010813401</c:v>
                </c:pt>
                <c:pt idx="124">
                  <c:v>9.4395292603330354</c:v>
                </c:pt>
                <c:pt idx="125">
                  <c:v>8.9004375308223942</c:v>
                </c:pt>
                <c:pt idx="126">
                  <c:v>8.3447492841550677</c:v>
                </c:pt>
                <c:pt idx="127">
                  <c:v>7.7723048869149078</c:v>
                </c:pt>
                <c:pt idx="128">
                  <c:v>7.1830892174768257</c:v>
                </c:pt>
                <c:pt idx="129">
                  <c:v>6.5771831614465706</c:v>
                </c:pt>
                <c:pt idx="130">
                  <c:v>5.9547193649998817</c:v>
                </c:pt>
                <c:pt idx="131">
                  <c:v>5.3158447326884719</c:v>
                </c:pt>
                <c:pt idx="132">
                  <c:v>4.6606912475540172</c:v>
                </c:pt>
                <c:pt idx="133">
                  <c:v>3.9893558305220949</c:v>
                </c:pt>
                <c:pt idx="134">
                  <c:v>3.3018891714107514</c:v>
                </c:pt>
                <c:pt idx="135">
                  <c:v>2.5982927510383984</c:v>
                </c:pt>
                <c:pt idx="136">
                  <c:v>1.8785226156852426</c:v>
                </c:pt>
                <c:pt idx="137">
                  <c:v>1.1424978540279378</c:v>
                </c:pt>
                <c:pt idx="138">
                  <c:v>0.39011118427209496</c:v>
                </c:pt>
                <c:pt idx="139">
                  <c:v>-0.37876135246461751</c:v>
                </c:pt>
                <c:pt idx="140">
                  <c:v>-1.1642547772155183</c:v>
                </c:pt>
                <c:pt idx="141">
                  <c:v>-1.966516651757543</c:v>
                </c:pt>
                <c:pt idx="142">
                  <c:v>-2.7857180426709354</c:v>
                </c:pt>
                <c:pt idx="143">
                  <c:v>-3.6220752441951132</c:v>
                </c:pt>
                <c:pt idx="144">
                  <c:v>-4.4758819792500821</c:v>
                </c:pt>
                <c:pt idx="145">
                  <c:v>-5.347549989664822</c:v>
                </c:pt>
                <c:pt idx="146">
                  <c:v>-6.2376541485490424</c:v>
                </c:pt>
                <c:pt idx="147">
                  <c:v>-7.1469768117758701</c:v>
                </c:pt>
                <c:pt idx="148">
                  <c:v>-8.0765453694152729</c:v>
                </c:pt>
                <c:pt idx="149">
                  <c:v>-9.0276570448145854</c:v>
                </c:pt>
                <c:pt idx="150">
                  <c:v>-10.001885937532915</c:v>
                </c:pt>
                <c:pt idx="151">
                  <c:v>-11.001068968991408</c:v>
                </c:pt>
                <c:pt idx="152">
                  <c:v>-12.027269497517834</c:v>
                </c:pt>
                <c:pt idx="153">
                  <c:v>-13.082719603344632</c:v>
                </c:pt>
                <c:pt idx="154">
                  <c:v>-14.169744105761255</c:v>
                </c:pt>
                <c:pt idx="155">
                  <c:v>-15.290671035752897</c:v>
                </c:pt>
                <c:pt idx="156">
                  <c:v>-16.447734410118034</c:v>
                </c:pt>
                <c:pt idx="157">
                  <c:v>-17.642975686308887</c:v>
                </c:pt>
                <c:pt idx="158">
                  <c:v>-18.8781502417547</c:v>
                </c:pt>
                <c:pt idx="159">
                  <c:v>-20.154644690488087</c:v>
                </c:pt>
                <c:pt idx="160">
                  <c:v>-21.473409930492195</c:v>
                </c:pt>
                <c:pt idx="161">
                  <c:v>-22.834913629005342</c:v>
                </c:pt>
                <c:pt idx="162">
                  <c:v>-24.239114518204481</c:v>
                </c:pt>
                <c:pt idx="163">
                  <c:v>-25.685459491470265</c:v>
                </c:pt>
                <c:pt idx="164">
                  <c:v>-27.172903140547014</c:v>
                </c:pt>
                <c:pt idx="165">
                  <c:v>-28.699948119660522</c:v>
                </c:pt>
                <c:pt idx="166">
                  <c:v>-30.264703620131819</c:v>
                </c:pt>
                <c:pt idx="167">
                  <c:v>-31.864958341965174</c:v>
                </c:pt>
                <c:pt idx="168">
                  <c:v>-33.498263704308293</c:v>
                </c:pt>
                <c:pt idx="169">
                  <c:v>-35.162022672735425</c:v>
                </c:pt>
                <c:pt idx="170">
                  <c:v>-36.853579496598954</c:v>
                </c:pt>
                <c:pt idx="171">
                  <c:v>-38.570305812688225</c:v>
                </c:pt>
                <c:pt idx="172">
                  <c:v>-40.309678934010044</c:v>
                </c:pt>
                <c:pt idx="173">
                  <c:v>-42.069348662223931</c:v>
                </c:pt>
                <c:pt idx="174">
                  <c:v>-43.847189621805157</c:v>
                </c:pt>
                <c:pt idx="175">
                  <c:v>-45.641336925932393</c:v>
                </c:pt>
                <c:pt idx="176">
                  <c:v>-47.450203974588383</c:v>
                </c:pt>
                <c:pt idx="177">
                  <c:v>-49.272482361387759</c:v>
                </c:pt>
                <c:pt idx="178">
                  <c:v>-51.107125179095753</c:v>
                </c:pt>
                <c:pt idx="179">
                  <c:v>-52.953316341380926</c:v>
                </c:pt>
                <c:pt idx="180">
                  <c:v>-54.810429692153626</c:v>
                </c:pt>
                <c:pt idx="181">
                  <c:v>-56.677982445371981</c:v>
                </c:pt>
                <c:pt idx="182">
                  <c:v>-58.555587722435682</c:v>
                </c:pt>
                <c:pt idx="183">
                  <c:v>-60.442910568861727</c:v>
                </c:pt>
                <c:pt idx="184">
                  <c:v>-62.339630905740535</c:v>
                </c:pt>
                <c:pt idx="185">
                  <c:v>-64.245415589574165</c:v>
                </c:pt>
                <c:pt idx="186">
                  <c:v>-66.15990036481935</c:v>
                </c:pt>
                <c:pt idx="187">
                  <c:v>-68.082681239498598</c:v>
                </c:pt>
                <c:pt idx="188">
                  <c:v>-70.013313873533036</c:v>
                </c:pt>
                <c:pt idx="189">
                  <c:v>-71.95131902459616</c:v>
                </c:pt>
                <c:pt idx="190">
                  <c:v>-73.896191936396264</c:v>
                </c:pt>
                <c:pt idx="191">
                  <c:v>-75.847413701074302</c:v>
                </c:pt>
                <c:pt idx="192">
                  <c:v>-77.804462970790752</c:v>
                </c:pt>
                <c:pt idx="193">
                  <c:v>-79.766826824184875</c:v>
                </c:pt>
                <c:pt idx="194">
                  <c:v>-81.734010023618993</c:v>
                </c:pt>
                <c:pt idx="195">
                  <c:v>-83.705542272076784</c:v>
                </c:pt>
                <c:pt idx="196">
                  <c:v>-85.680983366980783</c:v>
                </c:pt>
                <c:pt idx="197">
                  <c:v>-87.65992634772627</c:v>
                </c:pt>
                <c:pt idx="198">
                  <c:v>-89.641998854883468</c:v>
                </c:pt>
                <c:pt idx="199">
                  <c:v>-91.626862979376796</c:v>
                </c:pt>
                <c:pt idx="200">
                  <c:v>-93.614213898789075</c:v>
                </c:pt>
                <c:pt idx="201">
                  <c:v>-95.603777592516025</c:v>
                </c:pt>
                <c:pt idx="202">
                  <c:v>-97.595307911266104</c:v>
                </c:pt>
                <c:pt idx="203">
                  <c:v>-99.588583258145576</c:v>
                </c:pt>
                <c:pt idx="204">
                  <c:v>-101.58340312228083</c:v>
                </c:pt>
                <c:pt idx="205">
                  <c:v>-103.57958469121263</c:v>
                </c:pt>
                <c:pt idx="206">
                  <c:v>-105.57695975122525</c:v>
                </c:pt>
                <c:pt idx="207">
                  <c:v>-107.57537205938152</c:v>
                </c:pt>
                <c:pt idx="208">
                  <c:v>-109.57467533150565</c:v>
                </c:pt>
                <c:pt idx="209">
                  <c:v>-111.5747319334951</c:v>
                </c:pt>
                <c:pt idx="210">
                  <c:v>-113.57541229084747</c:v>
                </c:pt>
              </c:numCache>
            </c:numRef>
          </c:yVal>
          <c:smooth val="1"/>
        </c:ser>
        <c:ser>
          <c:idx val="1"/>
          <c:order val="2"/>
          <c:tx>
            <c:v>Power Stage Gain</c:v>
          </c:tx>
          <c:spPr>
            <a:ln w="25400">
              <a:solidFill>
                <a:srgbClr val="000080"/>
              </a:solidFill>
              <a:prstDash val="solid"/>
            </a:ln>
          </c:spPr>
          <c:marker>
            <c:symbol val="none"/>
          </c:marker>
          <c:xVal>
            <c:numRef>
              <c:f>'Small Signal'!$L$2:$L$212</c:f>
              <c:numCache>
                <c:formatCode>General</c:formatCode>
                <c:ptCount val="211"/>
                <c:pt idx="0">
                  <c:v>1</c:v>
                </c:pt>
                <c:pt idx="1">
                  <c:v>1.0797751623277096</c:v>
                </c:pt>
                <c:pt idx="2">
                  <c:v>1.1659144011798317</c:v>
                </c:pt>
                <c:pt idx="3">
                  <c:v>1.2589254117941673</c:v>
                </c:pt>
                <c:pt idx="4">
                  <c:v>1.3593563908785258</c:v>
                </c:pt>
                <c:pt idx="5">
                  <c:v>1.4677992676220697</c:v>
                </c:pt>
                <c:pt idx="6">
                  <c:v>1.5848931924611136</c:v>
                </c:pt>
                <c:pt idx="7">
                  <c:v>1.7113283041617808</c:v>
                </c:pt>
                <c:pt idx="8">
                  <c:v>1.8478497974222912</c:v>
                </c:pt>
                <c:pt idx="9">
                  <c:v>1.9952623149688797</c:v>
                </c:pt>
                <c:pt idx="10">
                  <c:v>2.1544346900318838</c:v>
                </c:pt>
                <c:pt idx="11">
                  <c:v>2.3263050671536263</c:v>
                </c:pt>
                <c:pt idx="12">
                  <c:v>2.5118864315095806</c:v>
                </c:pt>
                <c:pt idx="13">
                  <c:v>2.7122725793320286</c:v>
                </c:pt>
                <c:pt idx="14">
                  <c:v>2.9286445646252366</c:v>
                </c:pt>
                <c:pt idx="15">
                  <c:v>3.1622776601683795</c:v>
                </c:pt>
                <c:pt idx="16">
                  <c:v>3.4145488738336023</c:v>
                </c:pt>
                <c:pt idx="17">
                  <c:v>3.6869450645195756</c:v>
                </c:pt>
                <c:pt idx="18">
                  <c:v>3.9810717055349727</c:v>
                </c:pt>
                <c:pt idx="19">
                  <c:v>4.2986623470822769</c:v>
                </c:pt>
                <c:pt idx="20">
                  <c:v>4.6415888336127793</c:v>
                </c:pt>
                <c:pt idx="21">
                  <c:v>5.0118723362727229</c:v>
                </c:pt>
                <c:pt idx="22">
                  <c:v>5.4116952654646369</c:v>
                </c:pt>
                <c:pt idx="23">
                  <c:v>5.8434141337351777</c:v>
                </c:pt>
                <c:pt idx="24">
                  <c:v>6.3095734448019343</c:v>
                </c:pt>
                <c:pt idx="25">
                  <c:v>6.812920690579614</c:v>
                </c:pt>
                <c:pt idx="26">
                  <c:v>7.3564225445964153</c:v>
                </c:pt>
                <c:pt idx="27">
                  <c:v>7.9432823472428176</c:v>
                </c:pt>
                <c:pt idx="28">
                  <c:v>8.5769589859089415</c:v>
                </c:pt>
                <c:pt idx="29">
                  <c:v>9.2611872812879383</c:v>
                </c:pt>
                <c:pt idx="30">
                  <c:v>10</c:v>
                </c:pt>
                <c:pt idx="31">
                  <c:v>10.797751623277103</c:v>
                </c:pt>
                <c:pt idx="32">
                  <c:v>11.659144011798322</c:v>
                </c:pt>
                <c:pt idx="33">
                  <c:v>12.58925411794168</c:v>
                </c:pt>
                <c:pt idx="34">
                  <c:v>13.593563908785256</c:v>
                </c:pt>
                <c:pt idx="35">
                  <c:v>14.677992676220699</c:v>
                </c:pt>
                <c:pt idx="36">
                  <c:v>15.848931924611136</c:v>
                </c:pt>
                <c:pt idx="37">
                  <c:v>17.113283041617812</c:v>
                </c:pt>
                <c:pt idx="38">
                  <c:v>18.478497974222911</c:v>
                </c:pt>
                <c:pt idx="39">
                  <c:v>19.952623149688804</c:v>
                </c:pt>
                <c:pt idx="40">
                  <c:v>21.544346900318843</c:v>
                </c:pt>
                <c:pt idx="41">
                  <c:v>23.263050671536273</c:v>
                </c:pt>
                <c:pt idx="42">
                  <c:v>25.118864315095799</c:v>
                </c:pt>
                <c:pt idx="43">
                  <c:v>27.122725793320289</c:v>
                </c:pt>
                <c:pt idx="44">
                  <c:v>29.286445646252368</c:v>
                </c:pt>
                <c:pt idx="45">
                  <c:v>31.622776601683803</c:v>
                </c:pt>
                <c:pt idx="46">
                  <c:v>34.145488738336034</c:v>
                </c:pt>
                <c:pt idx="47">
                  <c:v>36.869450645195769</c:v>
                </c:pt>
                <c:pt idx="48">
                  <c:v>39.810717055349755</c:v>
                </c:pt>
                <c:pt idx="49">
                  <c:v>42.986623470822771</c:v>
                </c:pt>
                <c:pt idx="50">
                  <c:v>46.415888336127807</c:v>
                </c:pt>
                <c:pt idx="51">
                  <c:v>50.118723362727238</c:v>
                </c:pt>
                <c:pt idx="52">
                  <c:v>54.11695265464639</c:v>
                </c:pt>
                <c:pt idx="53">
                  <c:v>58.434141337351775</c:v>
                </c:pt>
                <c:pt idx="54">
                  <c:v>63.095734448019364</c:v>
                </c:pt>
                <c:pt idx="55">
                  <c:v>68.129206905796124</c:v>
                </c:pt>
                <c:pt idx="56">
                  <c:v>73.564225445964155</c:v>
                </c:pt>
                <c:pt idx="57">
                  <c:v>79.432823472428197</c:v>
                </c:pt>
                <c:pt idx="58">
                  <c:v>85.769589859089479</c:v>
                </c:pt>
                <c:pt idx="59">
                  <c:v>92.611872812879369</c:v>
                </c:pt>
                <c:pt idx="60">
                  <c:v>100</c:v>
                </c:pt>
                <c:pt idx="61">
                  <c:v>107.97751623277095</c:v>
                </c:pt>
                <c:pt idx="62">
                  <c:v>116.59144011798328</c:v>
                </c:pt>
                <c:pt idx="63">
                  <c:v>125.89254117941677</c:v>
                </c:pt>
                <c:pt idx="64">
                  <c:v>135.93563908785265</c:v>
                </c:pt>
                <c:pt idx="65">
                  <c:v>146.77992676220697</c:v>
                </c:pt>
                <c:pt idx="66">
                  <c:v>158.48931924611153</c:v>
                </c:pt>
                <c:pt idx="67">
                  <c:v>171.13283041617817</c:v>
                </c:pt>
                <c:pt idx="68">
                  <c:v>184.7849797422291</c:v>
                </c:pt>
                <c:pt idx="69">
                  <c:v>199.52623149688802</c:v>
                </c:pt>
                <c:pt idx="70">
                  <c:v>215.44346900318848</c:v>
                </c:pt>
                <c:pt idx="71">
                  <c:v>232.6305067153628</c:v>
                </c:pt>
                <c:pt idx="72">
                  <c:v>251.18864315095806</c:v>
                </c:pt>
                <c:pt idx="73">
                  <c:v>271.22725793320296</c:v>
                </c:pt>
                <c:pt idx="74">
                  <c:v>292.86445646252383</c:v>
                </c:pt>
                <c:pt idx="75">
                  <c:v>316.22776601683825</c:v>
                </c:pt>
                <c:pt idx="76">
                  <c:v>341.4548873833603</c:v>
                </c:pt>
                <c:pt idx="77">
                  <c:v>368.69450645195781</c:v>
                </c:pt>
                <c:pt idx="78">
                  <c:v>398.10717055349761</c:v>
                </c:pt>
                <c:pt idx="79">
                  <c:v>429.86623470822781</c:v>
                </c:pt>
                <c:pt idx="80">
                  <c:v>464.15888336127819</c:v>
                </c:pt>
                <c:pt idx="81">
                  <c:v>501.18723362727269</c:v>
                </c:pt>
                <c:pt idx="82">
                  <c:v>541.16952654646434</c:v>
                </c:pt>
                <c:pt idx="83">
                  <c:v>584.34141337351787</c:v>
                </c:pt>
                <c:pt idx="84">
                  <c:v>630.95734448019323</c:v>
                </c:pt>
                <c:pt idx="85">
                  <c:v>681.29206905796195</c:v>
                </c:pt>
                <c:pt idx="86">
                  <c:v>735.64225445964166</c:v>
                </c:pt>
                <c:pt idx="87">
                  <c:v>794.32823472428208</c:v>
                </c:pt>
                <c:pt idx="88">
                  <c:v>857.69589859089422</c:v>
                </c:pt>
                <c:pt idx="89">
                  <c:v>926.11872812879471</c:v>
                </c:pt>
                <c:pt idx="90">
                  <c:v>1000</c:v>
                </c:pt>
                <c:pt idx="91">
                  <c:v>1079.7751623277097</c:v>
                </c:pt>
                <c:pt idx="92">
                  <c:v>1165.914401179833</c:v>
                </c:pt>
                <c:pt idx="93">
                  <c:v>1258.925411794168</c:v>
                </c:pt>
                <c:pt idx="94">
                  <c:v>1359.3563908785268</c:v>
                </c:pt>
                <c:pt idx="95">
                  <c:v>1467.7992676220699</c:v>
                </c:pt>
                <c:pt idx="96">
                  <c:v>1584.8931924611156</c:v>
                </c:pt>
                <c:pt idx="97">
                  <c:v>1711.3283041617822</c:v>
                </c:pt>
                <c:pt idx="98">
                  <c:v>1847.8497974222912</c:v>
                </c:pt>
                <c:pt idx="99">
                  <c:v>1995.2623149688804</c:v>
                </c:pt>
                <c:pt idx="100">
                  <c:v>2154.4346900318851</c:v>
                </c:pt>
                <c:pt idx="101">
                  <c:v>2326.3050671536284</c:v>
                </c:pt>
                <c:pt idx="102">
                  <c:v>2511.8864315095811</c:v>
                </c:pt>
                <c:pt idx="103">
                  <c:v>2712.2725793320301</c:v>
                </c:pt>
                <c:pt idx="104">
                  <c:v>2928.6445646252391</c:v>
                </c:pt>
                <c:pt idx="105">
                  <c:v>3162.2776601683804</c:v>
                </c:pt>
                <c:pt idx="106">
                  <c:v>3414.5488738336035</c:v>
                </c:pt>
                <c:pt idx="107">
                  <c:v>3686.9450645195784</c:v>
                </c:pt>
                <c:pt idx="108">
                  <c:v>3981.0717055349769</c:v>
                </c:pt>
                <c:pt idx="109">
                  <c:v>4298.6623470822833</c:v>
                </c:pt>
                <c:pt idx="110">
                  <c:v>4641.5888336127782</c:v>
                </c:pt>
                <c:pt idx="111">
                  <c:v>5011.8723362727324</c:v>
                </c:pt>
                <c:pt idx="112">
                  <c:v>5411.6952654646393</c:v>
                </c:pt>
                <c:pt idx="113">
                  <c:v>5843.4141337351803</c:v>
                </c:pt>
                <c:pt idx="114">
                  <c:v>6309.5734448019384</c:v>
                </c:pt>
                <c:pt idx="115">
                  <c:v>6812.9206905796218</c:v>
                </c:pt>
                <c:pt idx="116">
                  <c:v>7356.4225445964248</c:v>
                </c:pt>
                <c:pt idx="117">
                  <c:v>7943.2823472428154</c:v>
                </c:pt>
                <c:pt idx="118">
                  <c:v>8576.9589859089447</c:v>
                </c:pt>
                <c:pt idx="119">
                  <c:v>9261.187281287941</c:v>
                </c:pt>
                <c:pt idx="120">
                  <c:v>10000</c:v>
                </c:pt>
                <c:pt idx="121">
                  <c:v>10797.751623277109</c:v>
                </c:pt>
                <c:pt idx="122">
                  <c:v>11659.144011798313</c:v>
                </c:pt>
                <c:pt idx="123">
                  <c:v>12589.254117941671</c:v>
                </c:pt>
                <c:pt idx="124">
                  <c:v>13593.563908785283</c:v>
                </c:pt>
                <c:pt idx="125">
                  <c:v>14677.992676220729</c:v>
                </c:pt>
                <c:pt idx="126">
                  <c:v>15848.931924611146</c:v>
                </c:pt>
                <c:pt idx="127">
                  <c:v>17113.283041617826</c:v>
                </c:pt>
                <c:pt idx="128">
                  <c:v>18478.497974222933</c:v>
                </c:pt>
                <c:pt idx="129">
                  <c:v>19952.623149688792</c:v>
                </c:pt>
                <c:pt idx="130">
                  <c:v>21544.346900318837</c:v>
                </c:pt>
                <c:pt idx="131">
                  <c:v>23263.050671536268</c:v>
                </c:pt>
                <c:pt idx="132">
                  <c:v>25118.86431509586</c:v>
                </c:pt>
                <c:pt idx="133">
                  <c:v>27122.725793320307</c:v>
                </c:pt>
                <c:pt idx="134">
                  <c:v>29286.445646252399</c:v>
                </c:pt>
                <c:pt idx="135">
                  <c:v>31622.77660168384</c:v>
                </c:pt>
                <c:pt idx="136">
                  <c:v>34145.488738336011</c:v>
                </c:pt>
                <c:pt idx="137">
                  <c:v>36869.450645195764</c:v>
                </c:pt>
                <c:pt idx="138">
                  <c:v>39810.717055349742</c:v>
                </c:pt>
                <c:pt idx="139">
                  <c:v>42986.62347082288</c:v>
                </c:pt>
                <c:pt idx="140">
                  <c:v>46415.888336127835</c:v>
                </c:pt>
                <c:pt idx="141">
                  <c:v>50118.723362727294</c:v>
                </c:pt>
                <c:pt idx="142">
                  <c:v>54116.952654646455</c:v>
                </c:pt>
                <c:pt idx="143">
                  <c:v>58434.141337351764</c:v>
                </c:pt>
                <c:pt idx="144">
                  <c:v>63095.734448019342</c:v>
                </c:pt>
                <c:pt idx="145">
                  <c:v>68129.206905796163</c:v>
                </c:pt>
                <c:pt idx="146">
                  <c:v>73564.225445964199</c:v>
                </c:pt>
                <c:pt idx="147">
                  <c:v>79432.823472428237</c:v>
                </c:pt>
                <c:pt idx="148">
                  <c:v>85769.589859089538</c:v>
                </c:pt>
                <c:pt idx="149">
                  <c:v>92611.872812879505</c:v>
                </c:pt>
                <c:pt idx="150">
                  <c:v>100000</c:v>
                </c:pt>
                <c:pt idx="151">
                  <c:v>107977.51623277101</c:v>
                </c:pt>
                <c:pt idx="152">
                  <c:v>116591.44011798326</c:v>
                </c:pt>
                <c:pt idx="153">
                  <c:v>125892.54117941685</c:v>
                </c:pt>
                <c:pt idx="154">
                  <c:v>135935.63908785273</c:v>
                </c:pt>
                <c:pt idx="155">
                  <c:v>146779.92676220718</c:v>
                </c:pt>
                <c:pt idx="156">
                  <c:v>158489.31924611164</c:v>
                </c:pt>
                <c:pt idx="157">
                  <c:v>171132.83041617845</c:v>
                </c:pt>
                <c:pt idx="158">
                  <c:v>184784.97974222922</c:v>
                </c:pt>
                <c:pt idx="159">
                  <c:v>199526.23149688813</c:v>
                </c:pt>
                <c:pt idx="160">
                  <c:v>215443.46900318863</c:v>
                </c:pt>
                <c:pt idx="161">
                  <c:v>232630.50671536254</c:v>
                </c:pt>
                <c:pt idx="162">
                  <c:v>251188.64315095844</c:v>
                </c:pt>
                <c:pt idx="163">
                  <c:v>271227.25793320336</c:v>
                </c:pt>
                <c:pt idx="164">
                  <c:v>292864.45646252431</c:v>
                </c:pt>
                <c:pt idx="165">
                  <c:v>316227.7660168382</c:v>
                </c:pt>
                <c:pt idx="166">
                  <c:v>341454.88738336053</c:v>
                </c:pt>
                <c:pt idx="167">
                  <c:v>368694.50645195803</c:v>
                </c:pt>
                <c:pt idx="168">
                  <c:v>398107.17055349716</c:v>
                </c:pt>
                <c:pt idx="169">
                  <c:v>429866.2347082285</c:v>
                </c:pt>
                <c:pt idx="170">
                  <c:v>464158.88336127886</c:v>
                </c:pt>
                <c:pt idx="171">
                  <c:v>501187.23362727347</c:v>
                </c:pt>
                <c:pt idx="172">
                  <c:v>541169.52654646419</c:v>
                </c:pt>
                <c:pt idx="173">
                  <c:v>584341.41337351827</c:v>
                </c:pt>
                <c:pt idx="174">
                  <c:v>630957.34448019415</c:v>
                </c:pt>
                <c:pt idx="175">
                  <c:v>681292.06905796123</c:v>
                </c:pt>
                <c:pt idx="176">
                  <c:v>735642.25445964152</c:v>
                </c:pt>
                <c:pt idx="177">
                  <c:v>794328.23472428333</c:v>
                </c:pt>
                <c:pt idx="178">
                  <c:v>857695.89859089628</c:v>
                </c:pt>
                <c:pt idx="179">
                  <c:v>926118.72812879446</c:v>
                </c:pt>
                <c:pt idx="180">
                  <c:v>1000000</c:v>
                </c:pt>
                <c:pt idx="181">
                  <c:v>1079775.1623277115</c:v>
                </c:pt>
                <c:pt idx="182">
                  <c:v>1165914.4011798317</c:v>
                </c:pt>
                <c:pt idx="183">
                  <c:v>1258925.4117941677</c:v>
                </c:pt>
                <c:pt idx="184">
                  <c:v>1359356.3908785288</c:v>
                </c:pt>
                <c:pt idx="185">
                  <c:v>1467799.2676220734</c:v>
                </c:pt>
                <c:pt idx="186">
                  <c:v>1584893.1924611153</c:v>
                </c:pt>
                <c:pt idx="187">
                  <c:v>1711328.3041617833</c:v>
                </c:pt>
                <c:pt idx="188">
                  <c:v>1847849.797422294</c:v>
                </c:pt>
                <c:pt idx="189">
                  <c:v>1995262.31496888</c:v>
                </c:pt>
                <c:pt idx="190">
                  <c:v>2154434.6900318847</c:v>
                </c:pt>
                <c:pt idx="191">
                  <c:v>2326305.067153628</c:v>
                </c:pt>
                <c:pt idx="192">
                  <c:v>2511886.431509587</c:v>
                </c:pt>
                <c:pt idx="193">
                  <c:v>2712272.5793320318</c:v>
                </c:pt>
                <c:pt idx="194">
                  <c:v>2928644.5646252413</c:v>
                </c:pt>
                <c:pt idx="195">
                  <c:v>3162277.6601683851</c:v>
                </c:pt>
                <c:pt idx="196">
                  <c:v>3414548.8738336028</c:v>
                </c:pt>
                <c:pt idx="197">
                  <c:v>3686945.0645195777</c:v>
                </c:pt>
                <c:pt idx="198">
                  <c:v>3981071.705534976</c:v>
                </c:pt>
                <c:pt idx="199">
                  <c:v>4298662.3470822899</c:v>
                </c:pt>
                <c:pt idx="200">
                  <c:v>4641588.8336127857</c:v>
                </c:pt>
                <c:pt idx="201">
                  <c:v>5011872.3362727314</c:v>
                </c:pt>
                <c:pt idx="202">
                  <c:v>5411695.2654646477</c:v>
                </c:pt>
                <c:pt idx="203">
                  <c:v>5843414.133735179</c:v>
                </c:pt>
                <c:pt idx="204">
                  <c:v>6309573.4448019378</c:v>
                </c:pt>
                <c:pt idx="205">
                  <c:v>6812920.6905796202</c:v>
                </c:pt>
                <c:pt idx="206">
                  <c:v>7356422.5445964225</c:v>
                </c:pt>
                <c:pt idx="207">
                  <c:v>7943282.3472428275</c:v>
                </c:pt>
                <c:pt idx="208">
                  <c:v>8576958.9859089572</c:v>
                </c:pt>
                <c:pt idx="209">
                  <c:v>9261187.2812879551</c:v>
                </c:pt>
                <c:pt idx="210">
                  <c:v>10000000</c:v>
                </c:pt>
              </c:numCache>
            </c:numRef>
          </c:xVal>
          <c:yVal>
            <c:numRef>
              <c:f>'Small Signal'!$N$2:$N$212</c:f>
              <c:numCache>
                <c:formatCode>General</c:formatCode>
                <c:ptCount val="211"/>
                <c:pt idx="0">
                  <c:v>8.9183374778981346</c:v>
                </c:pt>
                <c:pt idx="1">
                  <c:v>8.9183374701675895</c:v>
                </c:pt>
                <c:pt idx="2">
                  <c:v>8.9183374611545201</c:v>
                </c:pt>
                <c:pt idx="3">
                  <c:v>8.9183374506460229</c:v>
                </c:pt>
                <c:pt idx="4">
                  <c:v>8.9183374383940279</c:v>
                </c:pt>
                <c:pt idx="5">
                  <c:v>8.9183374241092199</c:v>
                </c:pt>
                <c:pt idx="6">
                  <c:v>8.9183374074543753</c:v>
                </c:pt>
                <c:pt idx="7">
                  <c:v>8.9183373880362389</c:v>
                </c:pt>
                <c:pt idx="8">
                  <c:v>8.9183373653963844</c:v>
                </c:pt>
                <c:pt idx="9">
                  <c:v>8.9183373390002281</c:v>
                </c:pt>
                <c:pt idx="10">
                  <c:v>8.9183373082246113</c:v>
                </c:pt>
                <c:pt idx="11">
                  <c:v>8.9183372723428356</c:v>
                </c:pt>
                <c:pt idx="12">
                  <c:v>8.9183372305077349</c:v>
                </c:pt>
                <c:pt idx="13">
                  <c:v>8.9183371817316335</c:v>
                </c:pt>
                <c:pt idx="14">
                  <c:v>8.9183371248629424</c:v>
                </c:pt>
                <c:pt idx="15">
                  <c:v>8.9183370585587731</c:v>
                </c:pt>
                <c:pt idx="16">
                  <c:v>8.9183369812538889</c:v>
                </c:pt>
                <c:pt idx="17">
                  <c:v>8.9183368911229461</c:v>
                </c:pt>
                <c:pt idx="18">
                  <c:v>8.9183367860380098</c:v>
                </c:pt>
                <c:pt idx="19">
                  <c:v>8.9183366635179766</c:v>
                </c:pt>
                <c:pt idx="20">
                  <c:v>8.9183365206701364</c:v>
                </c:pt>
                <c:pt idx="21">
                  <c:v>8.9183363541217364</c:v>
                </c:pt>
                <c:pt idx="22">
                  <c:v>8.918336159940619</c:v>
                </c:pt>
                <c:pt idx="23">
                  <c:v>8.9183359335420214</c:v>
                </c:pt>
                <c:pt idx="24">
                  <c:v>8.9183356695807134</c:v>
                </c:pt>
                <c:pt idx="25">
                  <c:v>8.918335361824413</c:v>
                </c:pt>
                <c:pt idx="26">
                  <c:v>8.9183350030069022</c:v>
                </c:pt>
                <c:pt idx="27">
                  <c:v>8.9183345846563924</c:v>
                </c:pt>
                <c:pt idx="28">
                  <c:v>8.918334096895693</c:v>
                </c:pt>
                <c:pt idx="29">
                  <c:v>8.9183335282084073</c:v>
                </c:pt>
                <c:pt idx="30">
                  <c:v>8.9183328651678728</c:v>
                </c:pt>
                <c:pt idx="31">
                  <c:v>8.9183320921194724</c:v>
                </c:pt>
                <c:pt idx="32">
                  <c:v>8.9183311908113758</c:v>
                </c:pt>
                <c:pt idx="33">
                  <c:v>8.9183301399634924</c:v>
                </c:pt>
                <c:pt idx="34">
                  <c:v>8.9183289147650786</c:v>
                </c:pt>
                <c:pt idx="35">
                  <c:v>8.9183274862890141</c:v>
                </c:pt>
                <c:pt idx="36">
                  <c:v>8.9183258208088532</c:v>
                </c:pt>
                <c:pt idx="37">
                  <c:v>8.9183238790022852</c:v>
                </c:pt>
                <c:pt idx="38">
                  <c:v>8.9183216150230411</c:v>
                </c:pt>
                <c:pt idx="39">
                  <c:v>8.9183189754184351</c:v>
                </c:pt>
                <c:pt idx="40">
                  <c:v>8.9183158978673376</c:v>
                </c:pt>
                <c:pt idx="41">
                  <c:v>8.918312309708881</c:v>
                </c:pt>
                <c:pt idx="42">
                  <c:v>8.9183081262266999</c:v>
                </c:pt>
                <c:pt idx="43">
                  <c:v>8.918303248649492</c:v>
                </c:pt>
                <c:pt idx="44">
                  <c:v>8.9182975618184095</c:v>
                </c:pt>
                <c:pt idx="45">
                  <c:v>8.9182909314691425</c:v>
                </c:pt>
                <c:pt idx="46">
                  <c:v>8.918283201061513</c:v>
                </c:pt>
                <c:pt idx="47">
                  <c:v>8.9182741880843661</c:v>
                </c:pt>
                <c:pt idx="48">
                  <c:v>8.9182636797469037</c:v>
                </c:pt>
                <c:pt idx="49">
                  <c:v>8.9182514279551874</c:v>
                </c:pt>
                <c:pt idx="50">
                  <c:v>8.9182371434562402</c:v>
                </c:pt>
                <c:pt idx="51">
                  <c:v>8.9182204890092454</c:v>
                </c:pt>
                <c:pt idx="52">
                  <c:v>8.9182010714259476</c:v>
                </c:pt>
                <c:pt idx="53">
                  <c:v>8.9181784322897339</c:v>
                </c:pt>
                <c:pt idx="54">
                  <c:v>8.9181520371358296</c:v>
                </c:pt>
                <c:pt idx="55">
                  <c:v>8.9181212628374578</c:v>
                </c:pt>
                <c:pt idx="56">
                  <c:v>8.9180853829002924</c:v>
                </c:pt>
                <c:pt idx="57">
                  <c:v>8.9180435503190338</c:v>
                </c:pt>
                <c:pt idx="58">
                  <c:v>8.9179947775915664</c:v>
                </c:pt>
                <c:pt idx="59">
                  <c:v>8.9179379134207117</c:v>
                </c:pt>
                <c:pt idx="60">
                  <c:v>8.9178716155545672</c:v>
                </c:pt>
                <c:pt idx="61">
                  <c:v>8.9177943191270295</c:v>
                </c:pt>
                <c:pt idx="62">
                  <c:v>8.9177041997527358</c:v>
                </c:pt>
                <c:pt idx="63">
                  <c:v>8.9175991305108333</c:v>
                </c:pt>
                <c:pt idx="64">
                  <c:v>8.9174766318057443</c:v>
                </c:pt>
                <c:pt idx="65">
                  <c:v>8.917333812929753</c:v>
                </c:pt>
                <c:pt idx="66">
                  <c:v>8.9171673039571395</c:v>
                </c:pt>
                <c:pt idx="67">
                  <c:v>8.9169731763755653</c:v>
                </c:pt>
                <c:pt idx="68">
                  <c:v>8.9167468506003669</c:v>
                </c:pt>
                <c:pt idx="69">
                  <c:v>8.9164829882117171</c:v>
                </c:pt>
                <c:pt idx="70">
                  <c:v>8.9161753664065326</c:v>
                </c:pt>
                <c:pt idx="71">
                  <c:v>8.9158167317470252</c:v>
                </c:pt>
                <c:pt idx="72">
                  <c:v>8.9153986298153391</c:v>
                </c:pt>
                <c:pt idx="73">
                  <c:v>8.9149112068405998</c:v>
                </c:pt>
                <c:pt idx="74">
                  <c:v>8.9143429787300228</c:v>
                </c:pt>
                <c:pt idx="75">
                  <c:v>8.9136805622109136</c:v>
                </c:pt>
                <c:pt idx="76">
                  <c:v>8.9129083619511977</c:v>
                </c:pt>
                <c:pt idx="77">
                  <c:v>8.9120082065643054</c:v>
                </c:pt>
                <c:pt idx="78">
                  <c:v>8.9109589253016779</c:v>
                </c:pt>
                <c:pt idx="79">
                  <c:v>8.9097358559782354</c:v>
                </c:pt>
                <c:pt idx="80">
                  <c:v>8.908310273242213</c:v>
                </c:pt>
                <c:pt idx="81">
                  <c:v>8.9066487246824568</c:v>
                </c:pt>
                <c:pt idx="82">
                  <c:v>8.9047122604394708</c:v>
                </c:pt>
                <c:pt idx="83">
                  <c:v>8.9024555399475975</c:v>
                </c:pt>
                <c:pt idx="84">
                  <c:v>8.8998257971741275</c:v>
                </c:pt>
                <c:pt idx="85">
                  <c:v>8.8967616432470624</c:v>
                </c:pt>
                <c:pt idx="86">
                  <c:v>8.8931916826846287</c:v>
                </c:pt>
                <c:pt idx="87">
                  <c:v>8.8890329166052187</c:v>
                </c:pt>
                <c:pt idx="88">
                  <c:v>8.8841889033684573</c:v>
                </c:pt>
                <c:pt idx="89">
                  <c:v>8.8785476441822926</c:v>
                </c:pt>
                <c:pt idx="90">
                  <c:v>8.8719791584783945</c:v>
                </c:pt>
                <c:pt idx="91">
                  <c:v>8.8643327115395039</c:v>
                </c:pt>
                <c:pt idx="92">
                  <c:v>8.855433655298981</c:v>
                </c:pt>
                <c:pt idx="93">
                  <c:v>8.8450798428873547</c:v>
                </c:pt>
                <c:pt idx="94">
                  <c:v>8.8330375789968123</c:v>
                </c:pt>
                <c:pt idx="95">
                  <c:v>8.8190370722963305</c:v>
                </c:pt>
                <c:pt idx="96">
                  <c:v>8.8027673640210615</c:v>
                </c:pt>
                <c:pt idx="97">
                  <c:v>8.7838707198055239</c:v>
                </c:pt>
                <c:pt idx="98">
                  <c:v>8.761936491458675</c:v>
                </c:pt>
                <c:pt idx="99">
                  <c:v>8.736494483598797</c:v>
                </c:pt>
                <c:pt idx="100">
                  <c:v>8.707007898991673</c:v>
                </c:pt>
                <c:pt idx="101">
                  <c:v>8.6728659882810835</c:v>
                </c:pt>
                <c:pt idx="102">
                  <c:v>8.6333765965673397</c:v>
                </c:pt>
                <c:pt idx="103">
                  <c:v>8.5877588823334712</c:v>
                </c:pt>
                <c:pt idx="104">
                  <c:v>8.5351365836020676</c:v>
                </c:pt>
                <c:pt idx="105">
                  <c:v>8.4745323197261531</c:v>
                </c:pt>
                <c:pt idx="106">
                  <c:v>8.4048635392706217</c:v>
                </c:pt>
                <c:pt idx="107">
                  <c:v>8.3249408446596931</c:v>
                </c:pt>
                <c:pt idx="108">
                  <c:v>8.2334695262977178</c:v>
                </c:pt>
                <c:pt idx="109">
                  <c:v>8.1290551996125231</c:v>
                </c:pt>
                <c:pt idx="110">
                  <c:v>8.010214428490233</c:v>
                </c:pt>
                <c:pt idx="111">
                  <c:v>7.8753911044675116</c:v>
                </c:pt>
                <c:pt idx="112">
                  <c:v>7.7229791005314397</c:v>
                </c:pt>
                <c:pt idx="113">
                  <c:v>7.5513513084875399</c:v>
                </c:pt>
                <c:pt idx="114">
                  <c:v>7.3588945967044372</c:v>
                </c:pt>
                <c:pt idx="115">
                  <c:v>7.1440495191561144</c:v>
                </c:pt>
                <c:pt idx="116">
                  <c:v>6.9053528351907376</c:v>
                </c:pt>
                <c:pt idx="117">
                  <c:v>6.6414801704212936</c:v>
                </c:pt>
                <c:pt idx="118">
                  <c:v>6.351285598642411</c:v>
                </c:pt>
                <c:pt idx="119">
                  <c:v>6.0338346913518945</c:v>
                </c:pt>
                <c:pt idx="120">
                  <c:v>5.6884277711978335</c:v>
                </c:pt>
                <c:pt idx="121">
                  <c:v>5.3146107562416134</c:v>
                </c:pt>
                <c:pt idx="122">
                  <c:v>4.9121720403516447</c:v>
                </c:pt>
                <c:pt idx="123">
                  <c:v>4.4811251789469537</c:v>
                </c:pt>
                <c:pt idx="124">
                  <c:v>4.0216785355128577</c:v>
                </c:pt>
                <c:pt idx="125">
                  <c:v>3.5341942773554571</c:v>
                </c:pt>
                <c:pt idx="126">
                  <c:v>3.0191400136533355</c:v>
                </c:pt>
                <c:pt idx="127">
                  <c:v>2.4770368485024639</c:v>
                </c:pt>
                <c:pt idx="128">
                  <c:v>1.9084076715950942</c:v>
                </c:pt>
                <c:pt idx="129">
                  <c:v>1.3137292024324161</c:v>
                </c:pt>
                <c:pt idx="130">
                  <c:v>0.69339075868390432</c:v>
                </c:pt>
                <c:pt idx="131">
                  <c:v>4.7662060557463852E-2</c:v>
                </c:pt>
                <c:pt idx="132">
                  <c:v>-0.62332828869583268</c:v>
                </c:pt>
                <c:pt idx="133">
                  <c:v>-1.3196026329721167</c:v>
                </c:pt>
                <c:pt idx="134">
                  <c:v>-2.0413319609385399</c:v>
                </c:pt>
                <c:pt idx="135">
                  <c:v>-2.7888215642028378</c:v>
                </c:pt>
                <c:pt idx="136">
                  <c:v>-3.5624852932347313</c:v>
                </c:pt>
                <c:pt idx="137">
                  <c:v>-4.3628096373415932</c:v>
                </c:pt>
                <c:pt idx="138">
                  <c:v>-5.1903095015100478</c:v>
                </c:pt>
                <c:pt idx="139">
                  <c:v>-6.0454782287894639</c:v>
                </c:pt>
                <c:pt idx="140">
                  <c:v>-6.9287350479094325</c:v>
                </c:pt>
                <c:pt idx="141">
                  <c:v>-7.8403735998306123</c:v>
                </c:pt>
                <c:pt idx="142">
                  <c:v>-8.7805153871501087</c:v>
                </c:pt>
                <c:pt idx="143">
                  <c:v>-9.7490717904372222</c:v>
                </c:pt>
                <c:pt idx="144">
                  <c:v>-10.745717657571747</c:v>
                </c:pt>
                <c:pt idx="145">
                  <c:v>-11.769878433441789</c:v>
                </c:pt>
                <c:pt idx="146">
                  <c:v>-12.820731485802392</c:v>
                </c:pt>
                <c:pt idx="147">
                  <c:v>-13.897220894021372</c:v>
                </c:pt>
                <c:pt idx="148">
                  <c:v>-14.998083718284912</c:v>
                </c:pt>
                <c:pt idx="149">
                  <c:v>-16.12188484396038</c:v>
                </c:pt>
                <c:pt idx="150">
                  <c:v>-17.267057011654373</c:v>
                </c:pt>
                <c:pt idx="151">
                  <c:v>-18.431942617523699</c:v>
                </c:pt>
                <c:pt idx="152">
                  <c:v>-19.614834235233761</c:v>
                </c:pt>
                <c:pt idx="153">
                  <c:v>-20.81401144916564</c:v>
                </c:pt>
                <c:pt idx="154">
                  <c:v>-22.027772357293859</c:v>
                </c:pt>
                <c:pt idx="155">
                  <c:v>-23.254458874058468</c:v>
                </c:pt>
                <c:pt idx="156">
                  <c:v>-24.492475644996496</c:v>
                </c:pt>
                <c:pt idx="157">
                  <c:v>-25.740302923322204</c:v>
                </c:pt>
                <c:pt idx="158">
                  <c:v>-26.996504138718073</c:v>
                </c:pt>
                <c:pt idx="159">
                  <c:v>-28.259729122087553</c:v>
                </c:pt>
                <c:pt idx="160">
                  <c:v>-29.528714064059894</c:v>
                </c:pt>
                <c:pt idx="161">
                  <c:v>-30.802279311675505</c:v>
                </c:pt>
                <c:pt idx="162">
                  <c:v>-32.079326076175406</c:v>
                </c:pt>
                <c:pt idx="163">
                  <c:v>-33.35883305696359</c:v>
                </c:pt>
                <c:pt idx="164">
                  <c:v>-34.639853894630647</c:v>
                </c:pt>
                <c:pt idx="165">
                  <c:v>-35.921516251242537</c:v>
                </c:pt>
                <c:pt idx="166">
                  <c:v>-37.203023171649228</c:v>
                </c:pt>
                <c:pt idx="167">
                  <c:v>-38.483657191234329</c:v>
                </c:pt>
                <c:pt idx="168">
                  <c:v>-39.762787406453661</c:v>
                </c:pt>
                <c:pt idx="169">
                  <c:v>-41.039879400752177</c:v>
                </c:pt>
                <c:pt idx="170">
                  <c:v>-42.314507516818907</c:v>
                </c:pt>
                <c:pt idx="171">
                  <c:v>-43.586368502883992</c:v>
                </c:pt>
                <c:pt idx="172">
                  <c:v>-44.855295079478807</c:v>
                </c:pt>
                <c:pt idx="173">
                  <c:v>-46.121267548142626</c:v>
                </c:pt>
                <c:pt idx="174">
                  <c:v>-47.384421294917523</c:v>
                </c:pt>
                <c:pt idx="175">
                  <c:v>-48.645048037560592</c:v>
                </c:pt>
                <c:pt idx="176">
                  <c:v>-49.903589013827869</c:v>
                </c:pt>
                <c:pt idx="177">
                  <c:v>-51.160619040273929</c:v>
                </c:pt>
                <c:pt idx="178">
                  <c:v>-52.416821431576594</c:v>
                </c:pt>
                <c:pt idx="179">
                  <c:v>-53.672955007770412</c:v>
                </c:pt>
                <c:pt idx="180">
                  <c:v>-54.929815604174479</c:v>
                </c:pt>
                <c:pt idx="181">
                  <c:v>-56.18819538725937</c:v>
                </c:pt>
                <c:pt idx="182">
                  <c:v>-57.448843668156655</c:v>
                </c:pt>
                <c:pt idx="183">
                  <c:v>-58.712432702989261</c:v>
                </c:pt>
                <c:pt idx="184">
                  <c:v>-59.979531224163487</c:v>
                </c:pt>
                <c:pt idx="185">
                  <c:v>-61.250587331309191</c:v>
                </c:pt>
                <c:pt idx="186">
                  <c:v>-62.525921126084128</c:v>
                </c:pt>
                <c:pt idx="187">
                  <c:v>-63.805726341722689</c:v>
                </c:pt>
                <c:pt idx="188">
                  <c:v>-65.090079374350736</c:v>
                </c:pt>
                <c:pt idx="189">
                  <c:v>-66.378953653412708</c:v>
                </c:pt>
                <c:pt idx="190">
                  <c:v>-67.672237185145832</c:v>
                </c:pt>
                <c:pt idx="191">
                  <c:v>-68.969751290773786</c:v>
                </c:pt>
                <c:pt idx="192">
                  <c:v>-70.271268933013829</c:v>
                </c:pt>
                <c:pt idx="193">
                  <c:v>-71.576531473946019</c:v>
                </c:pt>
                <c:pt idx="194">
                  <c:v>-72.885263149028376</c:v>
                </c:pt>
                <c:pt idx="195">
                  <c:v>-74.197182921101259</c:v>
                </c:pt>
                <c:pt idx="196">
                  <c:v>-75.512013668829226</c:v>
                </c:pt>
                <c:pt idx="197">
                  <c:v>-76.829488863106462</c:v>
                </c:pt>
                <c:pt idx="198">
                  <c:v>-78.149357003856522</c:v>
                </c:pt>
                <c:pt idx="199">
                  <c:v>-79.471384146676186</c:v>
                </c:pt>
                <c:pt idx="200">
                  <c:v>-80.795354863652747</c:v>
                </c:pt>
                <c:pt idx="201">
                  <c:v>-82.121071973039435</c:v>
                </c:pt>
                <c:pt idx="202">
                  <c:v>-83.448355351998941</c:v>
                </c:pt>
                <c:pt idx="203">
                  <c:v>-84.77704012424735</c:v>
                </c:pt>
                <c:pt idx="204">
                  <c:v>-86.106974494262261</c:v>
                </c:pt>
                <c:pt idx="205">
                  <c:v>-87.438017481400408</c:v>
                </c:pt>
                <c:pt idx="206">
                  <c:v>-88.770036786911731</c:v>
                </c:pt>
                <c:pt idx="207">
                  <c:v>-90.102906998482041</c:v>
                </c:pt>
                <c:pt idx="208">
                  <c:v>-91.436508294750183</c:v>
                </c:pt>
                <c:pt idx="209">
                  <c:v>-92.770725753030106</c:v>
                </c:pt>
                <c:pt idx="210">
                  <c:v>-94.105449288885438</c:v>
                </c:pt>
              </c:numCache>
            </c:numRef>
          </c:yVal>
          <c:smooth val="1"/>
        </c:ser>
        <c:ser>
          <c:idx val="0"/>
          <c:order val="4"/>
          <c:tx>
            <c:v>Compensation Gain</c:v>
          </c:tx>
          <c:spPr>
            <a:ln w="25400">
              <a:solidFill>
                <a:srgbClr val="FF0000"/>
              </a:solidFill>
              <a:prstDash val="solid"/>
            </a:ln>
          </c:spPr>
          <c:marker>
            <c:symbol val="none"/>
          </c:marker>
          <c:xVal>
            <c:numRef>
              <c:f>'Small Signal'!$L$2:$L$212</c:f>
              <c:numCache>
                <c:formatCode>General</c:formatCode>
                <c:ptCount val="211"/>
                <c:pt idx="0">
                  <c:v>1</c:v>
                </c:pt>
                <c:pt idx="1">
                  <c:v>1.0797751623277096</c:v>
                </c:pt>
                <c:pt idx="2">
                  <c:v>1.1659144011798317</c:v>
                </c:pt>
                <c:pt idx="3">
                  <c:v>1.2589254117941673</c:v>
                </c:pt>
                <c:pt idx="4">
                  <c:v>1.3593563908785258</c:v>
                </c:pt>
                <c:pt idx="5">
                  <c:v>1.4677992676220697</c:v>
                </c:pt>
                <c:pt idx="6">
                  <c:v>1.5848931924611136</c:v>
                </c:pt>
                <c:pt idx="7">
                  <c:v>1.7113283041617808</c:v>
                </c:pt>
                <c:pt idx="8">
                  <c:v>1.8478497974222912</c:v>
                </c:pt>
                <c:pt idx="9">
                  <c:v>1.9952623149688797</c:v>
                </c:pt>
                <c:pt idx="10">
                  <c:v>2.1544346900318838</c:v>
                </c:pt>
                <c:pt idx="11">
                  <c:v>2.3263050671536263</c:v>
                </c:pt>
                <c:pt idx="12">
                  <c:v>2.5118864315095806</c:v>
                </c:pt>
                <c:pt idx="13">
                  <c:v>2.7122725793320286</c:v>
                </c:pt>
                <c:pt idx="14">
                  <c:v>2.9286445646252366</c:v>
                </c:pt>
                <c:pt idx="15">
                  <c:v>3.1622776601683795</c:v>
                </c:pt>
                <c:pt idx="16">
                  <c:v>3.4145488738336023</c:v>
                </c:pt>
                <c:pt idx="17">
                  <c:v>3.6869450645195756</c:v>
                </c:pt>
                <c:pt idx="18">
                  <c:v>3.9810717055349727</c:v>
                </c:pt>
                <c:pt idx="19">
                  <c:v>4.2986623470822769</c:v>
                </c:pt>
                <c:pt idx="20">
                  <c:v>4.6415888336127793</c:v>
                </c:pt>
                <c:pt idx="21">
                  <c:v>5.0118723362727229</c:v>
                </c:pt>
                <c:pt idx="22">
                  <c:v>5.4116952654646369</c:v>
                </c:pt>
                <c:pt idx="23">
                  <c:v>5.8434141337351777</c:v>
                </c:pt>
                <c:pt idx="24">
                  <c:v>6.3095734448019343</c:v>
                </c:pt>
                <c:pt idx="25">
                  <c:v>6.812920690579614</c:v>
                </c:pt>
                <c:pt idx="26">
                  <c:v>7.3564225445964153</c:v>
                </c:pt>
                <c:pt idx="27">
                  <c:v>7.9432823472428176</c:v>
                </c:pt>
                <c:pt idx="28">
                  <c:v>8.5769589859089415</c:v>
                </c:pt>
                <c:pt idx="29">
                  <c:v>9.2611872812879383</c:v>
                </c:pt>
                <c:pt idx="30">
                  <c:v>10</c:v>
                </c:pt>
                <c:pt idx="31">
                  <c:v>10.797751623277103</c:v>
                </c:pt>
                <c:pt idx="32">
                  <c:v>11.659144011798322</c:v>
                </c:pt>
                <c:pt idx="33">
                  <c:v>12.58925411794168</c:v>
                </c:pt>
                <c:pt idx="34">
                  <c:v>13.593563908785256</c:v>
                </c:pt>
                <c:pt idx="35">
                  <c:v>14.677992676220699</c:v>
                </c:pt>
                <c:pt idx="36">
                  <c:v>15.848931924611136</c:v>
                </c:pt>
                <c:pt idx="37">
                  <c:v>17.113283041617812</c:v>
                </c:pt>
                <c:pt idx="38">
                  <c:v>18.478497974222911</c:v>
                </c:pt>
                <c:pt idx="39">
                  <c:v>19.952623149688804</c:v>
                </c:pt>
                <c:pt idx="40">
                  <c:v>21.544346900318843</c:v>
                </c:pt>
                <c:pt idx="41">
                  <c:v>23.263050671536273</c:v>
                </c:pt>
                <c:pt idx="42">
                  <c:v>25.118864315095799</c:v>
                </c:pt>
                <c:pt idx="43">
                  <c:v>27.122725793320289</c:v>
                </c:pt>
                <c:pt idx="44">
                  <c:v>29.286445646252368</c:v>
                </c:pt>
                <c:pt idx="45">
                  <c:v>31.622776601683803</c:v>
                </c:pt>
                <c:pt idx="46">
                  <c:v>34.145488738336034</c:v>
                </c:pt>
                <c:pt idx="47">
                  <c:v>36.869450645195769</c:v>
                </c:pt>
                <c:pt idx="48">
                  <c:v>39.810717055349755</c:v>
                </c:pt>
                <c:pt idx="49">
                  <c:v>42.986623470822771</c:v>
                </c:pt>
                <c:pt idx="50">
                  <c:v>46.415888336127807</c:v>
                </c:pt>
                <c:pt idx="51">
                  <c:v>50.118723362727238</c:v>
                </c:pt>
                <c:pt idx="52">
                  <c:v>54.11695265464639</c:v>
                </c:pt>
                <c:pt idx="53">
                  <c:v>58.434141337351775</c:v>
                </c:pt>
                <c:pt idx="54">
                  <c:v>63.095734448019364</c:v>
                </c:pt>
                <c:pt idx="55">
                  <c:v>68.129206905796124</c:v>
                </c:pt>
                <c:pt idx="56">
                  <c:v>73.564225445964155</c:v>
                </c:pt>
                <c:pt idx="57">
                  <c:v>79.432823472428197</c:v>
                </c:pt>
                <c:pt idx="58">
                  <c:v>85.769589859089479</c:v>
                </c:pt>
                <c:pt idx="59">
                  <c:v>92.611872812879369</c:v>
                </c:pt>
                <c:pt idx="60">
                  <c:v>100</c:v>
                </c:pt>
                <c:pt idx="61">
                  <c:v>107.97751623277095</c:v>
                </c:pt>
                <c:pt idx="62">
                  <c:v>116.59144011798328</c:v>
                </c:pt>
                <c:pt idx="63">
                  <c:v>125.89254117941677</c:v>
                </c:pt>
                <c:pt idx="64">
                  <c:v>135.93563908785265</c:v>
                </c:pt>
                <c:pt idx="65">
                  <c:v>146.77992676220697</c:v>
                </c:pt>
                <c:pt idx="66">
                  <c:v>158.48931924611153</c:v>
                </c:pt>
                <c:pt idx="67">
                  <c:v>171.13283041617817</c:v>
                </c:pt>
                <c:pt idx="68">
                  <c:v>184.7849797422291</c:v>
                </c:pt>
                <c:pt idx="69">
                  <c:v>199.52623149688802</c:v>
                </c:pt>
                <c:pt idx="70">
                  <c:v>215.44346900318848</c:v>
                </c:pt>
                <c:pt idx="71">
                  <c:v>232.6305067153628</c:v>
                </c:pt>
                <c:pt idx="72">
                  <c:v>251.18864315095806</c:v>
                </c:pt>
                <c:pt idx="73">
                  <c:v>271.22725793320296</c:v>
                </c:pt>
                <c:pt idx="74">
                  <c:v>292.86445646252383</c:v>
                </c:pt>
                <c:pt idx="75">
                  <c:v>316.22776601683825</c:v>
                </c:pt>
                <c:pt idx="76">
                  <c:v>341.4548873833603</c:v>
                </c:pt>
                <c:pt idx="77">
                  <c:v>368.69450645195781</c:v>
                </c:pt>
                <c:pt idx="78">
                  <c:v>398.10717055349761</c:v>
                </c:pt>
                <c:pt idx="79">
                  <c:v>429.86623470822781</c:v>
                </c:pt>
                <c:pt idx="80">
                  <c:v>464.15888336127819</c:v>
                </c:pt>
                <c:pt idx="81">
                  <c:v>501.18723362727269</c:v>
                </c:pt>
                <c:pt idx="82">
                  <c:v>541.16952654646434</c:v>
                </c:pt>
                <c:pt idx="83">
                  <c:v>584.34141337351787</c:v>
                </c:pt>
                <c:pt idx="84">
                  <c:v>630.95734448019323</c:v>
                </c:pt>
                <c:pt idx="85">
                  <c:v>681.29206905796195</c:v>
                </c:pt>
                <c:pt idx="86">
                  <c:v>735.64225445964166</c:v>
                </c:pt>
                <c:pt idx="87">
                  <c:v>794.32823472428208</c:v>
                </c:pt>
                <c:pt idx="88">
                  <c:v>857.69589859089422</c:v>
                </c:pt>
                <c:pt idx="89">
                  <c:v>926.11872812879471</c:v>
                </c:pt>
                <c:pt idx="90">
                  <c:v>1000</c:v>
                </c:pt>
                <c:pt idx="91">
                  <c:v>1079.7751623277097</c:v>
                </c:pt>
                <c:pt idx="92">
                  <c:v>1165.914401179833</c:v>
                </c:pt>
                <c:pt idx="93">
                  <c:v>1258.925411794168</c:v>
                </c:pt>
                <c:pt idx="94">
                  <c:v>1359.3563908785268</c:v>
                </c:pt>
                <c:pt idx="95">
                  <c:v>1467.7992676220699</c:v>
                </c:pt>
                <c:pt idx="96">
                  <c:v>1584.8931924611156</c:v>
                </c:pt>
                <c:pt idx="97">
                  <c:v>1711.3283041617822</c:v>
                </c:pt>
                <c:pt idx="98">
                  <c:v>1847.8497974222912</c:v>
                </c:pt>
                <c:pt idx="99">
                  <c:v>1995.2623149688804</c:v>
                </c:pt>
                <c:pt idx="100">
                  <c:v>2154.4346900318851</c:v>
                </c:pt>
                <c:pt idx="101">
                  <c:v>2326.3050671536284</c:v>
                </c:pt>
                <c:pt idx="102">
                  <c:v>2511.8864315095811</c:v>
                </c:pt>
                <c:pt idx="103">
                  <c:v>2712.2725793320301</c:v>
                </c:pt>
                <c:pt idx="104">
                  <c:v>2928.6445646252391</c:v>
                </c:pt>
                <c:pt idx="105">
                  <c:v>3162.2776601683804</c:v>
                </c:pt>
                <c:pt idx="106">
                  <c:v>3414.5488738336035</c:v>
                </c:pt>
                <c:pt idx="107">
                  <c:v>3686.9450645195784</c:v>
                </c:pt>
                <c:pt idx="108">
                  <c:v>3981.0717055349769</c:v>
                </c:pt>
                <c:pt idx="109">
                  <c:v>4298.6623470822833</c:v>
                </c:pt>
                <c:pt idx="110">
                  <c:v>4641.5888336127782</c:v>
                </c:pt>
                <c:pt idx="111">
                  <c:v>5011.8723362727324</c:v>
                </c:pt>
                <c:pt idx="112">
                  <c:v>5411.6952654646393</c:v>
                </c:pt>
                <c:pt idx="113">
                  <c:v>5843.4141337351803</c:v>
                </c:pt>
                <c:pt idx="114">
                  <c:v>6309.5734448019384</c:v>
                </c:pt>
                <c:pt idx="115">
                  <c:v>6812.9206905796218</c:v>
                </c:pt>
                <c:pt idx="116">
                  <c:v>7356.4225445964248</c:v>
                </c:pt>
                <c:pt idx="117">
                  <c:v>7943.2823472428154</c:v>
                </c:pt>
                <c:pt idx="118">
                  <c:v>8576.9589859089447</c:v>
                </c:pt>
                <c:pt idx="119">
                  <c:v>9261.187281287941</c:v>
                </c:pt>
                <c:pt idx="120">
                  <c:v>10000</c:v>
                </c:pt>
                <c:pt idx="121">
                  <c:v>10797.751623277109</c:v>
                </c:pt>
                <c:pt idx="122">
                  <c:v>11659.144011798313</c:v>
                </c:pt>
                <c:pt idx="123">
                  <c:v>12589.254117941671</c:v>
                </c:pt>
                <c:pt idx="124">
                  <c:v>13593.563908785283</c:v>
                </c:pt>
                <c:pt idx="125">
                  <c:v>14677.992676220729</c:v>
                </c:pt>
                <c:pt idx="126">
                  <c:v>15848.931924611146</c:v>
                </c:pt>
                <c:pt idx="127">
                  <c:v>17113.283041617826</c:v>
                </c:pt>
                <c:pt idx="128">
                  <c:v>18478.497974222933</c:v>
                </c:pt>
                <c:pt idx="129">
                  <c:v>19952.623149688792</c:v>
                </c:pt>
                <c:pt idx="130">
                  <c:v>21544.346900318837</c:v>
                </c:pt>
                <c:pt idx="131">
                  <c:v>23263.050671536268</c:v>
                </c:pt>
                <c:pt idx="132">
                  <c:v>25118.86431509586</c:v>
                </c:pt>
                <c:pt idx="133">
                  <c:v>27122.725793320307</c:v>
                </c:pt>
                <c:pt idx="134">
                  <c:v>29286.445646252399</c:v>
                </c:pt>
                <c:pt idx="135">
                  <c:v>31622.77660168384</c:v>
                </c:pt>
                <c:pt idx="136">
                  <c:v>34145.488738336011</c:v>
                </c:pt>
                <c:pt idx="137">
                  <c:v>36869.450645195764</c:v>
                </c:pt>
                <c:pt idx="138">
                  <c:v>39810.717055349742</c:v>
                </c:pt>
                <c:pt idx="139">
                  <c:v>42986.62347082288</c:v>
                </c:pt>
                <c:pt idx="140">
                  <c:v>46415.888336127835</c:v>
                </c:pt>
                <c:pt idx="141">
                  <c:v>50118.723362727294</c:v>
                </c:pt>
                <c:pt idx="142">
                  <c:v>54116.952654646455</c:v>
                </c:pt>
                <c:pt idx="143">
                  <c:v>58434.141337351764</c:v>
                </c:pt>
                <c:pt idx="144">
                  <c:v>63095.734448019342</c:v>
                </c:pt>
                <c:pt idx="145">
                  <c:v>68129.206905796163</c:v>
                </c:pt>
                <c:pt idx="146">
                  <c:v>73564.225445964199</c:v>
                </c:pt>
                <c:pt idx="147">
                  <c:v>79432.823472428237</c:v>
                </c:pt>
                <c:pt idx="148">
                  <c:v>85769.589859089538</c:v>
                </c:pt>
                <c:pt idx="149">
                  <c:v>92611.872812879505</c:v>
                </c:pt>
                <c:pt idx="150">
                  <c:v>100000</c:v>
                </c:pt>
                <c:pt idx="151">
                  <c:v>107977.51623277101</c:v>
                </c:pt>
                <c:pt idx="152">
                  <c:v>116591.44011798326</c:v>
                </c:pt>
                <c:pt idx="153">
                  <c:v>125892.54117941685</c:v>
                </c:pt>
                <c:pt idx="154">
                  <c:v>135935.63908785273</c:v>
                </c:pt>
                <c:pt idx="155">
                  <c:v>146779.92676220718</c:v>
                </c:pt>
                <c:pt idx="156">
                  <c:v>158489.31924611164</c:v>
                </c:pt>
                <c:pt idx="157">
                  <c:v>171132.83041617845</c:v>
                </c:pt>
                <c:pt idx="158">
                  <c:v>184784.97974222922</c:v>
                </c:pt>
                <c:pt idx="159">
                  <c:v>199526.23149688813</c:v>
                </c:pt>
                <c:pt idx="160">
                  <c:v>215443.46900318863</c:v>
                </c:pt>
                <c:pt idx="161">
                  <c:v>232630.50671536254</c:v>
                </c:pt>
                <c:pt idx="162">
                  <c:v>251188.64315095844</c:v>
                </c:pt>
                <c:pt idx="163">
                  <c:v>271227.25793320336</c:v>
                </c:pt>
                <c:pt idx="164">
                  <c:v>292864.45646252431</c:v>
                </c:pt>
                <c:pt idx="165">
                  <c:v>316227.7660168382</c:v>
                </c:pt>
                <c:pt idx="166">
                  <c:v>341454.88738336053</c:v>
                </c:pt>
                <c:pt idx="167">
                  <c:v>368694.50645195803</c:v>
                </c:pt>
                <c:pt idx="168">
                  <c:v>398107.17055349716</c:v>
                </c:pt>
                <c:pt idx="169">
                  <c:v>429866.2347082285</c:v>
                </c:pt>
                <c:pt idx="170">
                  <c:v>464158.88336127886</c:v>
                </c:pt>
                <c:pt idx="171">
                  <c:v>501187.23362727347</c:v>
                </c:pt>
                <c:pt idx="172">
                  <c:v>541169.52654646419</c:v>
                </c:pt>
                <c:pt idx="173">
                  <c:v>584341.41337351827</c:v>
                </c:pt>
                <c:pt idx="174">
                  <c:v>630957.34448019415</c:v>
                </c:pt>
                <c:pt idx="175">
                  <c:v>681292.06905796123</c:v>
                </c:pt>
                <c:pt idx="176">
                  <c:v>735642.25445964152</c:v>
                </c:pt>
                <c:pt idx="177">
                  <c:v>794328.23472428333</c:v>
                </c:pt>
                <c:pt idx="178">
                  <c:v>857695.89859089628</c:v>
                </c:pt>
                <c:pt idx="179">
                  <c:v>926118.72812879446</c:v>
                </c:pt>
                <c:pt idx="180">
                  <c:v>1000000</c:v>
                </c:pt>
                <c:pt idx="181">
                  <c:v>1079775.1623277115</c:v>
                </c:pt>
                <c:pt idx="182">
                  <c:v>1165914.4011798317</c:v>
                </c:pt>
                <c:pt idx="183">
                  <c:v>1258925.4117941677</c:v>
                </c:pt>
                <c:pt idx="184">
                  <c:v>1359356.3908785288</c:v>
                </c:pt>
                <c:pt idx="185">
                  <c:v>1467799.2676220734</c:v>
                </c:pt>
                <c:pt idx="186">
                  <c:v>1584893.1924611153</c:v>
                </c:pt>
                <c:pt idx="187">
                  <c:v>1711328.3041617833</c:v>
                </c:pt>
                <c:pt idx="188">
                  <c:v>1847849.797422294</c:v>
                </c:pt>
                <c:pt idx="189">
                  <c:v>1995262.31496888</c:v>
                </c:pt>
                <c:pt idx="190">
                  <c:v>2154434.6900318847</c:v>
                </c:pt>
                <c:pt idx="191">
                  <c:v>2326305.067153628</c:v>
                </c:pt>
                <c:pt idx="192">
                  <c:v>2511886.431509587</c:v>
                </c:pt>
                <c:pt idx="193">
                  <c:v>2712272.5793320318</c:v>
                </c:pt>
                <c:pt idx="194">
                  <c:v>2928644.5646252413</c:v>
                </c:pt>
                <c:pt idx="195">
                  <c:v>3162277.6601683851</c:v>
                </c:pt>
                <c:pt idx="196">
                  <c:v>3414548.8738336028</c:v>
                </c:pt>
                <c:pt idx="197">
                  <c:v>3686945.0645195777</c:v>
                </c:pt>
                <c:pt idx="198">
                  <c:v>3981071.705534976</c:v>
                </c:pt>
                <c:pt idx="199">
                  <c:v>4298662.3470822899</c:v>
                </c:pt>
                <c:pt idx="200">
                  <c:v>4641588.8336127857</c:v>
                </c:pt>
                <c:pt idx="201">
                  <c:v>5011872.3362727314</c:v>
                </c:pt>
                <c:pt idx="202">
                  <c:v>5411695.2654646477</c:v>
                </c:pt>
                <c:pt idx="203">
                  <c:v>5843414.133735179</c:v>
                </c:pt>
                <c:pt idx="204">
                  <c:v>6309573.4448019378</c:v>
                </c:pt>
                <c:pt idx="205">
                  <c:v>6812920.6905796202</c:v>
                </c:pt>
                <c:pt idx="206">
                  <c:v>7356422.5445964225</c:v>
                </c:pt>
                <c:pt idx="207">
                  <c:v>7943282.3472428275</c:v>
                </c:pt>
                <c:pt idx="208">
                  <c:v>8576958.9859089572</c:v>
                </c:pt>
                <c:pt idx="209">
                  <c:v>9261187.2812879551</c:v>
                </c:pt>
                <c:pt idx="210">
                  <c:v>10000000</c:v>
                </c:pt>
              </c:numCache>
            </c:numRef>
          </c:xVal>
          <c:yVal>
            <c:numRef>
              <c:f>'Small Signal'!$Y$2:$Y$212</c:f>
              <c:numCache>
                <c:formatCode>General</c:formatCode>
                <c:ptCount val="211"/>
                <c:pt idx="0">
                  <c:v>52.959602874600229</c:v>
                </c:pt>
                <c:pt idx="1">
                  <c:v>52.957483952296435</c:v>
                </c:pt>
                <c:pt idx="2">
                  <c:v>52.955014774941112</c:v>
                </c:pt>
                <c:pt idx="3">
                  <c:v>52.952137696988572</c:v>
                </c:pt>
                <c:pt idx="4">
                  <c:v>52.948785675236763</c:v>
                </c:pt>
                <c:pt idx="5">
                  <c:v>52.944880768792075</c:v>
                </c:pt>
                <c:pt idx="6">
                  <c:v>52.940332411023235</c:v>
                </c:pt>
                <c:pt idx="7">
                  <c:v>52.935035422944793</c:v>
                </c:pt>
                <c:pt idx="8">
                  <c:v>52.928867734878111</c:v>
                </c:pt>
                <c:pt idx="9">
                  <c:v>52.921687781043758</c:v>
                </c:pt>
                <c:pt idx="10">
                  <c:v>52.913331530237379</c:v>
                </c:pt>
                <c:pt idx="11">
                  <c:v>52.903609115393301</c:v>
                </c:pt>
                <c:pt idx="12">
                  <c:v>52.892301026221304</c:v>
                </c:pt>
                <c:pt idx="13">
                  <c:v>52.879153833004416</c:v>
                </c:pt>
                <c:pt idx="14">
                  <c:v>52.863875417070851</c:v>
                </c:pt>
                <c:pt idx="15">
                  <c:v>52.846129695696419</c:v>
                </c:pt>
                <c:pt idx="16">
                  <c:v>52.825530847797083</c:v>
                </c:pt>
                <c:pt idx="17">
                  <c:v>52.801637073619389</c:v>
                </c:pt>
                <c:pt idx="18">
                  <c:v>52.773943958800388</c:v>
                </c:pt>
                <c:pt idx="19">
                  <c:v>52.741877562888725</c:v>
                </c:pt>
                <c:pt idx="20">
                  <c:v>52.704787416774664</c:v>
                </c:pt>
                <c:pt idx="21">
                  <c:v>52.661939694059868</c:v>
                </c:pt>
                <c:pt idx="22">
                  <c:v>52.612510918626768</c:v>
                </c:pt>
                <c:pt idx="23">
                  <c:v>52.555582682996139</c:v>
                </c:pt>
                <c:pt idx="24">
                  <c:v>52.490137974753516</c:v>
                </c:pt>
                <c:pt idx="25">
                  <c:v>52.415059832263836</c:v>
                </c:pt>
                <c:pt idx="26">
                  <c:v>52.329133161143069</c:v>
                </c:pt>
                <c:pt idx="27">
                  <c:v>52.231050617990981</c:v>
                </c:pt>
                <c:pt idx="28">
                  <c:v>52.119423479545503</c:v>
                </c:pt>
                <c:pt idx="29">
                  <c:v>51.992798330814011</c:v>
                </c:pt>
                <c:pt idx="30">
                  <c:v>51.849680191625573</c:v>
                </c:pt>
                <c:pt idx="31">
                  <c:v>51.688562331311388</c:v>
                </c:pt>
                <c:pt idx="32">
                  <c:v>51.507962487176385</c:v>
                </c:pt>
                <c:pt idx="33">
                  <c:v>51.30646452420131</c:v>
                </c:pt>
                <c:pt idx="34">
                  <c:v>51.082763809328895</c:v>
                </c:pt>
                <c:pt idx="35">
                  <c:v>50.835713822660459</c:v>
                </c:pt>
                <c:pt idx="36">
                  <c:v>50.564370920664452</c:v>
                </c:pt>
                <c:pt idx="37">
                  <c:v>50.268033842999337</c:v>
                </c:pt>
                <c:pt idx="38">
                  <c:v>49.946274630254507</c:v>
                </c:pt>
                <c:pt idx="39">
                  <c:v>49.598958149264867</c:v>
                </c:pt>
                <c:pt idx="40">
                  <c:v>49.226248372452972</c:v>
                </c:pt>
                <c:pt idx="41">
                  <c:v>48.828600802303704</c:v>
                </c:pt>
                <c:pt idx="42">
                  <c:v>48.406741776282757</c:v>
                </c:pt>
                <c:pt idx="43">
                  <c:v>47.961636611702353</c:v>
                </c:pt>
                <c:pt idx="44">
                  <c:v>47.494449463887356</c:v>
                </c:pt>
                <c:pt idx="45">
                  <c:v>47.006498257123916</c:v>
                </c:pt>
                <c:pt idx="46">
                  <c:v>46.499208082063198</c:v>
                </c:pt>
                <c:pt idx="47">
                  <c:v>45.974066097150661</c:v>
                </c:pt>
                <c:pt idx="48">
                  <c:v>45.432580344682385</c:v>
                </c:pt>
                <c:pt idx="49">
                  <c:v>44.876244134618354</c:v>
                </c:pt>
                <c:pt idx="50">
                  <c:v>44.306506889786391</c:v>
                </c:pt>
                <c:pt idx="51">
                  <c:v>43.724751679823854</c:v>
                </c:pt>
                <c:pt idx="52">
                  <c:v>43.132279152552691</c:v>
                </c:pt>
                <c:pt idx="53">
                  <c:v>42.530297217401795</c:v>
                </c:pt>
                <c:pt idx="54">
                  <c:v>41.919915635130955</c:v>
                </c:pt>
                <c:pt idx="55">
                  <c:v>41.302144594291917</c:v>
                </c:pt>
                <c:pt idx="56">
                  <c:v>40.677896374084874</c:v>
                </c:pt>
                <c:pt idx="57">
                  <c:v>40.0479892729727</c:v>
                </c:pt>
                <c:pt idx="58">
                  <c:v>39.413153095028854</c:v>
                </c:pt>
                <c:pt idx="59">
                  <c:v>38.774035610625219</c:v>
                </c:pt>
                <c:pt idx="60">
                  <c:v>38.131209530411745</c:v>
                </c:pt>
                <c:pt idx="61">
                  <c:v>37.48517964294458</c:v>
                </c:pt>
                <c:pt idx="62">
                  <c:v>36.836389862421711</c:v>
                </c:pt>
                <c:pt idx="63">
                  <c:v>36.18523001248505</c:v>
                </c:pt>
                <c:pt idx="64">
                  <c:v>35.532042235501649</c:v>
                </c:pt>
                <c:pt idx="65">
                  <c:v>34.877126965837171</c:v>
                </c:pt>
                <c:pt idx="66">
                  <c:v>34.220748442487192</c:v>
                </c:pt>
                <c:pt idx="67">
                  <c:v>33.56313976328822</c:v>
                </c:pt>
                <c:pt idx="68">
                  <c:v>32.904507501866163</c:v>
                </c:pt>
                <c:pt idx="69">
                  <c:v>32.245035921353789</c:v>
                </c:pt>
                <c:pt idx="70">
                  <c:v>31.584890827264744</c:v>
                </c:pt>
                <c:pt idx="71">
                  <c:v>30.924223107026542</c:v>
                </c:pt>
                <c:pt idx="72">
                  <c:v>30.263172006542348</c:v>
                </c:pt>
                <c:pt idx="73">
                  <c:v>29.601868195550022</c:v>
                </c:pt>
                <c:pt idx="74">
                  <c:v>28.940436674063907</c:v>
                </c:pt>
                <c:pt idx="75">
                  <c:v>28.278999572229978</c:v>
                </c:pt>
                <c:pt idx="76">
                  <c:v>27.617678895809636</c:v>
                </c:pt>
                <c:pt idx="77">
                  <c:v>26.956599269407054</c:v>
                </c:pt>
                <c:pt idx="78">
                  <c:v>26.295890729557229</c:v>
                </c:pt>
                <c:pt idx="79">
                  <c:v>25.635691619916461</c:v>
                </c:pt>
                <c:pt idx="80">
                  <c:v>24.976151640946981</c:v>
                </c:pt>
                <c:pt idx="81">
                  <c:v>24.317435106496763</c:v>
                </c:pt>
                <c:pt idx="82">
                  <c:v>23.659724459264584</c:v>
                </c:pt>
                <c:pt idx="83">
                  <c:v>23.00322409589732</c:v>
                </c:pt>
                <c:pt idx="84">
                  <c:v>22.348164549827516</c:v>
                </c:pt>
                <c:pt idx="85">
                  <c:v>21.694807075183114</c:v>
                </c:pt>
                <c:pt idx="86">
                  <c:v>21.043448667197829</c:v>
                </c:pt>
                <c:pt idx="87">
                  <c:v>20.39442754229778</c:v>
                </c:pt>
                <c:pt idx="88">
                  <c:v>19.748129082911145</c:v>
                </c:pt>
                <c:pt idx="89">
                  <c:v>19.104992226225324</c:v>
                </c:pt>
                <c:pt idx="90">
                  <c:v>18.465516240540378</c:v>
                </c:pt>
                <c:pt idx="91">
                  <c:v>17.830267785311101</c:v>
                </c:pt>
                <c:pt idx="92">
                  <c:v>17.199888089276893</c:v>
                </c:pt>
                <c:pt idx="93">
                  <c:v>16.57510000351807</c:v>
                </c:pt>
                <c:pt idx="94">
                  <c:v>15.956714592104236</c:v>
                </c:pt>
                <c:pt idx="95">
                  <c:v>15.345636813297315</c:v>
                </c:pt>
                <c:pt idx="96">
                  <c:v>14.742869722987379</c:v>
                </c:pt>
                <c:pt idx="97">
                  <c:v>14.149516507315463</c:v>
                </c:pt>
                <c:pt idx="98">
                  <c:v>13.566779536901862</c:v>
                </c:pt>
                <c:pt idx="99">
                  <c:v>12.995955550914905</c:v>
                </c:pt>
                <c:pt idx="100">
                  <c:v>12.438426052266923</c:v>
                </c:pt>
                <c:pt idx="101">
                  <c:v>11.895642057696488</c:v>
                </c:pt>
                <c:pt idx="102">
                  <c:v>11.369102532074711</c:v>
                </c:pt>
                <c:pt idx="103">
                  <c:v>10.860326173283317</c:v>
                </c:pt>
                <c:pt idx="104">
                  <c:v>10.370816715634854</c:v>
                </c:pt>
                <c:pt idx="105">
                  <c:v>9.9020225726653202</c:v>
                </c:pt>
                <c:pt idx="106">
                  <c:v>9.4552923942145117</c:v>
                </c:pt>
                <c:pt idx="107">
                  <c:v>9.0318288770761406</c:v>
                </c:pt>
                <c:pt idx="108">
                  <c:v>8.6326438175257127</c:v>
                </c:pt>
                <c:pt idx="109">
                  <c:v>8.258517787194835</c:v>
                </c:pt>
                <c:pt idx="110">
                  <c:v>7.9099678275755982</c:v>
                </c:pt>
                <c:pt idx="111">
                  <c:v>7.5872261233016447</c:v>
                </c:pt>
                <c:pt idx="112">
                  <c:v>7.2902317443516509</c:v>
                </c:pt>
                <c:pt idx="113">
                  <c:v>7.0186363501140105</c:v>
                </c:pt>
                <c:pt idx="114">
                  <c:v>6.7718234079900794</c:v>
                </c:pt>
                <c:pt idx="115">
                  <c:v>6.5489392147507823</c:v>
                </c:pt>
                <c:pt idx="116">
                  <c:v>6.3489330205024928</c:v>
                </c:pt>
                <c:pt idx="117">
                  <c:v>6.1706029774395494</c:v>
                </c:pt>
                <c:pt idx="118">
                  <c:v>6.0126445118085163</c:v>
                </c:pt>
                <c:pt idx="119">
                  <c:v>5.8736980014004381</c:v>
                </c:pt>
                <c:pt idx="120">
                  <c:v>5.7523932214240698</c:v>
                </c:pt>
                <c:pt idx="121">
                  <c:v>5.6473887591040652</c:v>
                </c:pt>
                <c:pt idx="122">
                  <c:v>5.5574053579107057</c:v>
                </c:pt>
                <c:pt idx="123">
                  <c:v>5.4812528318664606</c:v>
                </c:pt>
                <c:pt idx="124">
                  <c:v>5.417850724820191</c:v>
                </c:pt>
                <c:pt idx="125">
                  <c:v>5.3662432534669504</c:v>
                </c:pt>
                <c:pt idx="126">
                  <c:v>5.3256092705017428</c:v>
                </c:pt>
                <c:pt idx="127">
                  <c:v>5.2952680384124546</c:v>
                </c:pt>
                <c:pt idx="128">
                  <c:v>5.2746815458817133</c:v>
                </c:pt>
                <c:pt idx="129">
                  <c:v>5.2634539590141474</c:v>
                </c:pt>
                <c:pt idx="130">
                  <c:v>5.2613286063159848</c:v>
                </c:pt>
                <c:pt idx="131">
                  <c:v>5.2681826721310125</c:v>
                </c:pt>
                <c:pt idx="132">
                  <c:v>5.284019536249855</c:v>
                </c:pt>
                <c:pt idx="133">
                  <c:v>5.3089584634941964</c:v>
                </c:pt>
                <c:pt idx="134">
                  <c:v>5.3432211323492647</c:v>
                </c:pt>
                <c:pt idx="135">
                  <c:v>5.3871143152412175</c:v>
                </c:pt>
                <c:pt idx="136">
                  <c:v>5.4410079089199614</c:v>
                </c:pt>
                <c:pt idx="137">
                  <c:v>5.5053074913695399</c:v>
                </c:pt>
                <c:pt idx="138">
                  <c:v>5.5804206857821468</c:v>
                </c:pt>
                <c:pt idx="139">
                  <c:v>5.6667168763248528</c:v>
                </c:pt>
                <c:pt idx="140">
                  <c:v>5.7644802706939178</c:v>
                </c:pt>
                <c:pt idx="141">
                  <c:v>5.8738569480730662</c:v>
                </c:pt>
                <c:pt idx="142">
                  <c:v>5.994797344479168</c:v>
                </c:pt>
                <c:pt idx="143">
                  <c:v>6.1269965462421139</c:v>
                </c:pt>
                <c:pt idx="144">
                  <c:v>6.2698356783216642</c:v>
                </c:pt>
                <c:pt idx="145">
                  <c:v>6.4223284437769657</c:v>
                </c:pt>
                <c:pt idx="146">
                  <c:v>6.5830773372533482</c:v>
                </c:pt>
                <c:pt idx="147">
                  <c:v>6.7502440822455041</c:v>
                </c:pt>
                <c:pt idx="148">
                  <c:v>6.9215383488696274</c:v>
                </c:pt>
                <c:pt idx="149">
                  <c:v>7.0942277991457816</c:v>
                </c:pt>
                <c:pt idx="150">
                  <c:v>7.2651710741214597</c:v>
                </c:pt>
                <c:pt idx="151">
                  <c:v>7.4308736485323017</c:v>
                </c:pt>
                <c:pt idx="152">
                  <c:v>7.5875647377159288</c:v>
                </c:pt>
                <c:pt idx="153">
                  <c:v>7.7312918458210129</c:v>
                </c:pt>
                <c:pt idx="154">
                  <c:v>7.8580282515326028</c:v>
                </c:pt>
                <c:pt idx="155">
                  <c:v>7.9637878383055885</c:v>
                </c:pt>
                <c:pt idx="156">
                  <c:v>8.0447412348784617</c:v>
                </c:pt>
                <c:pt idx="157">
                  <c:v>8.097327237013312</c:v>
                </c:pt>
                <c:pt idx="158">
                  <c:v>8.1183538969633506</c:v>
                </c:pt>
                <c:pt idx="159">
                  <c:v>8.1050844315994599</c:v>
                </c:pt>
                <c:pt idx="160">
                  <c:v>8.0553041335677005</c:v>
                </c:pt>
                <c:pt idx="161">
                  <c:v>7.9673656826701578</c:v>
                </c:pt>
                <c:pt idx="162">
                  <c:v>7.8402115579709211</c:v>
                </c:pt>
                <c:pt idx="163">
                  <c:v>7.6733735654933266</c:v>
                </c:pt>
                <c:pt idx="164">
                  <c:v>7.4669507540836406</c:v>
                </c:pt>
                <c:pt idx="165">
                  <c:v>7.2215681315820062</c:v>
                </c:pt>
                <c:pt idx="166">
                  <c:v>6.9383195515174041</c:v>
                </c:pt>
                <c:pt idx="167">
                  <c:v>6.6186988492691405</c:v>
                </c:pt>
                <c:pt idx="168">
                  <c:v>6.264523702145361</c:v>
                </c:pt>
                <c:pt idx="169">
                  <c:v>5.8778567280167549</c:v>
                </c:pt>
                <c:pt idx="170">
                  <c:v>5.4609280202199484</c:v>
                </c:pt>
                <c:pt idx="171">
                  <c:v>5.0160626901957714</c:v>
                </c:pt>
                <c:pt idx="172">
                  <c:v>4.5456161454687685</c:v>
                </c:pt>
                <c:pt idx="173">
                  <c:v>4.0519188859186954</c:v>
                </c:pt>
                <c:pt idx="174">
                  <c:v>3.5372316731123723</c:v>
                </c:pt>
                <c:pt idx="175">
                  <c:v>3.0037111116281956</c:v>
                </c:pt>
                <c:pt idx="176">
                  <c:v>2.4533850392394649</c:v>
                </c:pt>
                <c:pt idx="177">
                  <c:v>1.8881366788861635</c:v>
                </c:pt>
                <c:pt idx="178">
                  <c:v>1.3096962524808458</c:v>
                </c:pt>
                <c:pt idx="179">
                  <c:v>0.71963866638948648</c:v>
                </c:pt>
                <c:pt idx="180">
                  <c:v>0.11938591202084847</c:v>
                </c:pt>
                <c:pt idx="181">
                  <c:v>-0.48978705811261847</c:v>
                </c:pt>
                <c:pt idx="182">
                  <c:v>-1.1067440542790195</c:v>
                </c:pt>
                <c:pt idx="183">
                  <c:v>-1.7304778658724587</c:v>
                </c:pt>
                <c:pt idx="184">
                  <c:v>-2.3600996815770463</c:v>
                </c:pt>
                <c:pt idx="185">
                  <c:v>-2.9948282582649774</c:v>
                </c:pt>
                <c:pt idx="186">
                  <c:v>-3.6339792387352094</c:v>
                </c:pt>
                <c:pt idx="187">
                  <c:v>-4.2769548977758989</c:v>
                </c:pt>
                <c:pt idx="188">
                  <c:v>-4.9232344991822972</c:v>
                </c:pt>
                <c:pt idx="189">
                  <c:v>-5.5723653711834649</c:v>
                </c:pt>
                <c:pt idx="190">
                  <c:v>-6.2239547512504547</c:v>
                </c:pt>
                <c:pt idx="191">
                  <c:v>-6.8776624103005393</c:v>
                </c:pt>
                <c:pt idx="192">
                  <c:v>-7.5331940377768856</c:v>
                </c:pt>
                <c:pt idx="193">
                  <c:v>-8.1902953502388769</c:v>
                </c:pt>
                <c:pt idx="194">
                  <c:v>-8.8487468745906277</c:v>
                </c:pt>
                <c:pt idx="195">
                  <c:v>-9.5083593509755318</c:v>
                </c:pt>
                <c:pt idx="196">
                  <c:v>-10.168969698151571</c:v>
                </c:pt>
                <c:pt idx="197">
                  <c:v>-10.830437484619804</c:v>
                </c:pt>
                <c:pt idx="198">
                  <c:v>-11.492641851026958</c:v>
                </c:pt>
                <c:pt idx="199">
                  <c:v>-12.155478832700584</c:v>
                </c:pt>
                <c:pt idx="200">
                  <c:v>-12.818859035136336</c:v>
                </c:pt>
                <c:pt idx="201">
                  <c:v>-13.482705619476597</c:v>
                </c:pt>
                <c:pt idx="202">
                  <c:v>-14.146952559267186</c:v>
                </c:pt>
                <c:pt idx="203">
                  <c:v>-14.811543133898267</c:v>
                </c:pt>
                <c:pt idx="204">
                  <c:v>-15.476428628018574</c:v>
                </c:pt>
                <c:pt idx="205">
                  <c:v>-16.141567209812223</c:v>
                </c:pt>
                <c:pt idx="206">
                  <c:v>-16.806922964313497</c:v>
                </c:pt>
                <c:pt idx="207">
                  <c:v>-17.472465060899488</c:v>
                </c:pt>
                <c:pt idx="208">
                  <c:v>-18.138167036755448</c:v>
                </c:pt>
                <c:pt idx="209">
                  <c:v>-18.804006180464999</c:v>
                </c:pt>
                <c:pt idx="210">
                  <c:v>-19.469963001962046</c:v>
                </c:pt>
              </c:numCache>
            </c:numRef>
          </c:yVal>
          <c:smooth val="1"/>
        </c:ser>
        <c:dLbls>
          <c:showLegendKey val="0"/>
          <c:showVal val="0"/>
          <c:showCatName val="0"/>
          <c:showSerName val="0"/>
          <c:showPercent val="0"/>
          <c:showBubbleSize val="0"/>
        </c:dLbls>
        <c:axId val="168284928"/>
        <c:axId val="168286848"/>
      </c:scatterChart>
      <c:scatterChart>
        <c:scatterStyle val="smoothMarker"/>
        <c:varyColors val="0"/>
        <c:ser>
          <c:idx val="5"/>
          <c:order val="1"/>
          <c:tx>
            <c:v>Overall Phase</c:v>
          </c:tx>
          <c:spPr>
            <a:ln w="38100">
              <a:solidFill>
                <a:srgbClr val="000000"/>
              </a:solidFill>
              <a:prstDash val="sysDash"/>
            </a:ln>
          </c:spPr>
          <c:marker>
            <c:symbol val="none"/>
          </c:marker>
          <c:xVal>
            <c:numRef>
              <c:f>'Small Signal'!$L$2:$L$212</c:f>
              <c:numCache>
                <c:formatCode>General</c:formatCode>
                <c:ptCount val="211"/>
                <c:pt idx="0">
                  <c:v>1</c:v>
                </c:pt>
                <c:pt idx="1">
                  <c:v>1.0797751623277096</c:v>
                </c:pt>
                <c:pt idx="2">
                  <c:v>1.1659144011798317</c:v>
                </c:pt>
                <c:pt idx="3">
                  <c:v>1.2589254117941673</c:v>
                </c:pt>
                <c:pt idx="4">
                  <c:v>1.3593563908785258</c:v>
                </c:pt>
                <c:pt idx="5">
                  <c:v>1.4677992676220697</c:v>
                </c:pt>
                <c:pt idx="6">
                  <c:v>1.5848931924611136</c:v>
                </c:pt>
                <c:pt idx="7">
                  <c:v>1.7113283041617808</c:v>
                </c:pt>
                <c:pt idx="8">
                  <c:v>1.8478497974222912</c:v>
                </c:pt>
                <c:pt idx="9">
                  <c:v>1.9952623149688797</c:v>
                </c:pt>
                <c:pt idx="10">
                  <c:v>2.1544346900318838</c:v>
                </c:pt>
                <c:pt idx="11">
                  <c:v>2.3263050671536263</c:v>
                </c:pt>
                <c:pt idx="12">
                  <c:v>2.5118864315095806</c:v>
                </c:pt>
                <c:pt idx="13">
                  <c:v>2.7122725793320286</c:v>
                </c:pt>
                <c:pt idx="14">
                  <c:v>2.9286445646252366</c:v>
                </c:pt>
                <c:pt idx="15">
                  <c:v>3.1622776601683795</c:v>
                </c:pt>
                <c:pt idx="16">
                  <c:v>3.4145488738336023</c:v>
                </c:pt>
                <c:pt idx="17">
                  <c:v>3.6869450645195756</c:v>
                </c:pt>
                <c:pt idx="18">
                  <c:v>3.9810717055349727</c:v>
                </c:pt>
                <c:pt idx="19">
                  <c:v>4.2986623470822769</c:v>
                </c:pt>
                <c:pt idx="20">
                  <c:v>4.6415888336127793</c:v>
                </c:pt>
                <c:pt idx="21">
                  <c:v>5.0118723362727229</c:v>
                </c:pt>
                <c:pt idx="22">
                  <c:v>5.4116952654646369</c:v>
                </c:pt>
                <c:pt idx="23">
                  <c:v>5.8434141337351777</c:v>
                </c:pt>
                <c:pt idx="24">
                  <c:v>6.3095734448019343</c:v>
                </c:pt>
                <c:pt idx="25">
                  <c:v>6.812920690579614</c:v>
                </c:pt>
                <c:pt idx="26">
                  <c:v>7.3564225445964153</c:v>
                </c:pt>
                <c:pt idx="27">
                  <c:v>7.9432823472428176</c:v>
                </c:pt>
                <c:pt idx="28">
                  <c:v>8.5769589859089415</c:v>
                </c:pt>
                <c:pt idx="29">
                  <c:v>9.2611872812879383</c:v>
                </c:pt>
                <c:pt idx="30">
                  <c:v>10</c:v>
                </c:pt>
                <c:pt idx="31">
                  <c:v>10.797751623277103</c:v>
                </c:pt>
                <c:pt idx="32">
                  <c:v>11.659144011798322</c:v>
                </c:pt>
                <c:pt idx="33">
                  <c:v>12.58925411794168</c:v>
                </c:pt>
                <c:pt idx="34">
                  <c:v>13.593563908785256</c:v>
                </c:pt>
                <c:pt idx="35">
                  <c:v>14.677992676220699</c:v>
                </c:pt>
                <c:pt idx="36">
                  <c:v>15.848931924611136</c:v>
                </c:pt>
                <c:pt idx="37">
                  <c:v>17.113283041617812</c:v>
                </c:pt>
                <c:pt idx="38">
                  <c:v>18.478497974222911</c:v>
                </c:pt>
                <c:pt idx="39">
                  <c:v>19.952623149688804</c:v>
                </c:pt>
                <c:pt idx="40">
                  <c:v>21.544346900318843</c:v>
                </c:pt>
                <c:pt idx="41">
                  <c:v>23.263050671536273</c:v>
                </c:pt>
                <c:pt idx="42">
                  <c:v>25.118864315095799</c:v>
                </c:pt>
                <c:pt idx="43">
                  <c:v>27.122725793320289</c:v>
                </c:pt>
                <c:pt idx="44">
                  <c:v>29.286445646252368</c:v>
                </c:pt>
                <c:pt idx="45">
                  <c:v>31.622776601683803</c:v>
                </c:pt>
                <c:pt idx="46">
                  <c:v>34.145488738336034</c:v>
                </c:pt>
                <c:pt idx="47">
                  <c:v>36.869450645195769</c:v>
                </c:pt>
                <c:pt idx="48">
                  <c:v>39.810717055349755</c:v>
                </c:pt>
                <c:pt idx="49">
                  <c:v>42.986623470822771</c:v>
                </c:pt>
                <c:pt idx="50">
                  <c:v>46.415888336127807</c:v>
                </c:pt>
                <c:pt idx="51">
                  <c:v>50.118723362727238</c:v>
                </c:pt>
                <c:pt idx="52">
                  <c:v>54.11695265464639</c:v>
                </c:pt>
                <c:pt idx="53">
                  <c:v>58.434141337351775</c:v>
                </c:pt>
                <c:pt idx="54">
                  <c:v>63.095734448019364</c:v>
                </c:pt>
                <c:pt idx="55">
                  <c:v>68.129206905796124</c:v>
                </c:pt>
                <c:pt idx="56">
                  <c:v>73.564225445964155</c:v>
                </c:pt>
                <c:pt idx="57">
                  <c:v>79.432823472428197</c:v>
                </c:pt>
                <c:pt idx="58">
                  <c:v>85.769589859089479</c:v>
                </c:pt>
                <c:pt idx="59">
                  <c:v>92.611872812879369</c:v>
                </c:pt>
                <c:pt idx="60">
                  <c:v>100</c:v>
                </c:pt>
                <c:pt idx="61">
                  <c:v>107.97751623277095</c:v>
                </c:pt>
                <c:pt idx="62">
                  <c:v>116.59144011798328</c:v>
                </c:pt>
                <c:pt idx="63">
                  <c:v>125.89254117941677</c:v>
                </c:pt>
                <c:pt idx="64">
                  <c:v>135.93563908785265</c:v>
                </c:pt>
                <c:pt idx="65">
                  <c:v>146.77992676220697</c:v>
                </c:pt>
                <c:pt idx="66">
                  <c:v>158.48931924611153</c:v>
                </c:pt>
                <c:pt idx="67">
                  <c:v>171.13283041617817</c:v>
                </c:pt>
                <c:pt idx="68">
                  <c:v>184.7849797422291</c:v>
                </c:pt>
                <c:pt idx="69">
                  <c:v>199.52623149688802</c:v>
                </c:pt>
                <c:pt idx="70">
                  <c:v>215.44346900318848</c:v>
                </c:pt>
                <c:pt idx="71">
                  <c:v>232.6305067153628</c:v>
                </c:pt>
                <c:pt idx="72">
                  <c:v>251.18864315095806</c:v>
                </c:pt>
                <c:pt idx="73">
                  <c:v>271.22725793320296</c:v>
                </c:pt>
                <c:pt idx="74">
                  <c:v>292.86445646252383</c:v>
                </c:pt>
                <c:pt idx="75">
                  <c:v>316.22776601683825</c:v>
                </c:pt>
                <c:pt idx="76">
                  <c:v>341.4548873833603</c:v>
                </c:pt>
                <c:pt idx="77">
                  <c:v>368.69450645195781</c:v>
                </c:pt>
                <c:pt idx="78">
                  <c:v>398.10717055349761</c:v>
                </c:pt>
                <c:pt idx="79">
                  <c:v>429.86623470822781</c:v>
                </c:pt>
                <c:pt idx="80">
                  <c:v>464.15888336127819</c:v>
                </c:pt>
                <c:pt idx="81">
                  <c:v>501.18723362727269</c:v>
                </c:pt>
                <c:pt idx="82">
                  <c:v>541.16952654646434</c:v>
                </c:pt>
                <c:pt idx="83">
                  <c:v>584.34141337351787</c:v>
                </c:pt>
                <c:pt idx="84">
                  <c:v>630.95734448019323</c:v>
                </c:pt>
                <c:pt idx="85">
                  <c:v>681.29206905796195</c:v>
                </c:pt>
                <c:pt idx="86">
                  <c:v>735.64225445964166</c:v>
                </c:pt>
                <c:pt idx="87">
                  <c:v>794.32823472428208</c:v>
                </c:pt>
                <c:pt idx="88">
                  <c:v>857.69589859089422</c:v>
                </c:pt>
                <c:pt idx="89">
                  <c:v>926.11872812879471</c:v>
                </c:pt>
                <c:pt idx="90">
                  <c:v>1000</c:v>
                </c:pt>
                <c:pt idx="91">
                  <c:v>1079.7751623277097</c:v>
                </c:pt>
                <c:pt idx="92">
                  <c:v>1165.914401179833</c:v>
                </c:pt>
                <c:pt idx="93">
                  <c:v>1258.925411794168</c:v>
                </c:pt>
                <c:pt idx="94">
                  <c:v>1359.3563908785268</c:v>
                </c:pt>
                <c:pt idx="95">
                  <c:v>1467.7992676220699</c:v>
                </c:pt>
                <c:pt idx="96">
                  <c:v>1584.8931924611156</c:v>
                </c:pt>
                <c:pt idx="97">
                  <c:v>1711.3283041617822</c:v>
                </c:pt>
                <c:pt idx="98">
                  <c:v>1847.8497974222912</c:v>
                </c:pt>
                <c:pt idx="99">
                  <c:v>1995.2623149688804</c:v>
                </c:pt>
                <c:pt idx="100">
                  <c:v>2154.4346900318851</c:v>
                </c:pt>
                <c:pt idx="101">
                  <c:v>2326.3050671536284</c:v>
                </c:pt>
                <c:pt idx="102">
                  <c:v>2511.8864315095811</c:v>
                </c:pt>
                <c:pt idx="103">
                  <c:v>2712.2725793320301</c:v>
                </c:pt>
                <c:pt idx="104">
                  <c:v>2928.6445646252391</c:v>
                </c:pt>
                <c:pt idx="105">
                  <c:v>3162.2776601683804</c:v>
                </c:pt>
                <c:pt idx="106">
                  <c:v>3414.5488738336035</c:v>
                </c:pt>
                <c:pt idx="107">
                  <c:v>3686.9450645195784</c:v>
                </c:pt>
                <c:pt idx="108">
                  <c:v>3981.0717055349769</c:v>
                </c:pt>
                <c:pt idx="109">
                  <c:v>4298.6623470822833</c:v>
                </c:pt>
                <c:pt idx="110">
                  <c:v>4641.5888336127782</c:v>
                </c:pt>
                <c:pt idx="111">
                  <c:v>5011.8723362727324</c:v>
                </c:pt>
                <c:pt idx="112">
                  <c:v>5411.6952654646393</c:v>
                </c:pt>
                <c:pt idx="113">
                  <c:v>5843.4141337351803</c:v>
                </c:pt>
                <c:pt idx="114">
                  <c:v>6309.5734448019384</c:v>
                </c:pt>
                <c:pt idx="115">
                  <c:v>6812.9206905796218</c:v>
                </c:pt>
                <c:pt idx="116">
                  <c:v>7356.4225445964248</c:v>
                </c:pt>
                <c:pt idx="117">
                  <c:v>7943.2823472428154</c:v>
                </c:pt>
                <c:pt idx="118">
                  <c:v>8576.9589859089447</c:v>
                </c:pt>
                <c:pt idx="119">
                  <c:v>9261.187281287941</c:v>
                </c:pt>
                <c:pt idx="120">
                  <c:v>10000</c:v>
                </c:pt>
                <c:pt idx="121">
                  <c:v>10797.751623277109</c:v>
                </c:pt>
                <c:pt idx="122">
                  <c:v>11659.144011798313</c:v>
                </c:pt>
                <c:pt idx="123">
                  <c:v>12589.254117941671</c:v>
                </c:pt>
                <c:pt idx="124">
                  <c:v>13593.563908785283</c:v>
                </c:pt>
                <c:pt idx="125">
                  <c:v>14677.992676220729</c:v>
                </c:pt>
                <c:pt idx="126">
                  <c:v>15848.931924611146</c:v>
                </c:pt>
                <c:pt idx="127">
                  <c:v>17113.283041617826</c:v>
                </c:pt>
                <c:pt idx="128">
                  <c:v>18478.497974222933</c:v>
                </c:pt>
                <c:pt idx="129">
                  <c:v>19952.623149688792</c:v>
                </c:pt>
                <c:pt idx="130">
                  <c:v>21544.346900318837</c:v>
                </c:pt>
                <c:pt idx="131">
                  <c:v>23263.050671536268</c:v>
                </c:pt>
                <c:pt idx="132">
                  <c:v>25118.86431509586</c:v>
                </c:pt>
                <c:pt idx="133">
                  <c:v>27122.725793320307</c:v>
                </c:pt>
                <c:pt idx="134">
                  <c:v>29286.445646252399</c:v>
                </c:pt>
                <c:pt idx="135">
                  <c:v>31622.77660168384</c:v>
                </c:pt>
                <c:pt idx="136">
                  <c:v>34145.488738336011</c:v>
                </c:pt>
                <c:pt idx="137">
                  <c:v>36869.450645195764</c:v>
                </c:pt>
                <c:pt idx="138">
                  <c:v>39810.717055349742</c:v>
                </c:pt>
                <c:pt idx="139">
                  <c:v>42986.62347082288</c:v>
                </c:pt>
                <c:pt idx="140">
                  <c:v>46415.888336127835</c:v>
                </c:pt>
                <c:pt idx="141">
                  <c:v>50118.723362727294</c:v>
                </c:pt>
                <c:pt idx="142">
                  <c:v>54116.952654646455</c:v>
                </c:pt>
                <c:pt idx="143">
                  <c:v>58434.141337351764</c:v>
                </c:pt>
                <c:pt idx="144">
                  <c:v>63095.734448019342</c:v>
                </c:pt>
                <c:pt idx="145">
                  <c:v>68129.206905796163</c:v>
                </c:pt>
                <c:pt idx="146">
                  <c:v>73564.225445964199</c:v>
                </c:pt>
                <c:pt idx="147">
                  <c:v>79432.823472428237</c:v>
                </c:pt>
                <c:pt idx="148">
                  <c:v>85769.589859089538</c:v>
                </c:pt>
                <c:pt idx="149">
                  <c:v>92611.872812879505</c:v>
                </c:pt>
                <c:pt idx="150">
                  <c:v>100000</c:v>
                </c:pt>
                <c:pt idx="151">
                  <c:v>107977.51623277101</c:v>
                </c:pt>
                <c:pt idx="152">
                  <c:v>116591.44011798326</c:v>
                </c:pt>
                <c:pt idx="153">
                  <c:v>125892.54117941685</c:v>
                </c:pt>
                <c:pt idx="154">
                  <c:v>135935.63908785273</c:v>
                </c:pt>
                <c:pt idx="155">
                  <c:v>146779.92676220718</c:v>
                </c:pt>
                <c:pt idx="156">
                  <c:v>158489.31924611164</c:v>
                </c:pt>
                <c:pt idx="157">
                  <c:v>171132.83041617845</c:v>
                </c:pt>
                <c:pt idx="158">
                  <c:v>184784.97974222922</c:v>
                </c:pt>
                <c:pt idx="159">
                  <c:v>199526.23149688813</c:v>
                </c:pt>
                <c:pt idx="160">
                  <c:v>215443.46900318863</c:v>
                </c:pt>
                <c:pt idx="161">
                  <c:v>232630.50671536254</c:v>
                </c:pt>
                <c:pt idx="162">
                  <c:v>251188.64315095844</c:v>
                </c:pt>
                <c:pt idx="163">
                  <c:v>271227.25793320336</c:v>
                </c:pt>
                <c:pt idx="164">
                  <c:v>292864.45646252431</c:v>
                </c:pt>
                <c:pt idx="165">
                  <c:v>316227.7660168382</c:v>
                </c:pt>
                <c:pt idx="166">
                  <c:v>341454.88738336053</c:v>
                </c:pt>
                <c:pt idx="167">
                  <c:v>368694.50645195803</c:v>
                </c:pt>
                <c:pt idx="168">
                  <c:v>398107.17055349716</c:v>
                </c:pt>
                <c:pt idx="169">
                  <c:v>429866.2347082285</c:v>
                </c:pt>
                <c:pt idx="170">
                  <c:v>464158.88336127886</c:v>
                </c:pt>
                <c:pt idx="171">
                  <c:v>501187.23362727347</c:v>
                </c:pt>
                <c:pt idx="172">
                  <c:v>541169.52654646419</c:v>
                </c:pt>
                <c:pt idx="173">
                  <c:v>584341.41337351827</c:v>
                </c:pt>
                <c:pt idx="174">
                  <c:v>630957.34448019415</c:v>
                </c:pt>
                <c:pt idx="175">
                  <c:v>681292.06905796123</c:v>
                </c:pt>
                <c:pt idx="176">
                  <c:v>735642.25445964152</c:v>
                </c:pt>
                <c:pt idx="177">
                  <c:v>794328.23472428333</c:v>
                </c:pt>
                <c:pt idx="178">
                  <c:v>857695.89859089628</c:v>
                </c:pt>
                <c:pt idx="179">
                  <c:v>926118.72812879446</c:v>
                </c:pt>
                <c:pt idx="180">
                  <c:v>1000000</c:v>
                </c:pt>
                <c:pt idx="181">
                  <c:v>1079775.1623277115</c:v>
                </c:pt>
                <c:pt idx="182">
                  <c:v>1165914.4011798317</c:v>
                </c:pt>
                <c:pt idx="183">
                  <c:v>1258925.4117941677</c:v>
                </c:pt>
                <c:pt idx="184">
                  <c:v>1359356.3908785288</c:v>
                </c:pt>
                <c:pt idx="185">
                  <c:v>1467799.2676220734</c:v>
                </c:pt>
                <c:pt idx="186">
                  <c:v>1584893.1924611153</c:v>
                </c:pt>
                <c:pt idx="187">
                  <c:v>1711328.3041617833</c:v>
                </c:pt>
                <c:pt idx="188">
                  <c:v>1847849.797422294</c:v>
                </c:pt>
                <c:pt idx="189">
                  <c:v>1995262.31496888</c:v>
                </c:pt>
                <c:pt idx="190">
                  <c:v>2154434.6900318847</c:v>
                </c:pt>
                <c:pt idx="191">
                  <c:v>2326305.067153628</c:v>
                </c:pt>
                <c:pt idx="192">
                  <c:v>2511886.431509587</c:v>
                </c:pt>
                <c:pt idx="193">
                  <c:v>2712272.5793320318</c:v>
                </c:pt>
                <c:pt idx="194">
                  <c:v>2928644.5646252413</c:v>
                </c:pt>
                <c:pt idx="195">
                  <c:v>3162277.6601683851</c:v>
                </c:pt>
                <c:pt idx="196">
                  <c:v>3414548.8738336028</c:v>
                </c:pt>
                <c:pt idx="197">
                  <c:v>3686945.0645195777</c:v>
                </c:pt>
                <c:pt idx="198">
                  <c:v>3981071.705534976</c:v>
                </c:pt>
                <c:pt idx="199">
                  <c:v>4298662.3470822899</c:v>
                </c:pt>
                <c:pt idx="200">
                  <c:v>4641588.8336127857</c:v>
                </c:pt>
                <c:pt idx="201">
                  <c:v>5011872.3362727314</c:v>
                </c:pt>
                <c:pt idx="202">
                  <c:v>5411695.2654646477</c:v>
                </c:pt>
                <c:pt idx="203">
                  <c:v>5843414.133735179</c:v>
                </c:pt>
                <c:pt idx="204">
                  <c:v>6309573.4448019378</c:v>
                </c:pt>
                <c:pt idx="205">
                  <c:v>6812920.6905796202</c:v>
                </c:pt>
                <c:pt idx="206">
                  <c:v>7356422.5445964225</c:v>
                </c:pt>
                <c:pt idx="207">
                  <c:v>7943282.3472428275</c:v>
                </c:pt>
                <c:pt idx="208">
                  <c:v>8576958.9859089572</c:v>
                </c:pt>
                <c:pt idx="209">
                  <c:v>9261187.2812879551</c:v>
                </c:pt>
                <c:pt idx="210">
                  <c:v>10000000</c:v>
                </c:pt>
              </c:numCache>
            </c:numRef>
          </c:xVal>
          <c:yVal>
            <c:numRef>
              <c:f>'Small Signal'!$Q$2:$Q$212</c:f>
              <c:numCache>
                <c:formatCode>General</c:formatCode>
                <c:ptCount val="211"/>
                <c:pt idx="0">
                  <c:v>176.8966032488683</c:v>
                </c:pt>
                <c:pt idx="1">
                  <c:v>176.64957542215674</c:v>
                </c:pt>
                <c:pt idx="2">
                  <c:v>176.3829818875445</c:v>
                </c:pt>
                <c:pt idx="3">
                  <c:v>176.09529808698031</c:v>
                </c:pt>
                <c:pt idx="4">
                  <c:v>175.78488714496058</c:v>
                </c:pt>
                <c:pt idx="5">
                  <c:v>175.44999327374822</c:v>
                </c:pt>
                <c:pt idx="6">
                  <c:v>175.08873524473719</c:v>
                </c:pt>
                <c:pt idx="7">
                  <c:v>174.6991000753288</c:v>
                </c:pt>
                <c:pt idx="8">
                  <c:v>174.27893712571409</c:v>
                </c:pt>
                <c:pt idx="9">
                  <c:v>173.82595285528473</c:v>
                </c:pt>
                <c:pt idx="10">
                  <c:v>173.33770655576421</c:v>
                </c:pt>
                <c:pt idx="11">
                  <c:v>172.81160745936768</c:v>
                </c:pt>
                <c:pt idx="12">
                  <c:v>172.24491371703556</c:v>
                </c:pt>
                <c:pt idx="13">
                  <c:v>171.63473385539896</c:v>
                </c:pt>
                <c:pt idx="14">
                  <c:v>170.97803145225274</c:v>
                </c:pt>
                <c:pt idx="15">
                  <c:v>170.27163391829404</c:v>
                </c:pt>
                <c:pt idx="16">
                  <c:v>169.51224643510838</c:v>
                </c:pt>
                <c:pt idx="17">
                  <c:v>168.69647227012314</c:v>
                </c:pt>
                <c:pt idx="18">
                  <c:v>167.82084085845028</c:v>
                </c:pt>
                <c:pt idx="19">
                  <c:v>166.88184519309186</c:v>
                </c:pt>
                <c:pt idx="20">
                  <c:v>165.87599017496802</c:v>
                </c:pt>
                <c:pt idx="21">
                  <c:v>164.79985360902393</c:v>
                </c:pt>
                <c:pt idx="22">
                  <c:v>163.65016144759642</c:v>
                </c:pt>
                <c:pt idx="23">
                  <c:v>162.42387862117607</c:v>
                </c:pt>
                <c:pt idx="24">
                  <c:v>161.11831629415701</c:v>
                </c:pt>
                <c:pt idx="25">
                  <c:v>159.73125556943967</c:v>
                </c:pt>
                <c:pt idx="26">
                  <c:v>158.26108647773532</c:v>
                </c:pt>
                <c:pt idx="27">
                  <c:v>156.70695948539188</c:v>
                </c:pt>
                <c:pt idx="28">
                  <c:v>155.06894474612926</c:v>
                </c:pt>
                <c:pt idx="29">
                  <c:v>153.34819199102026</c:v>
                </c:pt>
                <c:pt idx="30">
                  <c:v>151.5470814860378</c:v>
                </c:pt>
                <c:pt idx="31">
                  <c:v>149.66935420025348</c:v>
                </c:pt>
                <c:pt idx="32">
                  <c:v>147.7202076531315</c:v>
                </c:pt>
                <c:pt idx="33">
                  <c:v>145.70634335755534</c:v>
                </c:pt>
                <c:pt idx="34">
                  <c:v>143.63595284711459</c:v>
                </c:pt>
                <c:pt idx="35">
                  <c:v>141.51863233003925</c:v>
                </c:pt>
                <c:pt idx="36">
                  <c:v>139.36522111288355</c:v>
                </c:pt>
                <c:pt idx="37">
                  <c:v>137.18756573330168</c:v>
                </c:pt>
                <c:pt idx="38">
                  <c:v>134.998219427994</c:v>
                </c:pt>
                <c:pt idx="39">
                  <c:v>132.81009397369672</c:v>
                </c:pt>
                <c:pt idx="40">
                  <c:v>130.63608677912666</c:v>
                </c:pt>
                <c:pt idx="41">
                  <c:v>128.4887092598814</c:v>
                </c:pt>
                <c:pt idx="42">
                  <c:v>126.37974236582468</c:v>
                </c:pt>
                <c:pt idx="43">
                  <c:v>124.31994168440046</c:v>
                </c:pt>
                <c:pt idx="44">
                  <c:v>122.31880850066683</c:v>
                </c:pt>
                <c:pt idx="45">
                  <c:v>120.38443570111302</c:v>
                </c:pt>
                <c:pt idx="46">
                  <c:v>118.5234297607463</c:v>
                </c:pt>
                <c:pt idx="47">
                  <c:v>116.74090339049054</c:v>
                </c:pt>
                <c:pt idx="48">
                  <c:v>115.04052850829882</c:v>
                </c:pt>
                <c:pt idx="49">
                  <c:v>113.42463634085453</c:v>
                </c:pt>
                <c:pt idx="50">
                  <c:v>111.89435056440139</c:v>
                </c:pt>
                <c:pt idx="51">
                  <c:v>110.44974007472452</c:v>
                </c:pt>
                <c:pt idx="52">
                  <c:v>109.08997973069295</c:v>
                </c:pt>
                <c:pt idx="53">
                  <c:v>107.81350973616192</c:v>
                </c:pt>
                <c:pt idx="54">
                  <c:v>106.61818678898493</c:v>
                </c:pt>
                <c:pt idx="55">
                  <c:v>105.50142243273916</c:v>
                </c:pt>
                <c:pt idx="56">
                  <c:v>104.46030601890088</c:v>
                </c:pt>
                <c:pt idx="57">
                  <c:v>103.4917112493889</c:v>
                </c:pt>
                <c:pt idx="58">
                  <c:v>102.59238641969563</c:v>
                </c:pt>
                <c:pt idx="59">
                  <c:v>101.759029264082</c:v>
                </c:pt>
                <c:pt idx="60">
                  <c:v>100.98834778089534</c:v>
                </c:pt>
                <c:pt idx="61">
                  <c:v>100.27710865757309</c:v>
                </c:pt>
                <c:pt idx="62">
                  <c:v>99.622174986105406</c:v>
                </c:pt>
                <c:pt idx="63">
                  <c:v>99.020534915653656</c:v>
                </c:pt>
                <c:pt idx="64">
                  <c:v>98.469322773197632</c:v>
                </c:pt>
                <c:pt idx="65">
                  <c:v>97.965834028081986</c:v>
                </c:pt>
                <c:pt idx="66">
                  <c:v>97.507535305167067</c:v>
                </c:pt>
                <c:pt idx="67">
                  <c:v>97.092070479316163</c:v>
                </c:pt>
                <c:pt idx="68">
                  <c:v>96.717263720627344</c:v>
                </c:pt>
                <c:pt idx="69">
                  <c:v>96.381120210359882</c:v>
                </c:pt>
                <c:pt idx="70">
                  <c:v>96.081825114124953</c:v>
                </c:pt>
                <c:pt idx="71">
                  <c:v>95.817741281851937</c:v>
                </c:pt>
                <c:pt idx="72">
                  <c:v>95.587406042297928</c:v>
                </c:pt>
                <c:pt idx="73">
                  <c:v>95.389527371678298</c:v>
                </c:pt>
                <c:pt idx="74">
                  <c:v>95.22297963922631</c:v>
                </c:pt>
                <c:pt idx="75">
                  <c:v>95.086799064797233</c:v>
                </c:pt>
                <c:pt idx="76">
                  <c:v>94.980178962649191</c:v>
                </c:pt>
                <c:pt idx="77">
                  <c:v>94.902464788878973</c:v>
                </c:pt>
                <c:pt idx="78">
                  <c:v>94.853148955345532</c:v>
                </c:pt>
                <c:pt idx="79">
                  <c:v>94.831865317980373</c:v>
                </c:pt>
                <c:pt idx="80">
                  <c:v>94.838383189923107</c:v>
                </c:pt>
                <c:pt idx="81">
                  <c:v>94.872600667735071</c:v>
                </c:pt>
                <c:pt idx="82">
                  <c:v>94.934536989911166</c:v>
                </c:pt>
                <c:pt idx="83">
                  <c:v>95.024323569063938</c:v>
                </c:pt>
                <c:pt idx="84">
                  <c:v>95.142193250800247</c:v>
                </c:pt>
                <c:pt idx="85">
                  <c:v>95.288467252254222</c:v>
                </c:pt>
                <c:pt idx="86">
                  <c:v>95.463539121132953</c:v>
                </c:pt>
                <c:pt idx="87">
                  <c:v>95.667854932964332</c:v>
                </c:pt>
                <c:pt idx="88">
                  <c:v>95.901888813095923</c:v>
                </c:pt>
                <c:pt idx="89">
                  <c:v>96.166112736967307</c:v>
                </c:pt>
                <c:pt idx="90">
                  <c:v>96.460959437714351</c:v>
                </c:pt>
                <c:pt idx="91">
                  <c:v>96.786777150508783</c:v>
                </c:pt>
                <c:pt idx="92">
                  <c:v>97.143774872075355</c:v>
                </c:pt>
                <c:pt idx="93">
                  <c:v>97.531956844783295</c:v>
                </c:pt>
                <c:pt idx="94">
                  <c:v>97.951045131548113</c:v>
                </c:pt>
                <c:pt idx="95">
                  <c:v>98.400389485511894</c:v>
                </c:pt>
                <c:pt idx="96">
                  <c:v>98.878864301422993</c:v>
                </c:pt>
                <c:pt idx="97">
                  <c:v>99.384753332286493</c:v>
                </c:pt>
                <c:pt idx="98">
                  <c:v>99.915624127597084</c:v>
                </c:pt>
                <c:pt idx="99">
                  <c:v>100.46819583800131</c:v>
                </c:pt>
                <c:pt idx="100">
                  <c:v>101.03820612853407</c:v>
                </c:pt>
                <c:pt idx="101">
                  <c:v>101.62028536527619</c:v>
                </c:pt>
                <c:pt idx="102">
                  <c:v>102.20784879721653</c:v>
                </c:pt>
                <c:pt idx="103">
                  <c:v>102.79301982357816</c:v>
                </c:pt>
                <c:pt idx="104">
                  <c:v>103.36659915944995</c:v>
                </c:pt>
                <c:pt idx="105">
                  <c:v>103.91809523008223</c:v>
                </c:pt>
                <c:pt idx="106">
                  <c:v>104.43582985726681</c:v>
                </c:pt>
                <c:pt idx="107">
                  <c:v>104.90712978131766</c:v>
                </c:pt>
                <c:pt idx="108">
                  <c:v>105.31860859373853</c:v>
                </c:pt>
                <c:pt idx="109">
                  <c:v>105.65653546774024</c:v>
                </c:pt>
                <c:pt idx="110">
                  <c:v>105.90727740467212</c:v>
                </c:pt>
                <c:pt idx="111">
                  <c:v>106.0577917765887</c:v>
                </c:pt>
                <c:pt idx="112">
                  <c:v>106.0961372491728</c:v>
                </c:pt>
                <c:pt idx="113">
                  <c:v>106.0119652353911</c:v>
                </c:pt>
                <c:pt idx="114">
                  <c:v>105.79695206452652</c:v>
                </c:pt>
                <c:pt idx="115">
                  <c:v>105.44513468111799</c:v>
                </c:pt>
                <c:pt idx="116">
                  <c:v>104.95311983149881</c:v>
                </c:pt>
                <c:pt idx="117">
                  <c:v>104.32014758223963</c:v>
                </c:pt>
                <c:pt idx="118">
                  <c:v>103.54800333046046</c:v>
                </c:pt>
                <c:pt idx="119">
                  <c:v>102.64078656123172</c:v>
                </c:pt>
                <c:pt idx="120">
                  <c:v>101.604557728202</c:v>
                </c:pt>
                <c:pt idx="121">
                  <c:v>100.44689515553</c:v>
                </c:pt>
                <c:pt idx="122">
                  <c:v>99.176400516291892</c:v>
                </c:pt>
                <c:pt idx="123">
                  <c:v>97.802193530896176</c:v>
                </c:pt>
                <c:pt idx="124">
                  <c:v>96.333434037789289</c:v>
                </c:pt>
                <c:pt idx="125">
                  <c:v>94.77890320345773</c:v>
                </c:pt>
                <c:pt idx="126">
                  <c:v>93.146666591775144</c:v>
                </c:pt>
                <c:pt idx="127">
                  <c:v>91.443831606937408</c:v>
                </c:pt>
                <c:pt idx="128">
                  <c:v>89.676401909828982</c:v>
                </c:pt>
                <c:pt idx="129">
                  <c:v>87.849222907722549</c:v>
                </c:pt>
                <c:pt idx="130">
                  <c:v>85.966005975409018</c:v>
                </c:pt>
                <c:pt idx="131">
                  <c:v>84.029414839652219</c:v>
                </c:pt>
                <c:pt idx="132">
                  <c:v>82.041195332389321</c:v>
                </c:pt>
                <c:pt idx="133">
                  <c:v>80.002329079544097</c:v>
                </c:pt>
                <c:pt idx="134">
                  <c:v>77.913192216630208</c:v>
                </c:pt>
                <c:pt idx="135">
                  <c:v>75.77370161381883</c:v>
                </c:pt>
                <c:pt idx="136">
                  <c:v>73.583433260723424</c:v>
                </c:pt>
                <c:pt idx="137">
                  <c:v>71.341700515439953</c:v>
                </c:pt>
                <c:pt idx="138">
                  <c:v>69.047584095154448</c:v>
                </c:pt>
                <c:pt idx="139">
                  <c:v>66.699911183451775</c:v>
                </c:pt>
                <c:pt idx="140">
                  <c:v>64.297187848685866</c:v>
                </c:pt>
                <c:pt idx="141">
                  <c:v>61.837496719006651</c:v>
                </c:pt>
                <c:pt idx="142">
                  <c:v>59.318379667607644</c:v>
                </c:pt>
                <c:pt idx="143">
                  <c:v>56.736731808690088</c:v>
                </c:pt>
                <c:pt idx="144">
                  <c:v>54.088736856341363</c:v>
                </c:pt>
                <c:pt idx="145">
                  <c:v>51.36987348977636</c:v>
                </c:pt>
                <c:pt idx="146">
                  <c:v>48.575017046457752</c:v>
                </c:pt>
                <c:pt idx="147">
                  <c:v>45.698650834649065</c:v>
                </c:pt>
                <c:pt idx="148">
                  <c:v>42.735187877945819</c:v>
                </c:pt>
                <c:pt idx="149">
                  <c:v>39.679389065980587</c:v>
                </c:pt>
                <c:pt idx="150">
                  <c:v>36.52684992165338</c:v>
                </c:pt>
                <c:pt idx="151">
                  <c:v>33.274517700956551</c:v>
                </c:pt>
                <c:pt idx="152">
                  <c:v>29.921194795440069</c:v>
                </c:pt>
                <c:pt idx="153">
                  <c:v>26.467983944501235</c:v>
                </c:pt>
                <c:pt idx="154">
                  <c:v>22.91863522630149</c:v>
                </c:pt>
                <c:pt idx="155">
                  <c:v>19.279763176433445</c:v>
                </c:pt>
                <c:pt idx="156">
                  <c:v>15.560913342679662</c:v>
                </c:pt>
                <c:pt idx="157">
                  <c:v>11.774469720579784</c:v>
                </c:pt>
                <c:pt idx="158">
                  <c:v>7.935406551254137</c:v>
                </c:pt>
                <c:pt idx="159">
                  <c:v>4.0608988584017069</c:v>
                </c:pt>
                <c:pt idx="160">
                  <c:v>0.1698151088392218</c:v>
                </c:pt>
                <c:pt idx="161">
                  <c:v>-3.7178779320809658</c:v>
                </c:pt>
                <c:pt idx="162">
                  <c:v>-7.5817638569010137</c:v>
                </c:pt>
                <c:pt idx="163">
                  <c:v>-11.401642666657349</c:v>
                </c:pt>
                <c:pt idx="164">
                  <c:v>-15.158178490524762</c:v>
                </c:pt>
                <c:pt idx="165">
                  <c:v>-18.833495643266822</c:v>
                </c:pt>
                <c:pt idx="166">
                  <c:v>-22.411693852592521</c:v>
                </c:pt>
                <c:pt idx="167">
                  <c:v>-25.879259134256376</c:v>
                </c:pt>
                <c:pt idx="168">
                  <c:v>-29.225353529343199</c:v>
                </c:pt>
                <c:pt idx="169">
                  <c:v>-32.441974245843184</c:v>
                </c:pt>
                <c:pt idx="170">
                  <c:v>-35.523980129392179</c:v>
                </c:pt>
                <c:pt idx="171">
                  <c:v>-38.468990373778155</c:v>
                </c:pt>
                <c:pt idx="172">
                  <c:v>-41.277166704521555</c:v>
                </c:pt>
                <c:pt idx="173">
                  <c:v>-43.950895865132168</c:v>
                </c:pt>
                <c:pt idx="174">
                  <c:v>-46.494394149048297</c:v>
                </c:pt>
                <c:pt idx="175">
                  <c:v>-48.913259928471504</c:v>
                </c:pt>
                <c:pt idx="176">
                  <c:v>-51.214003380297179</c:v>
                </c:pt>
                <c:pt idx="177">
                  <c:v>-53.403584353577095</c:v>
                </c:pt>
                <c:pt idx="178">
                  <c:v>-55.488988834764129</c:v>
                </c:pt>
                <c:pt idx="179">
                  <c:v>-57.476871106872395</c:v>
                </c:pt>
                <c:pt idx="180">
                  <c:v>-59.373282252025206</c:v>
                </c:pt>
                <c:pt idx="181">
                  <c:v>-61.18349657883369</c:v>
                </c:pt>
                <c:pt idx="182">
                  <c:v>-62.911937048213325</c:v>
                </c:pt>
                <c:pt idx="183">
                  <c:v>-64.562190486612124</c:v>
                </c:pt>
                <c:pt idx="184">
                  <c:v>-66.137095022344724</c:v>
                </c:pt>
                <c:pt idx="185">
                  <c:v>-67.63887703871886</c:v>
                </c:pt>
                <c:pt idx="186">
                  <c:v>-69.069313531354908</c:v>
                </c:pt>
                <c:pt idx="187">
                  <c:v>-70.429897786337804</c:v>
                </c:pt>
                <c:pt idx="188">
                  <c:v>-71.72199082102621</c:v>
                </c:pt>
                <c:pt idx="189">
                  <c:v>-72.946946809213557</c:v>
                </c:pt>
                <c:pt idx="190">
                  <c:v>-74.106206553247588</c:v>
                </c:pt>
                <c:pt idx="191">
                  <c:v>-75.201358073122989</c:v>
                </c:pt>
                <c:pt idx="192">
                  <c:v>-76.234167065443543</c:v>
                </c:pt>
                <c:pt idx="193">
                  <c:v>-77.206582231337492</c:v>
                </c:pt>
                <c:pt idx="194">
                  <c:v>-78.12072144392026</c:v>
                </c:pt>
                <c:pt idx="195">
                  <c:v>-78.978844731470176</c:v>
                </c:pt>
                <c:pt idx="196">
                  <c:v>-79.783319437398191</c:v>
                </c:pt>
                <c:pt idx="197">
                  <c:v>-80.536581989926034</c:v>
                </c:pt>
                <c:pt idx="198">
                  <c:v>-81.241099706507299</c:v>
                </c:pt>
                <c:pt idx="199">
                  <c:v>-81.89933512133851</c:v>
                </c:pt>
                <c:pt idx="200">
                  <c:v>-82.513714536435003</c:v>
                </c:pt>
                <c:pt idx="201">
                  <c:v>-83.086601878647258</c:v>
                </c:pt>
                <c:pt idx="202">
                  <c:v>-83.620278478740346</c:v>
                </c:pt>
                <c:pt idx="203">
                  <c:v>-84.116929033705631</c:v>
                </c:pt>
                <c:pt idx="204">
                  <c:v>-84.578633720725321</c:v>
                </c:pt>
                <c:pt idx="205">
                  <c:v>-85.007366155537923</c:v>
                </c:pt>
                <c:pt idx="206">
                  <c:v>-85.404996599425431</c:v>
                </c:pt>
                <c:pt idx="207">
                  <c:v>-85.773299512063332</c:v>
                </c:pt>
                <c:pt idx="208">
                  <c:v>-86.113964245480304</c:v>
                </c:pt>
                <c:pt idx="209">
                  <c:v>-86.428607427131951</c:v>
                </c:pt>
                <c:pt idx="210">
                  <c:v>-86.718785451571989</c:v>
                </c:pt>
              </c:numCache>
            </c:numRef>
          </c:yVal>
          <c:smooth val="1"/>
        </c:ser>
        <c:ser>
          <c:idx val="3"/>
          <c:order val="3"/>
          <c:tx>
            <c:v>Power Stage Phase</c:v>
          </c:tx>
          <c:spPr>
            <a:ln w="25400">
              <a:solidFill>
                <a:srgbClr val="000080"/>
              </a:solidFill>
              <a:prstDash val="sysDash"/>
            </a:ln>
          </c:spPr>
          <c:marker>
            <c:symbol val="none"/>
          </c:marker>
          <c:xVal>
            <c:numRef>
              <c:f>'Small Signal'!$L$2:$L$212</c:f>
              <c:numCache>
                <c:formatCode>General</c:formatCode>
                <c:ptCount val="211"/>
                <c:pt idx="0">
                  <c:v>1</c:v>
                </c:pt>
                <c:pt idx="1">
                  <c:v>1.0797751623277096</c:v>
                </c:pt>
                <c:pt idx="2">
                  <c:v>1.1659144011798317</c:v>
                </c:pt>
                <c:pt idx="3">
                  <c:v>1.2589254117941673</c:v>
                </c:pt>
                <c:pt idx="4">
                  <c:v>1.3593563908785258</c:v>
                </c:pt>
                <c:pt idx="5">
                  <c:v>1.4677992676220697</c:v>
                </c:pt>
                <c:pt idx="6">
                  <c:v>1.5848931924611136</c:v>
                </c:pt>
                <c:pt idx="7">
                  <c:v>1.7113283041617808</c:v>
                </c:pt>
                <c:pt idx="8">
                  <c:v>1.8478497974222912</c:v>
                </c:pt>
                <c:pt idx="9">
                  <c:v>1.9952623149688797</c:v>
                </c:pt>
                <c:pt idx="10">
                  <c:v>2.1544346900318838</c:v>
                </c:pt>
                <c:pt idx="11">
                  <c:v>2.3263050671536263</c:v>
                </c:pt>
                <c:pt idx="12">
                  <c:v>2.5118864315095806</c:v>
                </c:pt>
                <c:pt idx="13">
                  <c:v>2.7122725793320286</c:v>
                </c:pt>
                <c:pt idx="14">
                  <c:v>2.9286445646252366</c:v>
                </c:pt>
                <c:pt idx="15">
                  <c:v>3.1622776601683795</c:v>
                </c:pt>
                <c:pt idx="16">
                  <c:v>3.4145488738336023</c:v>
                </c:pt>
                <c:pt idx="17">
                  <c:v>3.6869450645195756</c:v>
                </c:pt>
                <c:pt idx="18">
                  <c:v>3.9810717055349727</c:v>
                </c:pt>
                <c:pt idx="19">
                  <c:v>4.2986623470822769</c:v>
                </c:pt>
                <c:pt idx="20">
                  <c:v>4.6415888336127793</c:v>
                </c:pt>
                <c:pt idx="21">
                  <c:v>5.0118723362727229</c:v>
                </c:pt>
                <c:pt idx="22">
                  <c:v>5.4116952654646369</c:v>
                </c:pt>
                <c:pt idx="23">
                  <c:v>5.8434141337351777</c:v>
                </c:pt>
                <c:pt idx="24">
                  <c:v>6.3095734448019343</c:v>
                </c:pt>
                <c:pt idx="25">
                  <c:v>6.812920690579614</c:v>
                </c:pt>
                <c:pt idx="26">
                  <c:v>7.3564225445964153</c:v>
                </c:pt>
                <c:pt idx="27">
                  <c:v>7.9432823472428176</c:v>
                </c:pt>
                <c:pt idx="28">
                  <c:v>8.5769589859089415</c:v>
                </c:pt>
                <c:pt idx="29">
                  <c:v>9.2611872812879383</c:v>
                </c:pt>
                <c:pt idx="30">
                  <c:v>10</c:v>
                </c:pt>
                <c:pt idx="31">
                  <c:v>10.797751623277103</c:v>
                </c:pt>
                <c:pt idx="32">
                  <c:v>11.659144011798322</c:v>
                </c:pt>
                <c:pt idx="33">
                  <c:v>12.58925411794168</c:v>
                </c:pt>
                <c:pt idx="34">
                  <c:v>13.593563908785256</c:v>
                </c:pt>
                <c:pt idx="35">
                  <c:v>14.677992676220699</c:v>
                </c:pt>
                <c:pt idx="36">
                  <c:v>15.848931924611136</c:v>
                </c:pt>
                <c:pt idx="37">
                  <c:v>17.113283041617812</c:v>
                </c:pt>
                <c:pt idx="38">
                  <c:v>18.478497974222911</c:v>
                </c:pt>
                <c:pt idx="39">
                  <c:v>19.952623149688804</c:v>
                </c:pt>
                <c:pt idx="40">
                  <c:v>21.544346900318843</c:v>
                </c:pt>
                <c:pt idx="41">
                  <c:v>23.263050671536273</c:v>
                </c:pt>
                <c:pt idx="42">
                  <c:v>25.118864315095799</c:v>
                </c:pt>
                <c:pt idx="43">
                  <c:v>27.122725793320289</c:v>
                </c:pt>
                <c:pt idx="44">
                  <c:v>29.286445646252368</c:v>
                </c:pt>
                <c:pt idx="45">
                  <c:v>31.622776601683803</c:v>
                </c:pt>
                <c:pt idx="46">
                  <c:v>34.145488738336034</c:v>
                </c:pt>
                <c:pt idx="47">
                  <c:v>36.869450645195769</c:v>
                </c:pt>
                <c:pt idx="48">
                  <c:v>39.810717055349755</c:v>
                </c:pt>
                <c:pt idx="49">
                  <c:v>42.986623470822771</c:v>
                </c:pt>
                <c:pt idx="50">
                  <c:v>46.415888336127807</c:v>
                </c:pt>
                <c:pt idx="51">
                  <c:v>50.118723362727238</c:v>
                </c:pt>
                <c:pt idx="52">
                  <c:v>54.11695265464639</c:v>
                </c:pt>
                <c:pt idx="53">
                  <c:v>58.434141337351775</c:v>
                </c:pt>
                <c:pt idx="54">
                  <c:v>63.095734448019364</c:v>
                </c:pt>
                <c:pt idx="55">
                  <c:v>68.129206905796124</c:v>
                </c:pt>
                <c:pt idx="56">
                  <c:v>73.564225445964155</c:v>
                </c:pt>
                <c:pt idx="57">
                  <c:v>79.432823472428197</c:v>
                </c:pt>
                <c:pt idx="58">
                  <c:v>85.769589859089479</c:v>
                </c:pt>
                <c:pt idx="59">
                  <c:v>92.611872812879369</c:v>
                </c:pt>
                <c:pt idx="60">
                  <c:v>100</c:v>
                </c:pt>
                <c:pt idx="61">
                  <c:v>107.97751623277095</c:v>
                </c:pt>
                <c:pt idx="62">
                  <c:v>116.59144011798328</c:v>
                </c:pt>
                <c:pt idx="63">
                  <c:v>125.89254117941677</c:v>
                </c:pt>
                <c:pt idx="64">
                  <c:v>135.93563908785265</c:v>
                </c:pt>
                <c:pt idx="65">
                  <c:v>146.77992676220697</c:v>
                </c:pt>
                <c:pt idx="66">
                  <c:v>158.48931924611153</c:v>
                </c:pt>
                <c:pt idx="67">
                  <c:v>171.13283041617817</c:v>
                </c:pt>
                <c:pt idx="68">
                  <c:v>184.7849797422291</c:v>
                </c:pt>
                <c:pt idx="69">
                  <c:v>199.52623149688802</c:v>
                </c:pt>
                <c:pt idx="70">
                  <c:v>215.44346900318848</c:v>
                </c:pt>
                <c:pt idx="71">
                  <c:v>232.6305067153628</c:v>
                </c:pt>
                <c:pt idx="72">
                  <c:v>251.18864315095806</c:v>
                </c:pt>
                <c:pt idx="73">
                  <c:v>271.22725793320296</c:v>
                </c:pt>
                <c:pt idx="74">
                  <c:v>292.86445646252383</c:v>
                </c:pt>
                <c:pt idx="75">
                  <c:v>316.22776601683825</c:v>
                </c:pt>
                <c:pt idx="76">
                  <c:v>341.4548873833603</c:v>
                </c:pt>
                <c:pt idx="77">
                  <c:v>368.69450645195781</c:v>
                </c:pt>
                <c:pt idx="78">
                  <c:v>398.10717055349761</c:v>
                </c:pt>
                <c:pt idx="79">
                  <c:v>429.86623470822781</c:v>
                </c:pt>
                <c:pt idx="80">
                  <c:v>464.15888336127819</c:v>
                </c:pt>
                <c:pt idx="81">
                  <c:v>501.18723362727269</c:v>
                </c:pt>
                <c:pt idx="82">
                  <c:v>541.16952654646434</c:v>
                </c:pt>
                <c:pt idx="83">
                  <c:v>584.34141337351787</c:v>
                </c:pt>
                <c:pt idx="84">
                  <c:v>630.95734448019323</c:v>
                </c:pt>
                <c:pt idx="85">
                  <c:v>681.29206905796195</c:v>
                </c:pt>
                <c:pt idx="86">
                  <c:v>735.64225445964166</c:v>
                </c:pt>
                <c:pt idx="87">
                  <c:v>794.32823472428208</c:v>
                </c:pt>
                <c:pt idx="88">
                  <c:v>857.69589859089422</c:v>
                </c:pt>
                <c:pt idx="89">
                  <c:v>926.11872812879471</c:v>
                </c:pt>
                <c:pt idx="90">
                  <c:v>1000</c:v>
                </c:pt>
                <c:pt idx="91">
                  <c:v>1079.7751623277097</c:v>
                </c:pt>
                <c:pt idx="92">
                  <c:v>1165.914401179833</c:v>
                </c:pt>
                <c:pt idx="93">
                  <c:v>1258.925411794168</c:v>
                </c:pt>
                <c:pt idx="94">
                  <c:v>1359.3563908785268</c:v>
                </c:pt>
                <c:pt idx="95">
                  <c:v>1467.7992676220699</c:v>
                </c:pt>
                <c:pt idx="96">
                  <c:v>1584.8931924611156</c:v>
                </c:pt>
                <c:pt idx="97">
                  <c:v>1711.3283041617822</c:v>
                </c:pt>
                <c:pt idx="98">
                  <c:v>1847.8497974222912</c:v>
                </c:pt>
                <c:pt idx="99">
                  <c:v>1995.2623149688804</c:v>
                </c:pt>
                <c:pt idx="100">
                  <c:v>2154.4346900318851</c:v>
                </c:pt>
                <c:pt idx="101">
                  <c:v>2326.3050671536284</c:v>
                </c:pt>
                <c:pt idx="102">
                  <c:v>2511.8864315095811</c:v>
                </c:pt>
                <c:pt idx="103">
                  <c:v>2712.2725793320301</c:v>
                </c:pt>
                <c:pt idx="104">
                  <c:v>2928.6445646252391</c:v>
                </c:pt>
                <c:pt idx="105">
                  <c:v>3162.2776601683804</c:v>
                </c:pt>
                <c:pt idx="106">
                  <c:v>3414.5488738336035</c:v>
                </c:pt>
                <c:pt idx="107">
                  <c:v>3686.9450645195784</c:v>
                </c:pt>
                <c:pt idx="108">
                  <c:v>3981.0717055349769</c:v>
                </c:pt>
                <c:pt idx="109">
                  <c:v>4298.6623470822833</c:v>
                </c:pt>
                <c:pt idx="110">
                  <c:v>4641.5888336127782</c:v>
                </c:pt>
                <c:pt idx="111">
                  <c:v>5011.8723362727324</c:v>
                </c:pt>
                <c:pt idx="112">
                  <c:v>5411.6952654646393</c:v>
                </c:pt>
                <c:pt idx="113">
                  <c:v>5843.4141337351803</c:v>
                </c:pt>
                <c:pt idx="114">
                  <c:v>6309.5734448019384</c:v>
                </c:pt>
                <c:pt idx="115">
                  <c:v>6812.9206905796218</c:v>
                </c:pt>
                <c:pt idx="116">
                  <c:v>7356.4225445964248</c:v>
                </c:pt>
                <c:pt idx="117">
                  <c:v>7943.2823472428154</c:v>
                </c:pt>
                <c:pt idx="118">
                  <c:v>8576.9589859089447</c:v>
                </c:pt>
                <c:pt idx="119">
                  <c:v>9261.187281287941</c:v>
                </c:pt>
                <c:pt idx="120">
                  <c:v>10000</c:v>
                </c:pt>
                <c:pt idx="121">
                  <c:v>10797.751623277109</c:v>
                </c:pt>
                <c:pt idx="122">
                  <c:v>11659.144011798313</c:v>
                </c:pt>
                <c:pt idx="123">
                  <c:v>12589.254117941671</c:v>
                </c:pt>
                <c:pt idx="124">
                  <c:v>13593.563908785283</c:v>
                </c:pt>
                <c:pt idx="125">
                  <c:v>14677.992676220729</c:v>
                </c:pt>
                <c:pt idx="126">
                  <c:v>15848.931924611146</c:v>
                </c:pt>
                <c:pt idx="127">
                  <c:v>17113.283041617826</c:v>
                </c:pt>
                <c:pt idx="128">
                  <c:v>18478.497974222933</c:v>
                </c:pt>
                <c:pt idx="129">
                  <c:v>19952.623149688792</c:v>
                </c:pt>
                <c:pt idx="130">
                  <c:v>21544.346900318837</c:v>
                </c:pt>
                <c:pt idx="131">
                  <c:v>23263.050671536268</c:v>
                </c:pt>
                <c:pt idx="132">
                  <c:v>25118.86431509586</c:v>
                </c:pt>
                <c:pt idx="133">
                  <c:v>27122.725793320307</c:v>
                </c:pt>
                <c:pt idx="134">
                  <c:v>29286.445646252399</c:v>
                </c:pt>
                <c:pt idx="135">
                  <c:v>31622.77660168384</c:v>
                </c:pt>
                <c:pt idx="136">
                  <c:v>34145.488738336011</c:v>
                </c:pt>
                <c:pt idx="137">
                  <c:v>36869.450645195764</c:v>
                </c:pt>
                <c:pt idx="138">
                  <c:v>39810.717055349742</c:v>
                </c:pt>
                <c:pt idx="139">
                  <c:v>42986.62347082288</c:v>
                </c:pt>
                <c:pt idx="140">
                  <c:v>46415.888336127835</c:v>
                </c:pt>
                <c:pt idx="141">
                  <c:v>50118.723362727294</c:v>
                </c:pt>
                <c:pt idx="142">
                  <c:v>54116.952654646455</c:v>
                </c:pt>
                <c:pt idx="143">
                  <c:v>58434.141337351764</c:v>
                </c:pt>
                <c:pt idx="144">
                  <c:v>63095.734448019342</c:v>
                </c:pt>
                <c:pt idx="145">
                  <c:v>68129.206905796163</c:v>
                </c:pt>
                <c:pt idx="146">
                  <c:v>73564.225445964199</c:v>
                </c:pt>
                <c:pt idx="147">
                  <c:v>79432.823472428237</c:v>
                </c:pt>
                <c:pt idx="148">
                  <c:v>85769.589859089538</c:v>
                </c:pt>
                <c:pt idx="149">
                  <c:v>92611.872812879505</c:v>
                </c:pt>
                <c:pt idx="150">
                  <c:v>100000</c:v>
                </c:pt>
                <c:pt idx="151">
                  <c:v>107977.51623277101</c:v>
                </c:pt>
                <c:pt idx="152">
                  <c:v>116591.44011798326</c:v>
                </c:pt>
                <c:pt idx="153">
                  <c:v>125892.54117941685</c:v>
                </c:pt>
                <c:pt idx="154">
                  <c:v>135935.63908785273</c:v>
                </c:pt>
                <c:pt idx="155">
                  <c:v>146779.92676220718</c:v>
                </c:pt>
                <c:pt idx="156">
                  <c:v>158489.31924611164</c:v>
                </c:pt>
                <c:pt idx="157">
                  <c:v>171132.83041617845</c:v>
                </c:pt>
                <c:pt idx="158">
                  <c:v>184784.97974222922</c:v>
                </c:pt>
                <c:pt idx="159">
                  <c:v>199526.23149688813</c:v>
                </c:pt>
                <c:pt idx="160">
                  <c:v>215443.46900318863</c:v>
                </c:pt>
                <c:pt idx="161">
                  <c:v>232630.50671536254</c:v>
                </c:pt>
                <c:pt idx="162">
                  <c:v>251188.64315095844</c:v>
                </c:pt>
                <c:pt idx="163">
                  <c:v>271227.25793320336</c:v>
                </c:pt>
                <c:pt idx="164">
                  <c:v>292864.45646252431</c:v>
                </c:pt>
                <c:pt idx="165">
                  <c:v>316227.7660168382</c:v>
                </c:pt>
                <c:pt idx="166">
                  <c:v>341454.88738336053</c:v>
                </c:pt>
                <c:pt idx="167">
                  <c:v>368694.50645195803</c:v>
                </c:pt>
                <c:pt idx="168">
                  <c:v>398107.17055349716</c:v>
                </c:pt>
                <c:pt idx="169">
                  <c:v>429866.2347082285</c:v>
                </c:pt>
                <c:pt idx="170">
                  <c:v>464158.88336127886</c:v>
                </c:pt>
                <c:pt idx="171">
                  <c:v>501187.23362727347</c:v>
                </c:pt>
                <c:pt idx="172">
                  <c:v>541169.52654646419</c:v>
                </c:pt>
                <c:pt idx="173">
                  <c:v>584341.41337351827</c:v>
                </c:pt>
                <c:pt idx="174">
                  <c:v>630957.34448019415</c:v>
                </c:pt>
                <c:pt idx="175">
                  <c:v>681292.06905796123</c:v>
                </c:pt>
                <c:pt idx="176">
                  <c:v>735642.25445964152</c:v>
                </c:pt>
                <c:pt idx="177">
                  <c:v>794328.23472428333</c:v>
                </c:pt>
                <c:pt idx="178">
                  <c:v>857695.89859089628</c:v>
                </c:pt>
                <c:pt idx="179">
                  <c:v>926118.72812879446</c:v>
                </c:pt>
                <c:pt idx="180">
                  <c:v>1000000</c:v>
                </c:pt>
                <c:pt idx="181">
                  <c:v>1079775.1623277115</c:v>
                </c:pt>
                <c:pt idx="182">
                  <c:v>1165914.4011798317</c:v>
                </c:pt>
                <c:pt idx="183">
                  <c:v>1258925.4117941677</c:v>
                </c:pt>
                <c:pt idx="184">
                  <c:v>1359356.3908785288</c:v>
                </c:pt>
                <c:pt idx="185">
                  <c:v>1467799.2676220734</c:v>
                </c:pt>
                <c:pt idx="186">
                  <c:v>1584893.1924611153</c:v>
                </c:pt>
                <c:pt idx="187">
                  <c:v>1711328.3041617833</c:v>
                </c:pt>
                <c:pt idx="188">
                  <c:v>1847849.797422294</c:v>
                </c:pt>
                <c:pt idx="189">
                  <c:v>1995262.31496888</c:v>
                </c:pt>
                <c:pt idx="190">
                  <c:v>2154434.6900318847</c:v>
                </c:pt>
                <c:pt idx="191">
                  <c:v>2326305.067153628</c:v>
                </c:pt>
                <c:pt idx="192">
                  <c:v>2511886.431509587</c:v>
                </c:pt>
                <c:pt idx="193">
                  <c:v>2712272.5793320318</c:v>
                </c:pt>
                <c:pt idx="194">
                  <c:v>2928644.5646252413</c:v>
                </c:pt>
                <c:pt idx="195">
                  <c:v>3162277.6601683851</c:v>
                </c:pt>
                <c:pt idx="196">
                  <c:v>3414548.8738336028</c:v>
                </c:pt>
                <c:pt idx="197">
                  <c:v>3686945.0645195777</c:v>
                </c:pt>
                <c:pt idx="198">
                  <c:v>3981071.705534976</c:v>
                </c:pt>
                <c:pt idx="199">
                  <c:v>4298662.3470822899</c:v>
                </c:pt>
                <c:pt idx="200">
                  <c:v>4641588.8336127857</c:v>
                </c:pt>
                <c:pt idx="201">
                  <c:v>5011872.3362727314</c:v>
                </c:pt>
                <c:pt idx="202">
                  <c:v>5411695.2654646477</c:v>
                </c:pt>
                <c:pt idx="203">
                  <c:v>5843414.133735179</c:v>
                </c:pt>
                <c:pt idx="204">
                  <c:v>6309573.4448019378</c:v>
                </c:pt>
                <c:pt idx="205">
                  <c:v>6812920.6905796202</c:v>
                </c:pt>
                <c:pt idx="206">
                  <c:v>7356422.5445964225</c:v>
                </c:pt>
                <c:pt idx="207">
                  <c:v>7943282.3472428275</c:v>
                </c:pt>
                <c:pt idx="208">
                  <c:v>8576958.9859089572</c:v>
                </c:pt>
                <c:pt idx="209">
                  <c:v>9261187.2812879551</c:v>
                </c:pt>
                <c:pt idx="210">
                  <c:v>10000000</c:v>
                </c:pt>
              </c:numCache>
            </c:numRef>
          </c:xVal>
          <c:yVal>
            <c:numRef>
              <c:f>'Small Signal'!$O$2:$O$212</c:f>
              <c:numCache>
                <c:formatCode>General</c:formatCode>
                <c:ptCount val="211"/>
                <c:pt idx="0">
                  <c:v>-6.8247481668842029E-3</c:v>
                </c:pt>
                <c:pt idx="1">
                  <c:v>-7.3691935560798744E-3</c:v>
                </c:pt>
                <c:pt idx="2">
                  <c:v>-7.957072163628575E-3</c:v>
                </c:pt>
                <c:pt idx="3">
                  <c:v>-8.5918488813293316E-3</c:v>
                </c:pt>
                <c:pt idx="4">
                  <c:v>-9.277265013223325E-3</c:v>
                </c:pt>
                <c:pt idx="5">
                  <c:v>-1.0017360326408596E-2</c:v>
                </c:pt>
                <c:pt idx="6">
                  <c:v>-1.0816496860958546E-2</c:v>
                </c:pt>
                <c:pt idx="7">
                  <c:v>-1.1679384639275054E-2</c:v>
                </c:pt>
                <c:pt idx="8">
                  <c:v>-1.2611109426400783E-2</c:v>
                </c:pt>
                <c:pt idx="9">
                  <c:v>-1.3617162704910622E-2</c:v>
                </c:pt>
                <c:pt idx="10">
                  <c:v>-1.4703474041038944E-2</c:v>
                </c:pt>
                <c:pt idx="11">
                  <c:v>-1.5876446032811301E-2</c:v>
                </c:pt>
                <c:pt idx="12">
                  <c:v>-1.7142992046147693E-2</c:v>
                </c:pt>
                <c:pt idx="13">
                  <c:v>-1.8510576961352408E-2</c:v>
                </c:pt>
                <c:pt idx="14">
                  <c:v>-1.9987261170130988E-2</c:v>
                </c:pt>
                <c:pt idx="15">
                  <c:v>-2.158174808244669E-2</c:v>
                </c:pt>
                <c:pt idx="16">
                  <c:v>-2.3303435423195646E-2</c:v>
                </c:pt>
                <c:pt idx="17">
                  <c:v>-2.5162470621035923E-2</c:v>
                </c:pt>
                <c:pt idx="18">
                  <c:v>-2.7169810615795414E-2</c:v>
                </c:pt>
                <c:pt idx="19">
                  <c:v>-2.9337286436944561E-2</c:v>
                </c:pt>
                <c:pt idx="20">
                  <c:v>-3.1677672933719855E-2</c:v>
                </c:pt>
                <c:pt idx="21">
                  <c:v>-3.4204764067841599E-2</c:v>
                </c:pt>
                <c:pt idx="22">
                  <c:v>-3.6933454212551974E-2</c:v>
                </c:pt>
                <c:pt idx="23">
                  <c:v>-3.9879825937087145E-2</c:v>
                </c:pt>
                <c:pt idx="24">
                  <c:v>-4.306124479389456E-2</c:v>
                </c:pt>
                <c:pt idx="25">
                  <c:v>-4.6496461667180904E-2</c:v>
                </c:pt>
                <c:pt idx="26">
                  <c:v>-5.0205723285907319E-2</c:v>
                </c:pt>
                <c:pt idx="27">
                  <c:v>-5.4210891552435858E-2</c:v>
                </c:pt>
                <c:pt idx="28">
                  <c:v>-5.8535572389961286E-2</c:v>
                </c:pt>
                <c:pt idx="29">
                  <c:v>-6.3205254867930827E-2</c:v>
                </c:pt>
                <c:pt idx="30">
                  <c:v>-6.8247461425122807E-2</c:v>
                </c:pt>
                <c:pt idx="31">
                  <c:v>-7.3691910075469005E-2</c:v>
                </c:pt>
                <c:pt idx="32">
                  <c:v>-7.9570689552159748E-2</c:v>
                </c:pt>
                <c:pt idx="33">
                  <c:v>-8.591844842177844E-2</c:v>
                </c:pt>
                <c:pt idx="34">
                  <c:v>-9.2772599282336943E-2</c:v>
                </c:pt>
                <c:pt idx="35">
                  <c:v>-0.1001735392478723</c:v>
                </c:pt>
                <c:pt idx="36">
                  <c:v>-0.10816488801796487</c:v>
                </c:pt>
                <c:pt idx="37">
                  <c:v>-0.11679374493393575</c:v>
                </c:pt>
                <c:pt idx="38">
                  <c:v>-0.1261109665349695</c:v>
                </c:pt>
                <c:pt idx="39">
                  <c:v>-0.13617146624783147</c:v>
                </c:pt>
                <c:pt idx="40">
                  <c:v>-0.14703453797366392</c:v>
                </c:pt>
                <c:pt idx="41">
                  <c:v>-0.15876420547549683</c:v>
                </c:pt>
                <c:pt idx="42">
                  <c:v>-0.17142959962122434</c:v>
                </c:pt>
                <c:pt idx="43">
                  <c:v>-0.1851053656998404</c:v>
                </c:pt>
                <c:pt idx="44">
                  <c:v>-0.19987210320450413</c:v>
                </c:pt>
                <c:pt idx="45">
                  <c:v>-0.21581684066548731</c:v>
                </c:pt>
                <c:pt idx="46">
                  <c:v>-0.23303354832039347</c:v>
                </c:pt>
                <c:pt idx="47">
                  <c:v>-0.25162369162904574</c:v>
                </c:pt>
                <c:pt idx="48">
                  <c:v>-0.27169682887756552</c:v>
                </c:pt>
                <c:pt idx="49">
                  <c:v>-0.29337125637137534</c:v>
                </c:pt>
                <c:pt idx="50">
                  <c:v>-0.31677470499147026</c:v>
                </c:pt>
                <c:pt idx="51">
                  <c:v>-0.34204509218386919</c:v>
                </c:pt>
                <c:pt idx="52">
                  <c:v>-0.3693313337693937</c:v>
                </c:pt>
                <c:pt idx="53">
                  <c:v>-0.3987942203021605</c:v>
                </c:pt>
                <c:pt idx="54">
                  <c:v>-0.43060736307082836</c:v>
                </c:pt>
                <c:pt idx="55">
                  <c:v>-0.46495821522872444</c:v>
                </c:pt>
                <c:pt idx="56">
                  <c:v>-0.50204917395875603</c:v>
                </c:pt>
                <c:pt idx="57">
                  <c:v>-0.54209877002726869</c:v>
                </c:pt>
                <c:pt idx="58">
                  <c:v>-0.58534295155965932</c:v>
                </c:pt>
                <c:pt idx="59">
                  <c:v>-0.63203646937945035</c:v>
                </c:pt>
                <c:pt idx="60">
                  <c:v>-0.6824543717932976</c:v>
                </c:pt>
                <c:pt idx="61">
                  <c:v>-0.73689361727603697</c:v>
                </c:pt>
                <c:pt idx="62">
                  <c:v>-0.79567481411323515</c:v>
                </c:pt>
                <c:pt idx="63">
                  <c:v>-0.8591440966906736</c:v>
                </c:pt>
                <c:pt idx="64">
                  <c:v>-0.92767514878037904</c:v>
                </c:pt>
                <c:pt idx="65">
                  <c:v>-1.0016713848556325</c:v>
                </c:pt>
                <c:pt idx="66">
                  <c:v>-1.0815683011685577</c:v>
                </c:pt>
                <c:pt idx="67">
                  <c:v>-1.167836009034392</c:v>
                </c:pt>
                <c:pt idx="68">
                  <c:v>-1.2609819634756498</c:v>
                </c:pt>
                <c:pt idx="69">
                  <c:v>-1.3615539010732991</c:v>
                </c:pt>
                <c:pt idx="70">
                  <c:v>-1.470143001527489</c:v>
                </c:pt>
                <c:pt idx="71">
                  <c:v>-1.5873872880257913</c:v>
                </c:pt>
                <c:pt idx="72">
                  <c:v>-1.7139752820148977</c:v>
                </c:pt>
                <c:pt idx="73">
                  <c:v>-1.8506499283265077</c:v>
                </c:pt>
                <c:pt idx="74">
                  <c:v>-1.9982128067695846</c:v>
                </c:pt>
                <c:pt idx="75">
                  <c:v>-2.1575286461868948</c:v>
                </c:pt>
                <c:pt idx="76">
                  <c:v>-2.3295301564999358</c:v>
                </c:pt>
                <c:pt idx="77">
                  <c:v>-2.5152231933099012</c:v>
                </c:pt>
                <c:pt idx="78">
                  <c:v>-2.7156922680369999</c:v>
                </c:pt>
                <c:pt idx="79">
                  <c:v>-2.9321064141818449</c:v>
                </c:pt>
                <c:pt idx="80">
                  <c:v>-3.1657254168457039</c:v>
                </c:pt>
                <c:pt idx="81">
                  <c:v>-3.4179064078617269</c:v>
                </c:pt>
                <c:pt idx="82">
                  <c:v>-3.690110822410464</c:v>
                </c:pt>
                <c:pt idx="83">
                  <c:v>-3.9839117043740688</c:v>
                </c:pt>
                <c:pt idx="84">
                  <c:v>-4.3010013363837114</c:v>
                </c:pt>
                <c:pt idx="85">
                  <c:v>-4.6431991558713754</c:v>
                </c:pt>
                <c:pt idx="86">
                  <c:v>-5.0124598996552665</c:v>
                </c:pt>
                <c:pt idx="87">
                  <c:v>-5.4108818957111477</c:v>
                </c:pt>
                <c:pt idx="88">
                  <c:v>-5.8407153906785423</c:v>
                </c:pt>
                <c:pt idx="89">
                  <c:v>-6.3043707640208142</c:v>
                </c:pt>
                <c:pt idx="90">
                  <c:v>-6.8044264330832105</c:v>
                </c:pt>
                <c:pt idx="91">
                  <c:v>-7.3436361959334979</c:v>
                </c:pt>
                <c:pt idx="92">
                  <c:v>-7.9249356890164302</c:v>
                </c:pt>
                <c:pt idx="93">
                  <c:v>-8.5514475525246247</c:v>
                </c:pt>
                <c:pt idx="94">
                  <c:v>-9.226484796305142</c:v>
                </c:pt>
                <c:pt idx="95">
                  <c:v>-9.9535517418409896</c:v>
                </c:pt>
                <c:pt idx="96">
                  <c:v>-10.736341780928505</c:v>
                </c:pt>
                <c:pt idx="97">
                  <c:v>-11.578731040059804</c:v>
                </c:pt>
                <c:pt idx="98">
                  <c:v>-12.484766874413953</c:v>
                </c:pt>
                <c:pt idx="99">
                  <c:v>-13.458649943195176</c:v>
                </c:pt>
                <c:pt idx="100">
                  <c:v>-14.504708450070142</c:v>
                </c:pt>
                <c:pt idx="101">
                  <c:v>-15.627362986178372</c:v>
                </c:pt>
                <c:pt idx="102">
                  <c:v>-16.831080314437511</c:v>
                </c:pt>
                <c:pt idx="103">
                  <c:v>-18.120314418481172</c:v>
                </c:pt>
                <c:pt idx="104">
                  <c:v>-19.499433254562653</c:v>
                </c:pt>
                <c:pt idx="105">
                  <c:v>-20.972629948327761</c:v>
                </c:pt>
                <c:pt idx="106">
                  <c:v>-22.543817737193404</c:v>
                </c:pt>
                <c:pt idx="107">
                  <c:v>-24.216508841953775</c:v>
                </c:pt>
                <c:pt idx="108">
                  <c:v>-25.99367871707663</c:v>
                </c:pt>
                <c:pt idx="109">
                  <c:v>-27.877618808417626</c:v>
                </c:pt>
                <c:pt idx="110">
                  <c:v>-29.86978301649895</c:v>
                </c:pt>
                <c:pt idx="111">
                  <c:v>-31.970635416671545</c:v>
                </c:pt>
                <c:pt idx="112">
                  <c:v>-34.179509207206394</c:v>
                </c:pt>
                <c:pt idx="113">
                  <c:v>-36.494488999596861</c:v>
                </c:pt>
                <c:pt idx="114">
                  <c:v>-38.912329974461109</c:v>
                </c:pt>
                <c:pt idx="115">
                  <c:v>-41.428427581217008</c:v>
                </c:pt>
                <c:pt idx="116">
                  <c:v>-44.03684987718578</c:v>
                </c:pt>
                <c:pt idx="117">
                  <c:v>-46.730440975775828</c:v>
                </c:pt>
                <c:pt idx="118">
                  <c:v>-49.500998424047935</c:v>
                </c:pt>
                <c:pt idx="119">
                  <c:v>-52.33952011241697</c:v>
                </c:pt>
                <c:pt idx="120">
                  <c:v>-55.236508434815022</c:v>
                </c:pt>
                <c:pt idx="121">
                  <c:v>-58.182312089034518</c:v>
                </c:pt>
                <c:pt idx="122">
                  <c:v>-61.167480424031979</c:v>
                </c:pt>
                <c:pt idx="123">
                  <c:v>-64.183102641641952</c:v>
                </c:pt>
                <c:pt idx="124">
                  <c:v>-67.221104949570702</c:v>
                </c:pt>
                <c:pt idx="125">
                  <c:v>-70.274482774636297</c:v>
                </c:pt>
                <c:pt idx="126">
                  <c:v>-73.337451599463591</c:v>
                </c:pt>
                <c:pt idx="127">
                  <c:v>-76.405507718332785</c:v>
                </c:pt>
                <c:pt idx="128">
                  <c:v>-79.475397988806293</c:v>
                </c:pt>
                <c:pt idx="129">
                  <c:v>-82.545004483119726</c:v>
                </c:pt>
                <c:pt idx="130">
                  <c:v>-85.613155225094985</c:v>
                </c:pt>
                <c:pt idx="131">
                  <c:v>-88.679375789862291</c:v>
                </c:pt>
                <c:pt idx="132">
                  <c:v>-91.743598659069917</c:v>
                </c:pt>
                <c:pt idx="133">
                  <c:v>-94.805848274498402</c:v>
                </c:pt>
                <c:pt idx="134">
                  <c:v>-97.865920147948856</c:v>
                </c:pt>
                <c:pt idx="135">
                  <c:v>-100.92307246535285</c:v>
                </c:pt>
                <c:pt idx="136">
                  <c:v>-103.97574844749329</c:v>
                </c:pt>
                <c:pt idx="137">
                  <c:v>-107.02134713366719</c:v>
                </c:pt>
                <c:pt idx="138">
                  <c:v>-110.05605887745133</c:v>
                </c:pt>
                <c:pt idx="139">
                  <c:v>-113.07477924317534</c:v>
                </c:pt>
                <c:pt idx="140">
                  <c:v>-116.07111080695448</c:v>
                </c:pt>
                <c:pt idx="141">
                  <c:v>-119.03745649608655</c:v>
                </c:pt>
                <c:pt idx="142">
                  <c:v>-121.96520084640269</c:v>
                </c:pt>
                <c:pt idx="143">
                  <c:v>-124.84496767031762</c:v>
                </c:pt>
                <c:pt idx="144">
                  <c:v>-127.66693522118663</c:v>
                </c:pt>
                <c:pt idx="145">
                  <c:v>-130.42118425602359</c:v>
                </c:pt>
                <c:pt idx="146">
                  <c:v>-133.09805149980011</c:v>
                </c:pt>
                <c:pt idx="147">
                  <c:v>-135.68846147954301</c:v>
                </c:pt>
                <c:pt idx="148">
                  <c:v>-138.18421344685797</c:v>
                </c:pt>
                <c:pt idx="149">
                  <c:v>-140.57820642206701</c:v>
                </c:pt>
                <c:pt idx="150">
                  <c:v>-142.8645931070877</c:v>
                </c:pt>
                <c:pt idx="151">
                  <c:v>-145.03886122655925</c:v>
                </c:pt>
                <c:pt idx="152">
                  <c:v>-147.09784763676359</c:v>
                </c:pt>
                <c:pt idx="153">
                  <c:v>-149.03969554067211</c:v>
                </c:pt>
                <c:pt idx="154">
                  <c:v>-150.86376807163725</c:v>
                </c:pt>
                <c:pt idx="155">
                  <c:v>-152.57053246731186</c:v>
                </c:pt>
                <c:pt idx="156">
                  <c:v>-154.16142843094744</c:v>
                </c:pt>
                <c:pt idx="157">
                  <c:v>-155.63873257155063</c:v>
                </c:pt>
                <c:pt idx="158">
                  <c:v>-157.00542852193638</c:v>
                </c:pt>
                <c:pt idx="159">
                  <c:v>-158.2650898578151</c:v>
                </c:pt>
                <c:pt idx="160">
                  <c:v>-159.42178055729116</c:v>
                </c:pt>
                <c:pt idx="161">
                  <c:v>-160.47997559629997</c:v>
                </c:pt>
                <c:pt idx="162">
                  <c:v>-161.44450241377766</c:v>
                </c:pt>
                <c:pt idx="163">
                  <c:v>-162.32050236973853</c:v>
                </c:pt>
                <c:pt idx="164">
                  <c:v>-163.11340989011742</c:v>
                </c:pt>
                <c:pt idx="165">
                  <c:v>-163.8289456681517</c:v>
                </c:pt>
                <c:pt idx="166">
                  <c:v>-164.47311902120816</c:v>
                </c:pt>
                <c:pt idx="167">
                  <c:v>-165.05223328324027</c:v>
                </c:pt>
                <c:pt idx="168">
                  <c:v>-165.57288702006082</c:v>
                </c:pt>
                <c:pt idx="169">
                  <c:v>-166.04196305031556</c:v>
                </c:pt>
                <c:pt idx="170">
                  <c:v>-166.46659699149464</c:v>
                </c:pt>
                <c:pt idx="171">
                  <c:v>-166.85411764159974</c:v>
                </c:pt>
                <c:pt idx="172">
                  <c:v>-167.21195326698802</c:v>
                </c:pt>
                <c:pt idx="173">
                  <c:v>-167.54750100837938</c:v>
                </c:pt>
                <c:pt idx="174">
                  <c:v>-167.86796112656887</c:v>
                </c:pt>
                <c:pt idx="175">
                  <c:v>-168.1801433307256</c:v>
                </c:pt>
                <c:pt idx="176">
                  <c:v>-168.4902582110748</c:v>
                </c:pt>
                <c:pt idx="177">
                  <c:v>-168.80371174458907</c:v>
                </c:pt>
                <c:pt idx="178">
                  <c:v>-169.12492374090112</c:v>
                </c:pt>
                <c:pt idx="179">
                  <c:v>-169.45719093312084</c:v>
                </c:pt>
                <c:pt idx="180">
                  <c:v>-169.80261174112474</c:v>
                </c:pt>
                <c:pt idx="181">
                  <c:v>-170.16208289328139</c:v>
                </c:pt>
                <c:pt idx="182">
                  <c:v>-170.5353692493392</c:v>
                </c:pt>
                <c:pt idx="183">
                  <c:v>-170.92123903082833</c:v>
                </c:pt>
                <c:pt idx="184">
                  <c:v>-171.31764902429978</c:v>
                </c:pt>
                <c:pt idx="185">
                  <c:v>-171.7219595495886</c:v>
                </c:pt>
                <c:pt idx="186">
                  <c:v>-172.13115769439409</c:v>
                </c:pt>
                <c:pt idx="187">
                  <c:v>-172.54206928627727</c:v>
                </c:pt>
                <c:pt idx="188">
                  <c:v>-172.95154442806069</c:v>
                </c:pt>
                <c:pt idx="189">
                  <c:v>-173.35660697014333</c:v>
                </c:pt>
                <c:pt idx="190">
                  <c:v>-173.75456387511466</c:v>
                </c:pt>
                <c:pt idx="191">
                  <c:v>-174.14307517571299</c:v>
                </c:pt>
                <c:pt idx="192">
                  <c:v>-174.52018866092365</c:v>
                </c:pt>
                <c:pt idx="193">
                  <c:v>-174.88434544339918</c:v>
                </c:pt>
                <c:pt idx="194">
                  <c:v>-175.23436333063398</c:v>
                </c:pt>
                <c:pt idx="195">
                  <c:v>-175.56940475224468</c:v>
                </c:pt>
                <c:pt idx="196">
                  <c:v>-175.88893523075282</c:v>
                </c:pt>
                <c:pt idx="197">
                  <c:v>-176.19267732902676</c:v>
                </c:pt>
                <c:pt idx="198">
                  <c:v>-176.48056389486837</c:v>
                </c:pt>
                <c:pt idx="199">
                  <c:v>-176.75269340032173</c:v>
                </c:pt>
                <c:pt idx="200">
                  <c:v>-177.00928931509674</c:v>
                </c:pt>
                <c:pt idx="201">
                  <c:v>-177.25066477852397</c:v>
                </c:pt>
                <c:pt idx="202">
                  <c:v>-177.47719332254294</c:v>
                </c:pt>
                <c:pt idx="203">
                  <c:v>-177.68928600687602</c:v>
                </c:pt>
                <c:pt idx="204">
                  <c:v>-177.88737500599183</c:v>
                </c:pt>
                <c:pt idx="205">
                  <c:v>-178.07190338917644</c:v>
                </c:pt>
                <c:pt idx="206">
                  <c:v>-178.24332052888656</c:v>
                </c:pt>
                <c:pt idx="207">
                  <c:v>-178.40208225198566</c:v>
                </c:pt>
                <c:pt idx="208">
                  <c:v>-178.54865453609546</c:v>
                </c:pt>
                <c:pt idx="209">
                  <c:v>-178.68351929823231</c:v>
                </c:pt>
                <c:pt idx="210">
                  <c:v>-178.80718068858849</c:v>
                </c:pt>
              </c:numCache>
            </c:numRef>
          </c:yVal>
          <c:smooth val="1"/>
        </c:ser>
        <c:ser>
          <c:idx val="4"/>
          <c:order val="5"/>
          <c:tx>
            <c:v>Compensation Phase</c:v>
          </c:tx>
          <c:spPr>
            <a:ln w="25400">
              <a:solidFill>
                <a:srgbClr val="FF0000"/>
              </a:solidFill>
              <a:prstDash val="sysDash"/>
            </a:ln>
          </c:spPr>
          <c:marker>
            <c:symbol val="none"/>
          </c:marker>
          <c:xVal>
            <c:numRef>
              <c:f>'Small Signal'!$L$2:$L$212</c:f>
              <c:numCache>
                <c:formatCode>General</c:formatCode>
                <c:ptCount val="211"/>
                <c:pt idx="0">
                  <c:v>1</c:v>
                </c:pt>
                <c:pt idx="1">
                  <c:v>1.0797751623277096</c:v>
                </c:pt>
                <c:pt idx="2">
                  <c:v>1.1659144011798317</c:v>
                </c:pt>
                <c:pt idx="3">
                  <c:v>1.2589254117941673</c:v>
                </c:pt>
                <c:pt idx="4">
                  <c:v>1.3593563908785258</c:v>
                </c:pt>
                <c:pt idx="5">
                  <c:v>1.4677992676220697</c:v>
                </c:pt>
                <c:pt idx="6">
                  <c:v>1.5848931924611136</c:v>
                </c:pt>
                <c:pt idx="7">
                  <c:v>1.7113283041617808</c:v>
                </c:pt>
                <c:pt idx="8">
                  <c:v>1.8478497974222912</c:v>
                </c:pt>
                <c:pt idx="9">
                  <c:v>1.9952623149688797</c:v>
                </c:pt>
                <c:pt idx="10">
                  <c:v>2.1544346900318838</c:v>
                </c:pt>
                <c:pt idx="11">
                  <c:v>2.3263050671536263</c:v>
                </c:pt>
                <c:pt idx="12">
                  <c:v>2.5118864315095806</c:v>
                </c:pt>
                <c:pt idx="13">
                  <c:v>2.7122725793320286</c:v>
                </c:pt>
                <c:pt idx="14">
                  <c:v>2.9286445646252366</c:v>
                </c:pt>
                <c:pt idx="15">
                  <c:v>3.1622776601683795</c:v>
                </c:pt>
                <c:pt idx="16">
                  <c:v>3.4145488738336023</c:v>
                </c:pt>
                <c:pt idx="17">
                  <c:v>3.6869450645195756</c:v>
                </c:pt>
                <c:pt idx="18">
                  <c:v>3.9810717055349727</c:v>
                </c:pt>
                <c:pt idx="19">
                  <c:v>4.2986623470822769</c:v>
                </c:pt>
                <c:pt idx="20">
                  <c:v>4.6415888336127793</c:v>
                </c:pt>
                <c:pt idx="21">
                  <c:v>5.0118723362727229</c:v>
                </c:pt>
                <c:pt idx="22">
                  <c:v>5.4116952654646369</c:v>
                </c:pt>
                <c:pt idx="23">
                  <c:v>5.8434141337351777</c:v>
                </c:pt>
                <c:pt idx="24">
                  <c:v>6.3095734448019343</c:v>
                </c:pt>
                <c:pt idx="25">
                  <c:v>6.812920690579614</c:v>
                </c:pt>
                <c:pt idx="26">
                  <c:v>7.3564225445964153</c:v>
                </c:pt>
                <c:pt idx="27">
                  <c:v>7.9432823472428176</c:v>
                </c:pt>
                <c:pt idx="28">
                  <c:v>8.5769589859089415</c:v>
                </c:pt>
                <c:pt idx="29">
                  <c:v>9.2611872812879383</c:v>
                </c:pt>
                <c:pt idx="30">
                  <c:v>10</c:v>
                </c:pt>
                <c:pt idx="31">
                  <c:v>10.797751623277103</c:v>
                </c:pt>
                <c:pt idx="32">
                  <c:v>11.659144011798322</c:v>
                </c:pt>
                <c:pt idx="33">
                  <c:v>12.58925411794168</c:v>
                </c:pt>
                <c:pt idx="34">
                  <c:v>13.593563908785256</c:v>
                </c:pt>
                <c:pt idx="35">
                  <c:v>14.677992676220699</c:v>
                </c:pt>
                <c:pt idx="36">
                  <c:v>15.848931924611136</c:v>
                </c:pt>
                <c:pt idx="37">
                  <c:v>17.113283041617812</c:v>
                </c:pt>
                <c:pt idx="38">
                  <c:v>18.478497974222911</c:v>
                </c:pt>
                <c:pt idx="39">
                  <c:v>19.952623149688804</c:v>
                </c:pt>
                <c:pt idx="40">
                  <c:v>21.544346900318843</c:v>
                </c:pt>
                <c:pt idx="41">
                  <c:v>23.263050671536273</c:v>
                </c:pt>
                <c:pt idx="42">
                  <c:v>25.118864315095799</c:v>
                </c:pt>
                <c:pt idx="43">
                  <c:v>27.122725793320289</c:v>
                </c:pt>
                <c:pt idx="44">
                  <c:v>29.286445646252368</c:v>
                </c:pt>
                <c:pt idx="45">
                  <c:v>31.622776601683803</c:v>
                </c:pt>
                <c:pt idx="46">
                  <c:v>34.145488738336034</c:v>
                </c:pt>
                <c:pt idx="47">
                  <c:v>36.869450645195769</c:v>
                </c:pt>
                <c:pt idx="48">
                  <c:v>39.810717055349755</c:v>
                </c:pt>
                <c:pt idx="49">
                  <c:v>42.986623470822771</c:v>
                </c:pt>
                <c:pt idx="50">
                  <c:v>46.415888336127807</c:v>
                </c:pt>
                <c:pt idx="51">
                  <c:v>50.118723362727238</c:v>
                </c:pt>
                <c:pt idx="52">
                  <c:v>54.11695265464639</c:v>
                </c:pt>
                <c:pt idx="53">
                  <c:v>58.434141337351775</c:v>
                </c:pt>
                <c:pt idx="54">
                  <c:v>63.095734448019364</c:v>
                </c:pt>
                <c:pt idx="55">
                  <c:v>68.129206905796124</c:v>
                </c:pt>
                <c:pt idx="56">
                  <c:v>73.564225445964155</c:v>
                </c:pt>
                <c:pt idx="57">
                  <c:v>79.432823472428197</c:v>
                </c:pt>
                <c:pt idx="58">
                  <c:v>85.769589859089479</c:v>
                </c:pt>
                <c:pt idx="59">
                  <c:v>92.611872812879369</c:v>
                </c:pt>
                <c:pt idx="60">
                  <c:v>100</c:v>
                </c:pt>
                <c:pt idx="61">
                  <c:v>107.97751623277095</c:v>
                </c:pt>
                <c:pt idx="62">
                  <c:v>116.59144011798328</c:v>
                </c:pt>
                <c:pt idx="63">
                  <c:v>125.89254117941677</c:v>
                </c:pt>
                <c:pt idx="64">
                  <c:v>135.93563908785265</c:v>
                </c:pt>
                <c:pt idx="65">
                  <c:v>146.77992676220697</c:v>
                </c:pt>
                <c:pt idx="66">
                  <c:v>158.48931924611153</c:v>
                </c:pt>
                <c:pt idx="67">
                  <c:v>171.13283041617817</c:v>
                </c:pt>
                <c:pt idx="68">
                  <c:v>184.7849797422291</c:v>
                </c:pt>
                <c:pt idx="69">
                  <c:v>199.52623149688802</c:v>
                </c:pt>
                <c:pt idx="70">
                  <c:v>215.44346900318848</c:v>
                </c:pt>
                <c:pt idx="71">
                  <c:v>232.6305067153628</c:v>
                </c:pt>
                <c:pt idx="72">
                  <c:v>251.18864315095806</c:v>
                </c:pt>
                <c:pt idx="73">
                  <c:v>271.22725793320296</c:v>
                </c:pt>
                <c:pt idx="74">
                  <c:v>292.86445646252383</c:v>
                </c:pt>
                <c:pt idx="75">
                  <c:v>316.22776601683825</c:v>
                </c:pt>
                <c:pt idx="76">
                  <c:v>341.4548873833603</c:v>
                </c:pt>
                <c:pt idx="77">
                  <c:v>368.69450645195781</c:v>
                </c:pt>
                <c:pt idx="78">
                  <c:v>398.10717055349761</c:v>
                </c:pt>
                <c:pt idx="79">
                  <c:v>429.86623470822781</c:v>
                </c:pt>
                <c:pt idx="80">
                  <c:v>464.15888336127819</c:v>
                </c:pt>
                <c:pt idx="81">
                  <c:v>501.18723362727269</c:v>
                </c:pt>
                <c:pt idx="82">
                  <c:v>541.16952654646434</c:v>
                </c:pt>
                <c:pt idx="83">
                  <c:v>584.34141337351787</c:v>
                </c:pt>
                <c:pt idx="84">
                  <c:v>630.95734448019323</c:v>
                </c:pt>
                <c:pt idx="85">
                  <c:v>681.29206905796195</c:v>
                </c:pt>
                <c:pt idx="86">
                  <c:v>735.64225445964166</c:v>
                </c:pt>
                <c:pt idx="87">
                  <c:v>794.32823472428208</c:v>
                </c:pt>
                <c:pt idx="88">
                  <c:v>857.69589859089422</c:v>
                </c:pt>
                <c:pt idx="89">
                  <c:v>926.11872812879471</c:v>
                </c:pt>
                <c:pt idx="90">
                  <c:v>1000</c:v>
                </c:pt>
                <c:pt idx="91">
                  <c:v>1079.7751623277097</c:v>
                </c:pt>
                <c:pt idx="92">
                  <c:v>1165.914401179833</c:v>
                </c:pt>
                <c:pt idx="93">
                  <c:v>1258.925411794168</c:v>
                </c:pt>
                <c:pt idx="94">
                  <c:v>1359.3563908785268</c:v>
                </c:pt>
                <c:pt idx="95">
                  <c:v>1467.7992676220699</c:v>
                </c:pt>
                <c:pt idx="96">
                  <c:v>1584.8931924611156</c:v>
                </c:pt>
                <c:pt idx="97">
                  <c:v>1711.3283041617822</c:v>
                </c:pt>
                <c:pt idx="98">
                  <c:v>1847.8497974222912</c:v>
                </c:pt>
                <c:pt idx="99">
                  <c:v>1995.2623149688804</c:v>
                </c:pt>
                <c:pt idx="100">
                  <c:v>2154.4346900318851</c:v>
                </c:pt>
                <c:pt idx="101">
                  <c:v>2326.3050671536284</c:v>
                </c:pt>
                <c:pt idx="102">
                  <c:v>2511.8864315095811</c:v>
                </c:pt>
                <c:pt idx="103">
                  <c:v>2712.2725793320301</c:v>
                </c:pt>
                <c:pt idx="104">
                  <c:v>2928.6445646252391</c:v>
                </c:pt>
                <c:pt idx="105">
                  <c:v>3162.2776601683804</c:v>
                </c:pt>
                <c:pt idx="106">
                  <c:v>3414.5488738336035</c:v>
                </c:pt>
                <c:pt idx="107">
                  <c:v>3686.9450645195784</c:v>
                </c:pt>
                <c:pt idx="108">
                  <c:v>3981.0717055349769</c:v>
                </c:pt>
                <c:pt idx="109">
                  <c:v>4298.6623470822833</c:v>
                </c:pt>
                <c:pt idx="110">
                  <c:v>4641.5888336127782</c:v>
                </c:pt>
                <c:pt idx="111">
                  <c:v>5011.8723362727324</c:v>
                </c:pt>
                <c:pt idx="112">
                  <c:v>5411.6952654646393</c:v>
                </c:pt>
                <c:pt idx="113">
                  <c:v>5843.4141337351803</c:v>
                </c:pt>
                <c:pt idx="114">
                  <c:v>6309.5734448019384</c:v>
                </c:pt>
                <c:pt idx="115">
                  <c:v>6812.9206905796218</c:v>
                </c:pt>
                <c:pt idx="116">
                  <c:v>7356.4225445964248</c:v>
                </c:pt>
                <c:pt idx="117">
                  <c:v>7943.2823472428154</c:v>
                </c:pt>
                <c:pt idx="118">
                  <c:v>8576.9589859089447</c:v>
                </c:pt>
                <c:pt idx="119">
                  <c:v>9261.187281287941</c:v>
                </c:pt>
                <c:pt idx="120">
                  <c:v>10000</c:v>
                </c:pt>
                <c:pt idx="121">
                  <c:v>10797.751623277109</c:v>
                </c:pt>
                <c:pt idx="122">
                  <c:v>11659.144011798313</c:v>
                </c:pt>
                <c:pt idx="123">
                  <c:v>12589.254117941671</c:v>
                </c:pt>
                <c:pt idx="124">
                  <c:v>13593.563908785283</c:v>
                </c:pt>
                <c:pt idx="125">
                  <c:v>14677.992676220729</c:v>
                </c:pt>
                <c:pt idx="126">
                  <c:v>15848.931924611146</c:v>
                </c:pt>
                <c:pt idx="127">
                  <c:v>17113.283041617826</c:v>
                </c:pt>
                <c:pt idx="128">
                  <c:v>18478.497974222933</c:v>
                </c:pt>
                <c:pt idx="129">
                  <c:v>19952.623149688792</c:v>
                </c:pt>
                <c:pt idx="130">
                  <c:v>21544.346900318837</c:v>
                </c:pt>
                <c:pt idx="131">
                  <c:v>23263.050671536268</c:v>
                </c:pt>
                <c:pt idx="132">
                  <c:v>25118.86431509586</c:v>
                </c:pt>
                <c:pt idx="133">
                  <c:v>27122.725793320307</c:v>
                </c:pt>
                <c:pt idx="134">
                  <c:v>29286.445646252399</c:v>
                </c:pt>
                <c:pt idx="135">
                  <c:v>31622.77660168384</c:v>
                </c:pt>
                <c:pt idx="136">
                  <c:v>34145.488738336011</c:v>
                </c:pt>
                <c:pt idx="137">
                  <c:v>36869.450645195764</c:v>
                </c:pt>
                <c:pt idx="138">
                  <c:v>39810.717055349742</c:v>
                </c:pt>
                <c:pt idx="139">
                  <c:v>42986.62347082288</c:v>
                </c:pt>
                <c:pt idx="140">
                  <c:v>46415.888336127835</c:v>
                </c:pt>
                <c:pt idx="141">
                  <c:v>50118.723362727294</c:v>
                </c:pt>
                <c:pt idx="142">
                  <c:v>54116.952654646455</c:v>
                </c:pt>
                <c:pt idx="143">
                  <c:v>58434.141337351764</c:v>
                </c:pt>
                <c:pt idx="144">
                  <c:v>63095.734448019342</c:v>
                </c:pt>
                <c:pt idx="145">
                  <c:v>68129.206905796163</c:v>
                </c:pt>
                <c:pt idx="146">
                  <c:v>73564.225445964199</c:v>
                </c:pt>
                <c:pt idx="147">
                  <c:v>79432.823472428237</c:v>
                </c:pt>
                <c:pt idx="148">
                  <c:v>85769.589859089538</c:v>
                </c:pt>
                <c:pt idx="149">
                  <c:v>92611.872812879505</c:v>
                </c:pt>
                <c:pt idx="150">
                  <c:v>100000</c:v>
                </c:pt>
                <c:pt idx="151">
                  <c:v>107977.51623277101</c:v>
                </c:pt>
                <c:pt idx="152">
                  <c:v>116591.44011798326</c:v>
                </c:pt>
                <c:pt idx="153">
                  <c:v>125892.54117941685</c:v>
                </c:pt>
                <c:pt idx="154">
                  <c:v>135935.63908785273</c:v>
                </c:pt>
                <c:pt idx="155">
                  <c:v>146779.92676220718</c:v>
                </c:pt>
                <c:pt idx="156">
                  <c:v>158489.31924611164</c:v>
                </c:pt>
                <c:pt idx="157">
                  <c:v>171132.83041617845</c:v>
                </c:pt>
                <c:pt idx="158">
                  <c:v>184784.97974222922</c:v>
                </c:pt>
                <c:pt idx="159">
                  <c:v>199526.23149688813</c:v>
                </c:pt>
                <c:pt idx="160">
                  <c:v>215443.46900318863</c:v>
                </c:pt>
                <c:pt idx="161">
                  <c:v>232630.50671536254</c:v>
                </c:pt>
                <c:pt idx="162">
                  <c:v>251188.64315095844</c:v>
                </c:pt>
                <c:pt idx="163">
                  <c:v>271227.25793320336</c:v>
                </c:pt>
                <c:pt idx="164">
                  <c:v>292864.45646252431</c:v>
                </c:pt>
                <c:pt idx="165">
                  <c:v>316227.7660168382</c:v>
                </c:pt>
                <c:pt idx="166">
                  <c:v>341454.88738336053</c:v>
                </c:pt>
                <c:pt idx="167">
                  <c:v>368694.50645195803</c:v>
                </c:pt>
                <c:pt idx="168">
                  <c:v>398107.17055349716</c:v>
                </c:pt>
                <c:pt idx="169">
                  <c:v>429866.2347082285</c:v>
                </c:pt>
                <c:pt idx="170">
                  <c:v>464158.88336127886</c:v>
                </c:pt>
                <c:pt idx="171">
                  <c:v>501187.23362727347</c:v>
                </c:pt>
                <c:pt idx="172">
                  <c:v>541169.52654646419</c:v>
                </c:pt>
                <c:pt idx="173">
                  <c:v>584341.41337351827</c:v>
                </c:pt>
                <c:pt idx="174">
                  <c:v>630957.34448019415</c:v>
                </c:pt>
                <c:pt idx="175">
                  <c:v>681292.06905796123</c:v>
                </c:pt>
                <c:pt idx="176">
                  <c:v>735642.25445964152</c:v>
                </c:pt>
                <c:pt idx="177">
                  <c:v>794328.23472428333</c:v>
                </c:pt>
                <c:pt idx="178">
                  <c:v>857695.89859089628</c:v>
                </c:pt>
                <c:pt idx="179">
                  <c:v>926118.72812879446</c:v>
                </c:pt>
                <c:pt idx="180">
                  <c:v>1000000</c:v>
                </c:pt>
                <c:pt idx="181">
                  <c:v>1079775.1623277115</c:v>
                </c:pt>
                <c:pt idx="182">
                  <c:v>1165914.4011798317</c:v>
                </c:pt>
                <c:pt idx="183">
                  <c:v>1258925.4117941677</c:v>
                </c:pt>
                <c:pt idx="184">
                  <c:v>1359356.3908785288</c:v>
                </c:pt>
                <c:pt idx="185">
                  <c:v>1467799.2676220734</c:v>
                </c:pt>
                <c:pt idx="186">
                  <c:v>1584893.1924611153</c:v>
                </c:pt>
                <c:pt idx="187">
                  <c:v>1711328.3041617833</c:v>
                </c:pt>
                <c:pt idx="188">
                  <c:v>1847849.797422294</c:v>
                </c:pt>
                <c:pt idx="189">
                  <c:v>1995262.31496888</c:v>
                </c:pt>
                <c:pt idx="190">
                  <c:v>2154434.6900318847</c:v>
                </c:pt>
                <c:pt idx="191">
                  <c:v>2326305.067153628</c:v>
                </c:pt>
                <c:pt idx="192">
                  <c:v>2511886.431509587</c:v>
                </c:pt>
                <c:pt idx="193">
                  <c:v>2712272.5793320318</c:v>
                </c:pt>
                <c:pt idx="194">
                  <c:v>2928644.5646252413</c:v>
                </c:pt>
                <c:pt idx="195">
                  <c:v>3162277.6601683851</c:v>
                </c:pt>
                <c:pt idx="196">
                  <c:v>3414548.8738336028</c:v>
                </c:pt>
                <c:pt idx="197">
                  <c:v>3686945.0645195777</c:v>
                </c:pt>
                <c:pt idx="198">
                  <c:v>3981071.705534976</c:v>
                </c:pt>
                <c:pt idx="199">
                  <c:v>4298662.3470822899</c:v>
                </c:pt>
                <c:pt idx="200">
                  <c:v>4641588.8336127857</c:v>
                </c:pt>
                <c:pt idx="201">
                  <c:v>5011872.3362727314</c:v>
                </c:pt>
                <c:pt idx="202">
                  <c:v>5411695.2654646477</c:v>
                </c:pt>
                <c:pt idx="203">
                  <c:v>5843414.133735179</c:v>
                </c:pt>
                <c:pt idx="204">
                  <c:v>6309573.4448019378</c:v>
                </c:pt>
                <c:pt idx="205">
                  <c:v>6812920.6905796202</c:v>
                </c:pt>
                <c:pt idx="206">
                  <c:v>7356422.5445964225</c:v>
                </c:pt>
                <c:pt idx="207">
                  <c:v>7943282.3472428275</c:v>
                </c:pt>
                <c:pt idx="208">
                  <c:v>8576958.9859089572</c:v>
                </c:pt>
                <c:pt idx="209">
                  <c:v>9261187.2812879551</c:v>
                </c:pt>
                <c:pt idx="210">
                  <c:v>10000000</c:v>
                </c:pt>
              </c:numCache>
            </c:numRef>
          </c:xVal>
          <c:yVal>
            <c:numRef>
              <c:f>'Small Signal'!$Z$2:$Z$212</c:f>
              <c:numCache>
                <c:formatCode>General</c:formatCode>
                <c:ptCount val="211"/>
                <c:pt idx="0">
                  <c:v>176.90342799703518</c:v>
                </c:pt>
                <c:pt idx="1">
                  <c:v>176.65694461571283</c:v>
                </c:pt>
                <c:pt idx="2">
                  <c:v>176.39093895970814</c:v>
                </c:pt>
                <c:pt idx="3">
                  <c:v>176.10388993586162</c:v>
                </c:pt>
                <c:pt idx="4">
                  <c:v>175.79416440997386</c:v>
                </c:pt>
                <c:pt idx="5">
                  <c:v>175.46001063407465</c:v>
                </c:pt>
                <c:pt idx="6">
                  <c:v>175.09955174159816</c:v>
                </c:pt>
                <c:pt idx="7">
                  <c:v>174.71077945996802</c:v>
                </c:pt>
                <c:pt idx="8">
                  <c:v>174.29154823514051</c:v>
                </c:pt>
                <c:pt idx="9">
                  <c:v>173.83957001798962</c:v>
                </c:pt>
                <c:pt idx="10">
                  <c:v>173.35241002980527</c:v>
                </c:pt>
                <c:pt idx="11">
                  <c:v>172.8274839054005</c:v>
                </c:pt>
                <c:pt idx="12">
                  <c:v>172.26205670908169</c:v>
                </c:pt>
                <c:pt idx="13">
                  <c:v>171.65324443236031</c:v>
                </c:pt>
                <c:pt idx="14">
                  <c:v>170.99801871342285</c:v>
                </c:pt>
                <c:pt idx="15">
                  <c:v>170.29321566637648</c:v>
                </c:pt>
                <c:pt idx="16">
                  <c:v>169.53554987053153</c:v>
                </c:pt>
                <c:pt idx="17">
                  <c:v>168.72163474074418</c:v>
                </c:pt>
                <c:pt idx="18">
                  <c:v>167.8480106690661</c:v>
                </c:pt>
                <c:pt idx="19">
                  <c:v>166.91118247952883</c:v>
                </c:pt>
                <c:pt idx="20">
                  <c:v>165.90766784790176</c:v>
                </c:pt>
                <c:pt idx="21">
                  <c:v>164.83405837309184</c:v>
                </c:pt>
                <c:pt idx="22">
                  <c:v>163.68709490180893</c:v>
                </c:pt>
                <c:pt idx="23">
                  <c:v>162.46375844711321</c:v>
                </c:pt>
                <c:pt idx="24">
                  <c:v>161.161377538951</c:v>
                </c:pt>
                <c:pt idx="25">
                  <c:v>159.77775203110679</c:v>
                </c:pt>
                <c:pt idx="26">
                  <c:v>158.31129220102116</c:v>
                </c:pt>
                <c:pt idx="27">
                  <c:v>156.76117037694442</c:v>
                </c:pt>
                <c:pt idx="28">
                  <c:v>155.12748031851925</c:v>
                </c:pt>
                <c:pt idx="29">
                  <c:v>153.41139724588817</c:v>
                </c:pt>
                <c:pt idx="30">
                  <c:v>151.61532894746293</c:v>
                </c:pt>
                <c:pt idx="31">
                  <c:v>149.74304611032898</c:v>
                </c:pt>
                <c:pt idx="32">
                  <c:v>147.79977834268362</c:v>
                </c:pt>
                <c:pt idx="33">
                  <c:v>145.79226180597712</c:v>
                </c:pt>
                <c:pt idx="34">
                  <c:v>143.72872544639696</c:v>
                </c:pt>
                <c:pt idx="35">
                  <c:v>141.61880586928714</c:v>
                </c:pt>
                <c:pt idx="36">
                  <c:v>139.47338600090148</c:v>
                </c:pt>
                <c:pt idx="37">
                  <c:v>137.30435947823565</c:v>
                </c:pt>
                <c:pt idx="38">
                  <c:v>135.12433039452895</c:v>
                </c:pt>
                <c:pt idx="39">
                  <c:v>132.94626543994451</c:v>
                </c:pt>
                <c:pt idx="40">
                  <c:v>130.7831213171003</c:v>
                </c:pt>
                <c:pt idx="41">
                  <c:v>128.64747346535694</c:v>
                </c:pt>
                <c:pt idx="42">
                  <c:v>126.55117196544589</c:v>
                </c:pt>
                <c:pt idx="43">
                  <c:v>124.50504705010029</c:v>
                </c:pt>
                <c:pt idx="44">
                  <c:v>122.51868060387133</c:v>
                </c:pt>
                <c:pt idx="45">
                  <c:v>120.60025254177849</c:v>
                </c:pt>
                <c:pt idx="46">
                  <c:v>118.7564633090667</c:v>
                </c:pt>
                <c:pt idx="47">
                  <c:v>116.99252708211957</c:v>
                </c:pt>
                <c:pt idx="48">
                  <c:v>115.31222533717633</c:v>
                </c:pt>
                <c:pt idx="49">
                  <c:v>113.71800759722592</c:v>
                </c:pt>
                <c:pt idx="50">
                  <c:v>112.21112526939289</c:v>
                </c:pt>
                <c:pt idx="51">
                  <c:v>110.79178516690844</c:v>
                </c:pt>
                <c:pt idx="52">
                  <c:v>109.45931106446236</c:v>
                </c:pt>
                <c:pt idx="53">
                  <c:v>108.21230395646407</c:v>
                </c:pt>
                <c:pt idx="54">
                  <c:v>107.04879415205578</c:v>
                </c:pt>
                <c:pt idx="55">
                  <c:v>105.96638064796788</c:v>
                </c:pt>
                <c:pt idx="56">
                  <c:v>104.96235519285965</c:v>
                </c:pt>
                <c:pt idx="57">
                  <c:v>104.03381001941617</c:v>
                </c:pt>
                <c:pt idx="58">
                  <c:v>103.17772937125531</c:v>
                </c:pt>
                <c:pt idx="59">
                  <c:v>102.39106573346145</c:v>
                </c:pt>
                <c:pt idx="60">
                  <c:v>101.67080215268867</c:v>
                </c:pt>
                <c:pt idx="61">
                  <c:v>101.01400227484915</c:v>
                </c:pt>
                <c:pt idx="62">
                  <c:v>100.41784980021866</c:v>
                </c:pt>
                <c:pt idx="63">
                  <c:v>99.879679012344326</c:v>
                </c:pt>
                <c:pt idx="64">
                  <c:v>99.396997921978027</c:v>
                </c:pt>
                <c:pt idx="65">
                  <c:v>98.967505412937584</c:v>
                </c:pt>
                <c:pt idx="66">
                  <c:v>98.589103606335598</c:v>
                </c:pt>
                <c:pt idx="67">
                  <c:v>98.259906488350566</c:v>
                </c:pt>
                <c:pt idx="68">
                  <c:v>97.978245684103015</c:v>
                </c:pt>
                <c:pt idx="69">
                  <c:v>97.742674111433189</c:v>
                </c:pt>
                <c:pt idx="70">
                  <c:v>97.5519681156524</c:v>
                </c:pt>
                <c:pt idx="71">
                  <c:v>97.405128569877718</c:v>
                </c:pt>
                <c:pt idx="72">
                  <c:v>97.301381324312814</c:v>
                </c:pt>
                <c:pt idx="73">
                  <c:v>97.240177300004802</c:v>
                </c:pt>
                <c:pt idx="74">
                  <c:v>97.221192445995896</c:v>
                </c:pt>
                <c:pt idx="75">
                  <c:v>97.244327710984138</c:v>
                </c:pt>
                <c:pt idx="76">
                  <c:v>97.309709119149133</c:v>
                </c:pt>
                <c:pt idx="77">
                  <c:v>97.417687982188866</c:v>
                </c:pt>
                <c:pt idx="78">
                  <c:v>97.568841223382549</c:v>
                </c:pt>
                <c:pt idx="79">
                  <c:v>97.763971732162219</c:v>
                </c:pt>
                <c:pt idx="80">
                  <c:v>98.00410860676881</c:v>
                </c:pt>
                <c:pt idx="81">
                  <c:v>98.290507075596778</c:v>
                </c:pt>
                <c:pt idx="82">
                  <c:v>98.624647812321612</c:v>
                </c:pt>
                <c:pt idx="83">
                  <c:v>99.008235273438032</c:v>
                </c:pt>
                <c:pt idx="84">
                  <c:v>99.443194587183953</c:v>
                </c:pt>
                <c:pt idx="85">
                  <c:v>99.931666408125565</c:v>
                </c:pt>
                <c:pt idx="86">
                  <c:v>100.47599902078822</c:v>
                </c:pt>
                <c:pt idx="87">
                  <c:v>101.07873682867547</c:v>
                </c:pt>
                <c:pt idx="88">
                  <c:v>101.74260420377446</c:v>
                </c:pt>
                <c:pt idx="89">
                  <c:v>102.47048350098814</c:v>
                </c:pt>
                <c:pt idx="90">
                  <c:v>103.26538587079757</c:v>
                </c:pt>
                <c:pt idx="91">
                  <c:v>104.13041334644231</c:v>
                </c:pt>
                <c:pt idx="92">
                  <c:v>105.06871056109181</c:v>
                </c:pt>
                <c:pt idx="93">
                  <c:v>106.08340439730789</c:v>
                </c:pt>
                <c:pt idx="94">
                  <c:v>107.17752992785323</c:v>
                </c:pt>
                <c:pt idx="95">
                  <c:v>108.35394122735286</c:v>
                </c:pt>
                <c:pt idx="96">
                  <c:v>109.61520608235148</c:v>
                </c:pt>
                <c:pt idx="97">
                  <c:v>110.96348437234629</c:v>
                </c:pt>
                <c:pt idx="98">
                  <c:v>112.40039100201103</c:v>
                </c:pt>
                <c:pt idx="99">
                  <c:v>113.92684578119646</c:v>
                </c:pt>
                <c:pt idx="100">
                  <c:v>115.54291457860421</c:v>
                </c:pt>
                <c:pt idx="101">
                  <c:v>117.24764835145453</c:v>
                </c:pt>
                <c:pt idx="102">
                  <c:v>119.03892911165404</c:v>
                </c:pt>
                <c:pt idx="103">
                  <c:v>120.91333424205934</c:v>
                </c:pt>
                <c:pt idx="104">
                  <c:v>122.86603241401258</c:v>
                </c:pt>
                <c:pt idx="105">
                  <c:v>124.89072517841001</c:v>
                </c:pt>
                <c:pt idx="106">
                  <c:v>126.97964759446023</c:v>
                </c:pt>
                <c:pt idx="107">
                  <c:v>129.12363862327146</c:v>
                </c:pt>
                <c:pt idx="108">
                  <c:v>131.31228731081521</c:v>
                </c:pt>
                <c:pt idx="109">
                  <c:v>133.53415427615781</c:v>
                </c:pt>
                <c:pt idx="110">
                  <c:v>135.77706042117106</c:v>
                </c:pt>
                <c:pt idx="111">
                  <c:v>138.02842719326023</c:v>
                </c:pt>
                <c:pt idx="112">
                  <c:v>140.27564645637918</c:v>
                </c:pt>
                <c:pt idx="113">
                  <c:v>142.50645423498793</c:v>
                </c:pt>
                <c:pt idx="114">
                  <c:v>144.70928203898762</c:v>
                </c:pt>
                <c:pt idx="115">
                  <c:v>146.87356226233496</c:v>
                </c:pt>
                <c:pt idx="116">
                  <c:v>148.98996970868458</c:v>
                </c:pt>
                <c:pt idx="117">
                  <c:v>151.05058855801548</c:v>
                </c:pt>
                <c:pt idx="118">
                  <c:v>153.0490017545084</c:v>
                </c:pt>
                <c:pt idx="119">
                  <c:v>154.9803066736487</c:v>
                </c:pt>
                <c:pt idx="120">
                  <c:v>156.84106616301702</c:v>
                </c:pt>
                <c:pt idx="121">
                  <c:v>158.62920724456453</c:v>
                </c:pt>
                <c:pt idx="122">
                  <c:v>160.34388094032386</c:v>
                </c:pt>
                <c:pt idx="123">
                  <c:v>161.98529617253814</c:v>
                </c:pt>
                <c:pt idx="124">
                  <c:v>163.55453898735999</c:v>
                </c:pt>
                <c:pt idx="125">
                  <c:v>165.05338597809398</c:v>
                </c:pt>
                <c:pt idx="126">
                  <c:v>166.48411819123871</c:v>
                </c:pt>
                <c:pt idx="127">
                  <c:v>167.84933932527019</c:v>
                </c:pt>
                <c:pt idx="128">
                  <c:v>169.15179989863529</c:v>
                </c:pt>
                <c:pt idx="129">
                  <c:v>170.39422739084227</c:v>
                </c:pt>
                <c:pt idx="130">
                  <c:v>171.57916120050399</c:v>
                </c:pt>
                <c:pt idx="131">
                  <c:v>172.70879062951451</c:v>
                </c:pt>
                <c:pt idx="132">
                  <c:v>173.78479399145928</c:v>
                </c:pt>
                <c:pt idx="133">
                  <c:v>174.8081773540425</c:v>
                </c:pt>
                <c:pt idx="134">
                  <c:v>175.77911236457902</c:v>
                </c:pt>
                <c:pt idx="135">
                  <c:v>176.69677407917166</c:v>
                </c:pt>
                <c:pt idx="136">
                  <c:v>177.55918170821673</c:v>
                </c:pt>
                <c:pt idx="137">
                  <c:v>178.36304764910716</c:v>
                </c:pt>
                <c:pt idx="138">
                  <c:v>179.10364297260577</c:v>
                </c:pt>
                <c:pt idx="139">
                  <c:v>179.7746904266271</c:v>
                </c:pt>
                <c:pt idx="140">
                  <c:v>180.36829865564033</c:v>
                </c:pt>
                <c:pt idx="141">
                  <c:v>180.87495321509323</c:v>
                </c:pt>
                <c:pt idx="142">
                  <c:v>181.28358051401034</c:v>
                </c:pt>
                <c:pt idx="143">
                  <c:v>181.58169947900774</c:v>
                </c:pt>
                <c:pt idx="144">
                  <c:v>181.75567207752803</c:v>
                </c:pt>
                <c:pt idx="145">
                  <c:v>181.79105774579992</c:v>
                </c:pt>
                <c:pt idx="146">
                  <c:v>181.67306854625781</c:v>
                </c:pt>
                <c:pt idx="147">
                  <c:v>181.387112314192</c:v>
                </c:pt>
                <c:pt idx="148">
                  <c:v>180.91940132480377</c:v>
                </c:pt>
                <c:pt idx="149">
                  <c:v>180.25759548804757</c:v>
                </c:pt>
                <c:pt idx="150">
                  <c:v>179.39144302874098</c:v>
                </c:pt>
                <c:pt idx="151">
                  <c:v>178.31337892751574</c:v>
                </c:pt>
                <c:pt idx="152">
                  <c:v>177.01904243220366</c:v>
                </c:pt>
                <c:pt idx="153">
                  <c:v>175.5076794851733</c:v>
                </c:pt>
                <c:pt idx="154">
                  <c:v>173.78240329793877</c:v>
                </c:pt>
                <c:pt idx="155">
                  <c:v>171.85029564374528</c:v>
                </c:pt>
                <c:pt idx="156">
                  <c:v>169.72234177362708</c:v>
                </c:pt>
                <c:pt idx="157">
                  <c:v>167.41320229213042</c:v>
                </c:pt>
                <c:pt idx="158">
                  <c:v>164.94083507319053</c:v>
                </c:pt>
                <c:pt idx="159">
                  <c:v>162.32598871621681</c:v>
                </c:pt>
                <c:pt idx="160">
                  <c:v>159.59159566613039</c:v>
                </c:pt>
                <c:pt idx="161">
                  <c:v>156.762097664219</c:v>
                </c:pt>
                <c:pt idx="162">
                  <c:v>153.86273855687668</c:v>
                </c:pt>
                <c:pt idx="163">
                  <c:v>150.91885970308115</c:v>
                </c:pt>
                <c:pt idx="164">
                  <c:v>147.95523139959272</c:v>
                </c:pt>
                <c:pt idx="165">
                  <c:v>144.99545002488486</c:v>
                </c:pt>
                <c:pt idx="166">
                  <c:v>142.06142516861559</c:v>
                </c:pt>
                <c:pt idx="167">
                  <c:v>139.17297414898388</c:v>
                </c:pt>
                <c:pt idx="168">
                  <c:v>136.34753349071772</c:v>
                </c:pt>
                <c:pt idx="169">
                  <c:v>133.59998880447233</c:v>
                </c:pt>
                <c:pt idx="170">
                  <c:v>130.94261686210243</c:v>
                </c:pt>
                <c:pt idx="171">
                  <c:v>128.38512726782162</c:v>
                </c:pt>
                <c:pt idx="172">
                  <c:v>125.93478656246648</c:v>
                </c:pt>
                <c:pt idx="173">
                  <c:v>123.59660514324723</c:v>
                </c:pt>
                <c:pt idx="174">
                  <c:v>121.37356697752057</c:v>
                </c:pt>
                <c:pt idx="175">
                  <c:v>119.26688340225412</c:v>
                </c:pt>
                <c:pt idx="176">
                  <c:v>117.27625483077759</c:v>
                </c:pt>
                <c:pt idx="177">
                  <c:v>115.40012739101195</c:v>
                </c:pt>
                <c:pt idx="178">
                  <c:v>113.63593490613691</c:v>
                </c:pt>
                <c:pt idx="179">
                  <c:v>111.98031982624839</c:v>
                </c:pt>
                <c:pt idx="180">
                  <c:v>110.42932948909956</c:v>
                </c:pt>
                <c:pt idx="181">
                  <c:v>108.97858631444772</c:v>
                </c:pt>
                <c:pt idx="182">
                  <c:v>107.62343220112585</c:v>
                </c:pt>
                <c:pt idx="183">
                  <c:v>106.35904854421626</c:v>
                </c:pt>
                <c:pt idx="184">
                  <c:v>105.18055400195509</c:v>
                </c:pt>
                <c:pt idx="185">
                  <c:v>104.08308251086979</c:v>
                </c:pt>
                <c:pt idx="186">
                  <c:v>103.06184416303911</c:v>
                </c:pt>
                <c:pt idx="187">
                  <c:v>102.11217149993948</c:v>
                </c:pt>
                <c:pt idx="188">
                  <c:v>101.22955360703446</c:v>
                </c:pt>
                <c:pt idx="189">
                  <c:v>100.4096601609298</c:v>
                </c:pt>
                <c:pt idx="190">
                  <c:v>99.648357321867053</c:v>
                </c:pt>
                <c:pt idx="191">
                  <c:v>98.941717102590033</c:v>
                </c:pt>
                <c:pt idx="192">
                  <c:v>98.286021595480079</c:v>
                </c:pt>
                <c:pt idx="193">
                  <c:v>97.677763212061734</c:v>
                </c:pt>
                <c:pt idx="194">
                  <c:v>97.113641886713751</c:v>
                </c:pt>
                <c:pt idx="195">
                  <c:v>96.590560020774475</c:v>
                </c:pt>
                <c:pt idx="196">
                  <c:v>96.105615793354644</c:v>
                </c:pt>
                <c:pt idx="197">
                  <c:v>95.65609533910073</c:v>
                </c:pt>
                <c:pt idx="198">
                  <c:v>95.239464188361055</c:v>
                </c:pt>
                <c:pt idx="199">
                  <c:v>94.853358278983208</c:v>
                </c:pt>
                <c:pt idx="200">
                  <c:v>94.495574778661734</c:v>
                </c:pt>
                <c:pt idx="201">
                  <c:v>94.164062899876697</c:v>
                </c:pt>
                <c:pt idx="202">
                  <c:v>93.856914843802656</c:v>
                </c:pt>
                <c:pt idx="203">
                  <c:v>93.572356973170429</c:v>
                </c:pt>
                <c:pt idx="204">
                  <c:v>93.308741285266493</c:v>
                </c:pt>
                <c:pt idx="205">
                  <c:v>93.064537233638532</c:v>
                </c:pt>
                <c:pt idx="206">
                  <c:v>92.838323929461126</c:v>
                </c:pt>
                <c:pt idx="207">
                  <c:v>92.628782739922329</c:v>
                </c:pt>
                <c:pt idx="208">
                  <c:v>92.434690290615151</c:v>
                </c:pt>
                <c:pt idx="209">
                  <c:v>92.254911871100376</c:v>
                </c:pt>
                <c:pt idx="210">
                  <c:v>92.088395237016499</c:v>
                </c:pt>
              </c:numCache>
            </c:numRef>
          </c:yVal>
          <c:smooth val="1"/>
        </c:ser>
        <c:dLbls>
          <c:showLegendKey val="0"/>
          <c:showVal val="0"/>
          <c:showCatName val="0"/>
          <c:showSerName val="0"/>
          <c:showPercent val="0"/>
          <c:showBubbleSize val="0"/>
        </c:dLbls>
        <c:axId val="168502016"/>
        <c:axId val="168503552"/>
      </c:scatterChart>
      <c:valAx>
        <c:axId val="168284928"/>
        <c:scaling>
          <c:logBase val="10"/>
          <c:orientation val="minMax"/>
          <c:max val="1000000"/>
          <c:min val="10"/>
        </c:scaling>
        <c:delete val="1"/>
        <c:axPos val="b"/>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Frequency (Hz)</a:t>
                </a:r>
              </a:p>
            </c:rich>
          </c:tx>
          <c:layout>
            <c:manualLayout>
              <c:xMode val="edge"/>
              <c:yMode val="edge"/>
              <c:x val="0.43990130318677484"/>
              <c:y val="0.88903473333438965"/>
            </c:manualLayout>
          </c:layout>
          <c:overlay val="0"/>
          <c:spPr>
            <a:noFill/>
            <a:ln w="25400">
              <a:noFill/>
            </a:ln>
          </c:spPr>
        </c:title>
        <c:numFmt formatCode="General" sourceLinked="1"/>
        <c:majorTickMark val="out"/>
        <c:minorTickMark val="none"/>
        <c:tickLblPos val="nextTo"/>
        <c:crossAx val="168286848"/>
        <c:crossesAt val="0"/>
        <c:crossBetween val="midCat"/>
      </c:valAx>
      <c:valAx>
        <c:axId val="168286848"/>
        <c:scaling>
          <c:orientation val="minMax"/>
          <c:max val="60"/>
          <c:min val="-40"/>
        </c:scaling>
        <c:delete val="0"/>
        <c:axPos val="l"/>
        <c:majorGridlines>
          <c:spPr>
            <a:ln w="3175">
              <a:solidFill>
                <a:srgbClr val="000000"/>
              </a:solidFill>
              <a:prstDash val="solid"/>
            </a:ln>
          </c:spPr>
        </c:majorGridlines>
        <c:minorGridlines/>
        <c:title>
          <c:tx>
            <c:rich>
              <a:bodyPr/>
              <a:lstStyle/>
              <a:p>
                <a:pPr>
                  <a:defRPr sz="1000" b="1" i="0" u="none" strike="noStrike" baseline="0">
                    <a:solidFill>
                      <a:srgbClr val="000000"/>
                    </a:solidFill>
                    <a:latin typeface="Arial"/>
                    <a:ea typeface="Arial"/>
                    <a:cs typeface="Arial"/>
                  </a:defRPr>
                </a:pPr>
                <a:r>
                  <a:rPr lang="en-US"/>
                  <a:t>Gain - dB</a:t>
                </a:r>
              </a:p>
            </c:rich>
          </c:tx>
          <c:layout>
            <c:manualLayout>
              <c:xMode val="edge"/>
              <c:yMode val="edge"/>
              <c:x val="1.6337105465302676E-2"/>
              <c:y val="0.41125163051801622"/>
            </c:manualLayout>
          </c:layout>
          <c:overlay val="0"/>
          <c:spPr>
            <a:noFill/>
            <a:ln w="25400">
              <a:noFill/>
            </a:ln>
          </c:spPr>
        </c:title>
        <c:numFmt formatCode="General" sourceLinked="1"/>
        <c:majorTickMark val="cross"/>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168284928"/>
        <c:crosses val="autoZero"/>
        <c:crossBetween val="midCat"/>
        <c:majorUnit val="10"/>
        <c:minorUnit val="5"/>
      </c:valAx>
      <c:valAx>
        <c:axId val="168502016"/>
        <c:scaling>
          <c:logBase val="10"/>
          <c:orientation val="minMax"/>
          <c:max val="1000000"/>
          <c:min val="10"/>
        </c:scaling>
        <c:delete val="0"/>
        <c:axPos val="b"/>
        <c:minorGridlines/>
        <c:numFmt formatCode="General" sourceLinked="1"/>
        <c:majorTickMark val="cross"/>
        <c:minorTickMark val="none"/>
        <c:tickLblPos val="low"/>
        <c:spPr>
          <a:ln w="19050" cmpd="sng">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68503552"/>
        <c:crosses val="autoZero"/>
        <c:crossBetween val="midCat"/>
      </c:valAx>
      <c:valAx>
        <c:axId val="168503552"/>
        <c:scaling>
          <c:orientation val="minMax"/>
          <c:max val="270"/>
          <c:min val="-180"/>
        </c:scaling>
        <c:delete val="0"/>
        <c:axPos val="r"/>
        <c:title>
          <c:tx>
            <c:rich>
              <a:bodyPr/>
              <a:lstStyle/>
              <a:p>
                <a:pPr>
                  <a:defRPr sz="1000" b="1" i="0" u="none" strike="noStrike" baseline="0">
                    <a:solidFill>
                      <a:srgbClr val="000000"/>
                    </a:solidFill>
                    <a:latin typeface="Arial"/>
                    <a:ea typeface="Arial"/>
                    <a:cs typeface="Arial"/>
                  </a:defRPr>
                </a:pPr>
                <a:r>
                  <a:rPr lang="en-US"/>
                  <a:t>Phase - deg</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168502016"/>
        <c:crosses val="max"/>
        <c:crossBetween val="midCat"/>
        <c:majorUnit val="45"/>
      </c:valAx>
      <c:spPr>
        <a:noFill/>
        <a:ln w="12700">
          <a:solidFill>
            <a:srgbClr val="808080"/>
          </a:solidFill>
          <a:prstDash val="solid"/>
        </a:ln>
      </c:spPr>
    </c:plotArea>
    <c:legend>
      <c:legendPos val="r"/>
      <c:layout>
        <c:manualLayout>
          <c:xMode val="edge"/>
          <c:yMode val="edge"/>
          <c:x val="5.519254265330123E-2"/>
          <c:y val="0.92555450815126983"/>
          <c:w val="0.87509163478748164"/>
          <c:h val="2.917505030181089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211" r="0.75000000000000211" t="1" header="0.5" footer="0.5"/>
    <c:pageSetup orientation="landscape"/>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38</xdr:row>
          <xdr:rowOff>83820</xdr:rowOff>
        </xdr:from>
        <xdr:to>
          <xdr:col>3</xdr:col>
          <xdr:colOff>190500</xdr:colOff>
          <xdr:row>61</xdr:row>
          <xdr:rowOff>114300</xdr:rowOff>
        </xdr:to>
        <xdr:sp macro="" textlink="">
          <xdr:nvSpPr>
            <xdr:cNvPr id="13492" name="Object 180" hidden="1">
              <a:extLst>
                <a:ext uri="{63B3BB69-23CF-44E3-9099-C40C66FF867C}">
                  <a14:compatExt spid="_x0000_s1349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0</xdr:colOff>
      <xdr:row>2</xdr:row>
      <xdr:rowOff>0</xdr:rowOff>
    </xdr:from>
    <xdr:to>
      <xdr:col>16</xdr:col>
      <xdr:colOff>1095935</xdr:colOff>
      <xdr:row>39</xdr:row>
      <xdr:rowOff>98612</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1" displayName="Table1" ref="A1:AD1048575" totalsRowShown="0" headerRowDxfId="0">
  <autoFilter ref="A1:AD1048575"/>
  <sortState ref="A2:AD23">
    <sortCondition ref="A2:A1048575"/>
  </sortState>
  <tableColumns count="30">
    <tableColumn id="1" name="Part Number"/>
    <tableColumn id="2" name="PWR Number"/>
    <tableColumn id="3" name="CIN RD"/>
    <tableColumn id="4" name="COUT RD"/>
    <tableColumn id="5" name="Vdev min"/>
    <tableColumn id="6" name="Vdev max"/>
    <tableColumn id="30" name="Idev"/>
    <tableColumn id="7" name="gmea"/>
    <tableColumn id="8" name="gmps"/>
    <tableColumn id="9" name="Se"/>
    <tableColumn id="10" name="Vref"/>
    <tableColumn id="11" name="Vref tol"/>
    <tableColumn id="12" name="Line Load Reg"/>
    <tableColumn id="13" name="I1"/>
    <tableColumn id="14" name="Ihyst"/>
    <tableColumn id="15" name="Vena start"/>
    <tableColumn id="16" name="Vena stop"/>
    <tableColumn id="17" name="EA BW"/>
    <tableColumn id="18" name="fsw max"/>
    <tableColumn id="19" name="fsw min range"/>
    <tableColumn id="20" name="I current limit"/>
    <tableColumn id="21" name="Iq non switching"/>
    <tableColumn id="22" name="ton min"/>
    <tableColumn id="23" name="Rhs"/>
    <tableColumn id="24" name="Rls"/>
    <tableColumn id="25" name="Rt"/>
    <tableColumn id="26" name="freq"/>
    <tableColumn id="27" name="Iss"/>
    <tableColumn id="28" name="Ven max"/>
    <tableColumn id="29" name="FCCM"/>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table" Target="../tables/table1.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30"/>
  <sheetViews>
    <sheetView zoomScaleNormal="100" workbookViewId="0">
      <selection activeCell="L4" sqref="L4"/>
    </sheetView>
  </sheetViews>
  <sheetFormatPr defaultColWidth="0" defaultRowHeight="13.2" zeroHeight="1" x14ac:dyDescent="0.25"/>
  <cols>
    <col min="1" max="1" width="5.6640625" customWidth="1"/>
    <col min="2" max="12" width="9.109375" customWidth="1"/>
    <col min="13" max="13" width="10.109375" bestFit="1" customWidth="1"/>
    <col min="14" max="14" width="9.109375" customWidth="1"/>
    <col min="15" max="15" width="5.6640625" customWidth="1"/>
    <col min="16" max="16384" width="9.109375" hidden="1"/>
  </cols>
  <sheetData>
    <row r="1" spans="1:15" x14ac:dyDescent="0.25">
      <c r="A1" s="227"/>
      <c r="B1" s="227"/>
      <c r="C1" s="227"/>
      <c r="D1" s="227"/>
      <c r="E1" s="227"/>
      <c r="F1" s="227"/>
      <c r="G1" s="227"/>
      <c r="H1" s="227"/>
      <c r="I1" s="227"/>
      <c r="J1" s="227"/>
      <c r="K1" s="227"/>
      <c r="L1" s="227"/>
      <c r="M1" s="227"/>
      <c r="N1" s="227"/>
      <c r="O1" s="227"/>
    </row>
    <row r="2" spans="1:15" ht="13.8" thickBot="1" x14ac:dyDescent="0.3">
      <c r="A2" s="227"/>
      <c r="B2" s="227"/>
      <c r="C2" s="227"/>
      <c r="D2" s="227"/>
      <c r="E2" s="227"/>
      <c r="F2" s="227"/>
      <c r="G2" s="227"/>
      <c r="H2" s="227"/>
      <c r="I2" s="227"/>
      <c r="J2" s="227"/>
      <c r="K2" s="227"/>
      <c r="L2" s="227"/>
      <c r="M2" s="227"/>
      <c r="N2" s="227"/>
      <c r="O2" s="227"/>
    </row>
    <row r="3" spans="1:15" ht="13.8" thickTop="1" x14ac:dyDescent="0.25">
      <c r="A3" s="227"/>
      <c r="B3" s="12"/>
      <c r="C3" s="13"/>
      <c r="D3" s="13"/>
      <c r="E3" s="13"/>
      <c r="F3" s="13"/>
      <c r="G3" s="13"/>
      <c r="H3" s="13"/>
      <c r="I3" s="13"/>
      <c r="J3" s="13"/>
      <c r="K3" s="13"/>
      <c r="L3" s="13"/>
      <c r="M3" s="13"/>
      <c r="N3" s="14"/>
      <c r="O3" s="227"/>
    </row>
    <row r="4" spans="1:15" x14ac:dyDescent="0.25">
      <c r="A4" s="227"/>
      <c r="B4" s="15"/>
      <c r="C4" s="16"/>
      <c r="D4" s="16"/>
      <c r="E4" s="16"/>
      <c r="F4" s="16"/>
      <c r="G4" s="16"/>
      <c r="H4" s="16"/>
      <c r="I4" s="16"/>
      <c r="J4" s="16"/>
      <c r="K4" s="16"/>
      <c r="L4" s="250" t="s">
        <v>363</v>
      </c>
      <c r="M4" s="226">
        <v>43178</v>
      </c>
      <c r="N4" s="17"/>
      <c r="O4" s="227"/>
    </row>
    <row r="5" spans="1:15" ht="30" x14ac:dyDescent="0.5">
      <c r="A5" s="227"/>
      <c r="B5" s="18"/>
      <c r="C5" s="19" t="s">
        <v>310</v>
      </c>
      <c r="D5" s="19"/>
      <c r="E5" s="19"/>
      <c r="F5" s="19"/>
      <c r="G5" s="19"/>
      <c r="H5" s="19"/>
      <c r="I5" s="19"/>
      <c r="J5" s="19"/>
      <c r="K5" s="19"/>
      <c r="L5" s="19"/>
      <c r="M5" s="19"/>
      <c r="N5" s="20"/>
      <c r="O5" s="227"/>
    </row>
    <row r="6" spans="1:15" x14ac:dyDescent="0.25">
      <c r="A6" s="227"/>
      <c r="B6" s="15"/>
      <c r="C6" s="253" t="s">
        <v>312</v>
      </c>
      <c r="D6" s="254"/>
      <c r="E6" s="254"/>
      <c r="F6" s="254"/>
      <c r="G6" s="254"/>
      <c r="H6" s="254"/>
      <c r="I6" s="254"/>
      <c r="J6" s="254"/>
      <c r="K6" s="254"/>
      <c r="L6" s="254"/>
      <c r="M6" s="254"/>
      <c r="N6" s="17"/>
      <c r="O6" s="227"/>
    </row>
    <row r="7" spans="1:15" x14ac:dyDescent="0.25">
      <c r="A7" s="227"/>
      <c r="B7" s="15"/>
      <c r="C7" s="16"/>
      <c r="D7" s="16"/>
      <c r="E7" s="16"/>
      <c r="F7" s="16"/>
      <c r="G7" s="16"/>
      <c r="H7" s="16"/>
      <c r="I7" s="16"/>
      <c r="J7" s="16"/>
      <c r="K7" s="16"/>
      <c r="L7" s="16"/>
      <c r="M7" s="16"/>
      <c r="N7" s="17"/>
      <c r="O7" s="227"/>
    </row>
    <row r="8" spans="1:15" x14ac:dyDescent="0.25">
      <c r="A8" s="227"/>
      <c r="B8" s="15"/>
      <c r="C8" s="251" t="s">
        <v>212</v>
      </c>
      <c r="D8" s="251"/>
      <c r="E8" s="251"/>
      <c r="F8" s="251"/>
      <c r="G8" s="251"/>
      <c r="H8" s="251"/>
      <c r="I8" s="251"/>
      <c r="J8" s="251"/>
      <c r="K8" s="251"/>
      <c r="L8" s="251"/>
      <c r="M8" s="251"/>
      <c r="N8" s="17"/>
      <c r="O8" s="227"/>
    </row>
    <row r="9" spans="1:15" x14ac:dyDescent="0.25">
      <c r="A9" s="227"/>
      <c r="B9" s="15"/>
      <c r="C9" s="251"/>
      <c r="D9" s="251"/>
      <c r="E9" s="251"/>
      <c r="F9" s="251"/>
      <c r="G9" s="251"/>
      <c r="H9" s="251"/>
      <c r="I9" s="251"/>
      <c r="J9" s="251"/>
      <c r="K9" s="251"/>
      <c r="L9" s="251"/>
      <c r="M9" s="251"/>
      <c r="N9" s="17"/>
      <c r="O9" s="227"/>
    </row>
    <row r="10" spans="1:15" x14ac:dyDescent="0.25">
      <c r="A10" s="227"/>
      <c r="B10" s="15"/>
      <c r="C10" s="16"/>
      <c r="D10" s="16"/>
      <c r="E10" s="16"/>
      <c r="F10" s="16"/>
      <c r="G10" s="16"/>
      <c r="H10" s="16"/>
      <c r="I10" s="16"/>
      <c r="J10" s="16"/>
      <c r="K10" s="16"/>
      <c r="L10" s="16"/>
      <c r="M10" s="16"/>
      <c r="N10" s="17"/>
      <c r="O10" s="227"/>
    </row>
    <row r="11" spans="1:15" x14ac:dyDescent="0.25">
      <c r="A11" s="227"/>
      <c r="B11" s="15"/>
      <c r="C11" s="253" t="s">
        <v>313</v>
      </c>
      <c r="D11" s="254"/>
      <c r="E11" s="254"/>
      <c r="F11" s="254"/>
      <c r="G11" s="254"/>
      <c r="H11" s="254"/>
      <c r="I11" s="254"/>
      <c r="J11" s="254"/>
      <c r="K11" s="254"/>
      <c r="L11" s="254"/>
      <c r="M11" s="254"/>
      <c r="N11" s="17"/>
      <c r="O11" s="227"/>
    </row>
    <row r="12" spans="1:15" x14ac:dyDescent="0.25">
      <c r="A12" s="227"/>
      <c r="B12" s="15"/>
      <c r="C12" s="255" t="s">
        <v>311</v>
      </c>
      <c r="D12" s="255"/>
      <c r="E12" s="255"/>
      <c r="F12" s="255"/>
      <c r="G12" s="255"/>
      <c r="H12" s="255"/>
      <c r="I12" s="255"/>
      <c r="J12" s="255"/>
      <c r="K12" s="255"/>
      <c r="L12" s="255"/>
      <c r="M12" s="255"/>
      <c r="N12" s="17"/>
      <c r="O12" s="227"/>
    </row>
    <row r="13" spans="1:15" x14ac:dyDescent="0.25">
      <c r="A13" s="227"/>
      <c r="B13" s="15"/>
      <c r="C13" s="256" t="s">
        <v>75</v>
      </c>
      <c r="D13" s="256"/>
      <c r="E13" s="256"/>
      <c r="F13" s="256"/>
      <c r="G13" s="256"/>
      <c r="H13" s="256"/>
      <c r="I13" s="256"/>
      <c r="J13" s="256"/>
      <c r="K13" s="256"/>
      <c r="L13" s="256"/>
      <c r="M13" s="256"/>
      <c r="N13" s="17"/>
      <c r="O13" s="227"/>
    </row>
    <row r="14" spans="1:15" x14ac:dyDescent="0.25">
      <c r="A14" s="227"/>
      <c r="B14" s="15"/>
      <c r="C14" s="7"/>
      <c r="D14" s="7"/>
      <c r="E14" s="7"/>
      <c r="F14" s="7"/>
      <c r="G14" s="16"/>
      <c r="H14" s="16"/>
      <c r="I14" s="16"/>
      <c r="J14" s="16"/>
      <c r="K14" s="16"/>
      <c r="L14" s="16"/>
      <c r="M14" s="16"/>
      <c r="N14" s="17"/>
      <c r="O14" s="227"/>
    </row>
    <row r="15" spans="1:15" x14ac:dyDescent="0.25">
      <c r="A15" s="227"/>
      <c r="B15" s="15"/>
      <c r="C15" s="254" t="s">
        <v>137</v>
      </c>
      <c r="D15" s="254"/>
      <c r="E15" s="254"/>
      <c r="F15" s="254"/>
      <c r="G15" s="254"/>
      <c r="H15" s="254"/>
      <c r="I15" s="254"/>
      <c r="J15" s="254"/>
      <c r="K15" s="254"/>
      <c r="L15" s="254"/>
      <c r="M15" s="254"/>
      <c r="N15" s="17"/>
      <c r="O15" s="227"/>
    </row>
    <row r="16" spans="1:15" x14ac:dyDescent="0.25">
      <c r="A16" s="227"/>
      <c r="B16" s="15"/>
      <c r="C16" s="16"/>
      <c r="D16" s="16"/>
      <c r="E16" s="16"/>
      <c r="F16" s="16"/>
      <c r="G16" s="16"/>
      <c r="H16" s="16"/>
      <c r="I16" s="16"/>
      <c r="J16" s="16"/>
      <c r="K16" s="16"/>
      <c r="L16" s="16"/>
      <c r="M16" s="16"/>
      <c r="N16" s="17"/>
      <c r="O16" s="227"/>
    </row>
    <row r="17" spans="1:15" x14ac:dyDescent="0.25">
      <c r="A17" s="227"/>
      <c r="B17" s="15"/>
      <c r="C17" s="253" t="s">
        <v>314</v>
      </c>
      <c r="D17" s="254"/>
      <c r="E17" s="254"/>
      <c r="F17" s="254"/>
      <c r="G17" s="254"/>
      <c r="H17" s="254"/>
      <c r="I17" s="254"/>
      <c r="J17" s="254"/>
      <c r="K17" s="254"/>
      <c r="L17" s="254"/>
      <c r="M17" s="254"/>
      <c r="N17" s="17"/>
      <c r="O17" s="227"/>
    </row>
    <row r="18" spans="1:15" ht="13.8" thickBot="1" x14ac:dyDescent="0.3">
      <c r="A18" s="227"/>
      <c r="B18" s="15"/>
      <c r="C18" s="16"/>
      <c r="D18" s="16"/>
      <c r="E18" s="16"/>
      <c r="F18" s="16"/>
      <c r="G18" s="16"/>
      <c r="H18" s="16"/>
      <c r="I18" s="16"/>
      <c r="J18" s="16"/>
      <c r="K18" s="16"/>
      <c r="L18" s="16"/>
      <c r="M18" s="16"/>
      <c r="N18" s="17"/>
      <c r="O18" s="227"/>
    </row>
    <row r="19" spans="1:15" x14ac:dyDescent="0.25">
      <c r="A19" s="227"/>
      <c r="B19" s="15"/>
      <c r="C19" s="21"/>
      <c r="D19" s="22"/>
      <c r="E19" s="22"/>
      <c r="F19" s="22"/>
      <c r="G19" s="22"/>
      <c r="H19" s="22"/>
      <c r="I19" s="22"/>
      <c r="J19" s="22"/>
      <c r="K19" s="22"/>
      <c r="L19" s="22"/>
      <c r="M19" s="23"/>
      <c r="N19" s="17"/>
      <c r="O19" s="227"/>
    </row>
    <row r="20" spans="1:15" ht="15.6" x14ac:dyDescent="0.25">
      <c r="A20" s="227"/>
      <c r="B20" s="15"/>
      <c r="C20" s="24"/>
      <c r="D20" s="257" t="s">
        <v>74</v>
      </c>
      <c r="E20" s="257"/>
      <c r="F20" s="257"/>
      <c r="G20" s="257"/>
      <c r="H20" s="257"/>
      <c r="I20" s="257"/>
      <c r="J20" s="257"/>
      <c r="K20" s="257"/>
      <c r="L20" s="257"/>
      <c r="M20" s="25"/>
      <c r="N20" s="17"/>
      <c r="O20" s="227"/>
    </row>
    <row r="21" spans="1:15" x14ac:dyDescent="0.25">
      <c r="A21" s="227"/>
      <c r="B21" s="15"/>
      <c r="C21" s="24"/>
      <c r="D21" s="252" t="s">
        <v>172</v>
      </c>
      <c r="E21" s="252"/>
      <c r="F21" s="252"/>
      <c r="G21" s="252"/>
      <c r="H21" s="252"/>
      <c r="I21" s="252"/>
      <c r="J21" s="252"/>
      <c r="K21" s="252"/>
      <c r="L21" s="252"/>
      <c r="M21" s="25"/>
      <c r="N21" s="17"/>
      <c r="O21" s="227"/>
    </row>
    <row r="22" spans="1:15" x14ac:dyDescent="0.25">
      <c r="A22" s="227"/>
      <c r="B22" s="15"/>
      <c r="C22" s="24"/>
      <c r="D22" s="252"/>
      <c r="E22" s="252"/>
      <c r="F22" s="252"/>
      <c r="G22" s="252"/>
      <c r="H22" s="252"/>
      <c r="I22" s="252"/>
      <c r="J22" s="252"/>
      <c r="K22" s="252"/>
      <c r="L22" s="252"/>
      <c r="M22" s="25"/>
      <c r="N22" s="17"/>
      <c r="O22" s="227"/>
    </row>
    <row r="23" spans="1:15" x14ac:dyDescent="0.25">
      <c r="A23" s="227"/>
      <c r="B23" s="15"/>
      <c r="C23" s="24"/>
      <c r="D23" s="252"/>
      <c r="E23" s="252"/>
      <c r="F23" s="252"/>
      <c r="G23" s="252"/>
      <c r="H23" s="252"/>
      <c r="I23" s="252"/>
      <c r="J23" s="252"/>
      <c r="K23" s="252"/>
      <c r="L23" s="252"/>
      <c r="M23" s="25"/>
      <c r="N23" s="17"/>
      <c r="O23" s="227"/>
    </row>
    <row r="24" spans="1:15" x14ac:dyDescent="0.25">
      <c r="A24" s="227"/>
      <c r="B24" s="15"/>
      <c r="C24" s="24"/>
      <c r="D24" s="252"/>
      <c r="E24" s="252"/>
      <c r="F24" s="252"/>
      <c r="G24" s="252"/>
      <c r="H24" s="252"/>
      <c r="I24" s="252"/>
      <c r="J24" s="252"/>
      <c r="K24" s="252"/>
      <c r="L24" s="252"/>
      <c r="M24" s="25"/>
      <c r="N24" s="17"/>
      <c r="O24" s="227"/>
    </row>
    <row r="25" spans="1:15" ht="13.8" thickBot="1" x14ac:dyDescent="0.3">
      <c r="A25" s="227"/>
      <c r="B25" s="15"/>
      <c r="C25" s="26"/>
      <c r="D25" s="27"/>
      <c r="E25" s="27"/>
      <c r="F25" s="27"/>
      <c r="G25" s="27"/>
      <c r="H25" s="27"/>
      <c r="I25" s="27"/>
      <c r="J25" s="27"/>
      <c r="K25" s="27"/>
      <c r="L25" s="27"/>
      <c r="M25" s="28"/>
      <c r="N25" s="17"/>
      <c r="O25" s="227"/>
    </row>
    <row r="26" spans="1:15" x14ac:dyDescent="0.25">
      <c r="A26" s="227"/>
      <c r="B26" s="15"/>
      <c r="C26" s="16"/>
      <c r="D26" s="16"/>
      <c r="E26" s="16"/>
      <c r="F26" s="16"/>
      <c r="G26" s="16"/>
      <c r="H26" s="16"/>
      <c r="I26" s="16"/>
      <c r="J26" s="16"/>
      <c r="K26" s="16"/>
      <c r="L26" s="16"/>
      <c r="M26" s="16"/>
      <c r="N26" s="17"/>
      <c r="O26" s="227"/>
    </row>
    <row r="27" spans="1:15" ht="13.8" thickBot="1" x14ac:dyDescent="0.3">
      <c r="A27" s="227"/>
      <c r="B27" s="29"/>
      <c r="C27" s="30"/>
      <c r="D27" s="30"/>
      <c r="E27" s="30"/>
      <c r="F27" s="30"/>
      <c r="G27" s="30"/>
      <c r="H27" s="30"/>
      <c r="I27" s="30"/>
      <c r="J27" s="30"/>
      <c r="K27" s="30"/>
      <c r="L27" s="30"/>
      <c r="M27" s="30"/>
      <c r="N27" s="31"/>
      <c r="O27" s="227"/>
    </row>
    <row r="28" spans="1:15" ht="13.8" thickTop="1" x14ac:dyDescent="0.25">
      <c r="A28" s="227"/>
      <c r="B28" s="227"/>
      <c r="C28" s="227"/>
      <c r="D28" s="227"/>
      <c r="E28" s="227"/>
      <c r="F28" s="227"/>
      <c r="G28" s="227"/>
      <c r="H28" s="227"/>
      <c r="I28" s="227"/>
      <c r="J28" s="227"/>
      <c r="K28" s="227"/>
      <c r="L28" s="227"/>
      <c r="M28" s="227"/>
      <c r="N28" s="227"/>
      <c r="O28" s="227"/>
    </row>
    <row r="29" spans="1:15" x14ac:dyDescent="0.25">
      <c r="A29" s="227"/>
      <c r="B29" s="227"/>
      <c r="C29" s="227"/>
      <c r="D29" s="227"/>
      <c r="E29" s="227"/>
      <c r="F29" s="227"/>
      <c r="G29" s="227"/>
      <c r="H29" s="227"/>
      <c r="I29" s="227"/>
      <c r="J29" s="227"/>
      <c r="K29" s="227"/>
      <c r="L29" s="227"/>
      <c r="M29" s="227"/>
      <c r="N29" s="227"/>
      <c r="O29" s="227"/>
    </row>
    <row r="30" spans="1:15" hidden="1" x14ac:dyDescent="0.25"/>
  </sheetData>
  <sheetProtection sheet="1" objects="1" scenarios="1" selectLockedCells="1"/>
  <mergeCells count="9">
    <mergeCell ref="C8:M9"/>
    <mergeCell ref="D21:L24"/>
    <mergeCell ref="C6:M6"/>
    <mergeCell ref="C11:M11"/>
    <mergeCell ref="C12:M12"/>
    <mergeCell ref="C13:M13"/>
    <mergeCell ref="C15:M15"/>
    <mergeCell ref="C17:M17"/>
    <mergeCell ref="D20:L20"/>
  </mergeCells>
  <phoneticPr fontId="2"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N195"/>
  <sheetViews>
    <sheetView tabSelected="1" topLeftCell="A79" zoomScale="85" zoomScaleNormal="85" workbookViewId="0">
      <selection activeCell="F83" sqref="F83"/>
    </sheetView>
  </sheetViews>
  <sheetFormatPr defaultColWidth="0" defaultRowHeight="13.2" zeroHeight="1" x14ac:dyDescent="0.25"/>
  <cols>
    <col min="1" max="1" width="72.33203125" style="135" bestFit="1" customWidth="1"/>
    <col min="2" max="2" width="18.6640625" style="125" bestFit="1" customWidth="1"/>
    <col min="3" max="3" width="9.6640625" style="125" bestFit="1" customWidth="1"/>
    <col min="4" max="4" width="12.88671875" style="125" bestFit="1" customWidth="1"/>
    <col min="5" max="5" width="21.6640625" style="144" bestFit="1" customWidth="1"/>
    <col min="6" max="6" width="39.5546875" style="125" bestFit="1" customWidth="1"/>
    <col min="7" max="7" width="14.44140625" style="125" hidden="1" customWidth="1"/>
    <col min="8" max="8" width="13.44140625" style="125" hidden="1" customWidth="1"/>
    <col min="9" max="9" width="34.44140625" style="125" hidden="1" customWidth="1"/>
    <col min="10" max="10" width="9.109375" style="125" hidden="1" customWidth="1"/>
    <col min="11" max="11" width="12.5546875" style="125" hidden="1" customWidth="1"/>
    <col min="12" max="14" width="0" style="125" hidden="1" customWidth="1"/>
    <col min="15" max="16384" width="9.109375" style="125" hidden="1"/>
  </cols>
  <sheetData>
    <row r="1" spans="1:14" ht="22.5" customHeight="1" x14ac:dyDescent="0.25">
      <c r="A1" s="258" t="s">
        <v>315</v>
      </c>
      <c r="B1" s="258"/>
      <c r="C1" s="258"/>
      <c r="D1" s="258"/>
      <c r="E1" s="258"/>
      <c r="F1" s="203"/>
      <c r="H1" s="39"/>
      <c r="I1" s="127"/>
      <c r="J1" s="127"/>
      <c r="K1" s="127"/>
      <c r="L1" s="127"/>
      <c r="M1" s="127"/>
      <c r="N1" s="127"/>
    </row>
    <row r="2" spans="1:14" x14ac:dyDescent="0.25">
      <c r="A2" s="128"/>
      <c r="B2" s="129"/>
      <c r="C2" s="128"/>
      <c r="D2" s="130"/>
      <c r="E2" s="134" t="s">
        <v>135</v>
      </c>
      <c r="F2" s="127"/>
      <c r="H2" s="127"/>
      <c r="I2" s="132"/>
      <c r="J2" s="127"/>
      <c r="K2" s="127"/>
      <c r="L2" s="127"/>
      <c r="M2" s="127"/>
      <c r="N2" s="127"/>
    </row>
    <row r="3" spans="1:14" ht="12.75" customHeight="1" x14ac:dyDescent="0.3">
      <c r="A3" s="229" t="s">
        <v>184</v>
      </c>
      <c r="B3" s="133" t="s">
        <v>239</v>
      </c>
      <c r="E3" s="136" t="s">
        <v>19</v>
      </c>
      <c r="G3" s="127"/>
      <c r="H3" s="127"/>
      <c r="I3" s="127"/>
      <c r="J3" s="127"/>
      <c r="K3" s="127"/>
      <c r="L3" s="127"/>
      <c r="M3" s="127"/>
    </row>
    <row r="4" spans="1:14" x14ac:dyDescent="0.25">
      <c r="C4" s="127"/>
      <c r="E4" s="137" t="s">
        <v>20</v>
      </c>
      <c r="G4" s="127"/>
      <c r="H4" s="127"/>
      <c r="I4" s="127"/>
      <c r="J4" s="127"/>
      <c r="K4" s="127"/>
      <c r="L4" s="127"/>
      <c r="M4" s="127"/>
    </row>
    <row r="5" spans="1:14" ht="15.6" x14ac:dyDescent="0.3">
      <c r="A5" s="228" t="s">
        <v>183</v>
      </c>
      <c r="B5" s="3" t="s">
        <v>10</v>
      </c>
      <c r="C5" s="35" t="s">
        <v>9</v>
      </c>
      <c r="G5" s="3"/>
      <c r="H5" s="3"/>
      <c r="I5" s="127"/>
      <c r="J5" s="3"/>
      <c r="K5" s="3"/>
      <c r="L5" s="3"/>
      <c r="M5" s="127"/>
    </row>
    <row r="6" spans="1:14" x14ac:dyDescent="0.25">
      <c r="A6" s="135" t="s">
        <v>155</v>
      </c>
      <c r="B6" s="138">
        <v>3.3</v>
      </c>
      <c r="C6" s="139" t="s">
        <v>5</v>
      </c>
      <c r="E6" s="125"/>
      <c r="G6" s="3"/>
      <c r="H6" s="3"/>
      <c r="I6" s="127"/>
      <c r="J6" s="3"/>
      <c r="K6" s="3"/>
      <c r="L6" s="3"/>
      <c r="M6" s="127"/>
    </row>
    <row r="7" spans="1:14" x14ac:dyDescent="0.25">
      <c r="A7" s="135" t="s">
        <v>156</v>
      </c>
      <c r="B7" s="138">
        <f>Vin_nom*1.05</f>
        <v>3.4649999999999999</v>
      </c>
      <c r="C7" s="139" t="s">
        <v>5</v>
      </c>
      <c r="E7" s="3" t="s">
        <v>129</v>
      </c>
      <c r="F7" s="1"/>
      <c r="G7" s="3"/>
      <c r="H7" s="3"/>
      <c r="I7" s="127"/>
      <c r="J7" s="3"/>
      <c r="K7" s="3"/>
      <c r="L7" s="3"/>
      <c r="M7" s="127"/>
    </row>
    <row r="8" spans="1:14" x14ac:dyDescent="0.25">
      <c r="A8" s="135" t="s">
        <v>157</v>
      </c>
      <c r="B8" s="138">
        <f>0.8*Vin_nom</f>
        <v>2.64</v>
      </c>
      <c r="C8" s="139" t="s">
        <v>5</v>
      </c>
      <c r="E8" s="125" t="str">
        <f>partdata!A2</f>
        <v>TPS54020 (ILIM=499kΩ)</v>
      </c>
      <c r="G8" s="127"/>
      <c r="H8" s="132"/>
      <c r="I8" s="127"/>
      <c r="J8" s="127"/>
      <c r="K8" s="127"/>
      <c r="L8" s="127"/>
      <c r="M8" s="127"/>
    </row>
    <row r="9" spans="1:14" x14ac:dyDescent="0.25">
      <c r="A9" s="135" t="s">
        <v>188</v>
      </c>
      <c r="B9" s="138">
        <v>1.35</v>
      </c>
      <c r="C9" s="139" t="s">
        <v>5</v>
      </c>
      <c r="E9" s="125" t="str">
        <f>partdata!A3</f>
        <v>TPS54020 (ILIM=NC)</v>
      </c>
      <c r="G9" s="127"/>
      <c r="H9" s="140"/>
      <c r="I9" s="141"/>
      <c r="J9" s="141"/>
      <c r="K9" s="127"/>
      <c r="L9" s="127"/>
      <c r="M9" s="127"/>
    </row>
    <row r="10" spans="1:14" x14ac:dyDescent="0.25">
      <c r="A10" s="135" t="s">
        <v>189</v>
      </c>
      <c r="B10" s="101">
        <f>0.005*Vout</f>
        <v>6.7500000000000008E-3</v>
      </c>
      <c r="C10" s="139" t="s">
        <v>5</v>
      </c>
      <c r="E10" s="125" t="str">
        <f>partdata!A4</f>
        <v>TPS54020 (ILIM=RTN)</v>
      </c>
      <c r="G10" s="127"/>
      <c r="H10" s="127"/>
      <c r="I10" s="127"/>
      <c r="J10" s="127"/>
      <c r="K10" s="127"/>
      <c r="L10" s="127"/>
      <c r="M10" s="127"/>
    </row>
    <row r="11" spans="1:14" x14ac:dyDescent="0.25">
      <c r="A11" s="135" t="s">
        <v>296</v>
      </c>
      <c r="B11" s="142">
        <v>4</v>
      </c>
      <c r="C11" s="139" t="s">
        <v>6</v>
      </c>
      <c r="E11" s="125" t="str">
        <f>partdata!A5</f>
        <v>TPS54116-Q1</v>
      </c>
      <c r="G11" s="127"/>
      <c r="H11" s="132"/>
      <c r="I11" s="127"/>
      <c r="J11" s="127"/>
      <c r="K11" s="127"/>
      <c r="L11" s="127"/>
      <c r="M11" s="127"/>
    </row>
    <row r="12" spans="1:14" x14ac:dyDescent="0.25">
      <c r="A12" s="135" t="s">
        <v>297</v>
      </c>
      <c r="B12" s="101">
        <f>Vout*dV_percent/100</f>
        <v>5.4000000000000006E-2</v>
      </c>
      <c r="C12" s="139" t="s">
        <v>5</v>
      </c>
      <c r="D12" s="143"/>
      <c r="E12" s="125" t="str">
        <f>partdata!A6</f>
        <v>TPS54320</v>
      </c>
      <c r="G12" s="127"/>
      <c r="H12" s="132"/>
      <c r="I12" s="127"/>
      <c r="J12" s="127"/>
      <c r="K12" s="127"/>
      <c r="L12" s="127"/>
      <c r="M12" s="127"/>
    </row>
    <row r="13" spans="1:14" x14ac:dyDescent="0.25">
      <c r="A13" s="135" t="s">
        <v>190</v>
      </c>
      <c r="B13" s="168">
        <f>Iout/2</f>
        <v>2</v>
      </c>
      <c r="C13" s="139" t="s">
        <v>4</v>
      </c>
      <c r="D13" s="143"/>
      <c r="E13" s="125" t="str">
        <f>partdata!A7</f>
        <v>TPS54418</v>
      </c>
      <c r="G13" s="127"/>
      <c r="H13" s="145"/>
      <c r="I13" s="127"/>
      <c r="J13" s="127"/>
      <c r="K13" s="127"/>
      <c r="L13" s="127"/>
      <c r="M13" s="127"/>
    </row>
    <row r="14" spans="1:14" x14ac:dyDescent="0.25">
      <c r="A14" s="135" t="s">
        <v>191</v>
      </c>
      <c r="B14" s="168">
        <v>4</v>
      </c>
      <c r="C14" s="139" t="s">
        <v>4</v>
      </c>
      <c r="D14" s="143"/>
      <c r="E14" s="125" t="str">
        <f>partdata!A8</f>
        <v>TPS54424</v>
      </c>
      <c r="G14" s="127"/>
      <c r="H14" s="145"/>
      <c r="I14" s="127"/>
      <c r="J14" s="127"/>
      <c r="K14" s="127"/>
      <c r="L14" s="127"/>
      <c r="M14" s="127"/>
    </row>
    <row r="15" spans="1:14" x14ac:dyDescent="0.25">
      <c r="A15" s="135" t="s">
        <v>192</v>
      </c>
      <c r="B15" s="142">
        <v>0.1</v>
      </c>
      <c r="C15" s="139" t="s">
        <v>4</v>
      </c>
      <c r="D15" s="144"/>
      <c r="E15" s="125" t="str">
        <f>partdata!A9</f>
        <v>TPS54478</v>
      </c>
      <c r="G15" s="127"/>
      <c r="H15" s="132"/>
      <c r="I15" s="127"/>
      <c r="J15" s="127"/>
      <c r="K15" s="127"/>
      <c r="L15" s="127"/>
      <c r="M15" s="127"/>
    </row>
    <row r="16" spans="1:14" x14ac:dyDescent="0.25">
      <c r="A16" s="135" t="s">
        <v>193</v>
      </c>
      <c r="B16" s="138">
        <v>3</v>
      </c>
      <c r="C16" s="139" t="s">
        <v>5</v>
      </c>
      <c r="D16" s="144"/>
      <c r="E16" s="125" t="str">
        <f>partdata!A10</f>
        <v>TPS54620</v>
      </c>
      <c r="G16" s="127"/>
      <c r="H16" s="132"/>
      <c r="I16" s="127"/>
      <c r="J16" s="127"/>
      <c r="K16" s="127"/>
      <c r="L16" s="127"/>
      <c r="M16" s="127"/>
    </row>
    <row r="17" spans="1:14" x14ac:dyDescent="0.25">
      <c r="A17" s="135" t="s">
        <v>194</v>
      </c>
      <c r="B17" s="138">
        <v>2.8</v>
      </c>
      <c r="C17" s="139" t="s">
        <v>5</v>
      </c>
      <c r="D17" s="144"/>
      <c r="E17" s="125" t="str">
        <f>partdata!A11</f>
        <v>TPS54622</v>
      </c>
      <c r="G17" s="127"/>
      <c r="H17" s="132"/>
      <c r="I17" s="127"/>
      <c r="J17" s="127"/>
      <c r="K17" s="127"/>
      <c r="L17" s="127"/>
      <c r="M17" s="127"/>
    </row>
    <row r="18" spans="1:14" x14ac:dyDescent="0.25">
      <c r="A18" s="135" t="s">
        <v>43</v>
      </c>
      <c r="B18" s="146">
        <v>500</v>
      </c>
      <c r="C18" s="139" t="s">
        <v>14</v>
      </c>
      <c r="D18" s="144"/>
      <c r="E18" s="125" t="str">
        <f>partdata!A12</f>
        <v>TPS54623</v>
      </c>
      <c r="G18" s="127"/>
      <c r="H18" s="132"/>
      <c r="I18" s="127"/>
      <c r="J18" s="127"/>
      <c r="K18" s="127"/>
      <c r="L18" s="127"/>
      <c r="M18" s="127"/>
    </row>
    <row r="19" spans="1:14" x14ac:dyDescent="0.25">
      <c r="A19" s="128"/>
      <c r="B19" s="129"/>
      <c r="C19" s="128"/>
      <c r="E19" s="125" t="str">
        <f>partdata!A13</f>
        <v>TPS54821</v>
      </c>
      <c r="F19" s="3"/>
      <c r="H19" s="127"/>
      <c r="I19" s="132"/>
      <c r="J19" s="127"/>
      <c r="K19" s="127"/>
      <c r="L19" s="127"/>
      <c r="M19" s="127"/>
      <c r="N19" s="127"/>
    </row>
    <row r="20" spans="1:14" ht="15.6" x14ac:dyDescent="0.3">
      <c r="A20" s="228" t="s">
        <v>288</v>
      </c>
      <c r="D20" s="130"/>
      <c r="E20" s="125" t="str">
        <f>partdata!A14</f>
        <v>TPS54824</v>
      </c>
      <c r="F20" s="127"/>
      <c r="H20" s="127"/>
      <c r="I20" s="132"/>
      <c r="J20" s="127"/>
      <c r="K20" s="127"/>
      <c r="L20" s="127"/>
      <c r="M20" s="127"/>
      <c r="N20" s="127"/>
    </row>
    <row r="21" spans="1:14" ht="13.8" x14ac:dyDescent="0.25">
      <c r="A21" s="98"/>
      <c r="D21" s="130"/>
      <c r="E21" s="125" t="str">
        <f>partdata!A15</f>
        <v>TPS54A24</v>
      </c>
      <c r="F21" s="127"/>
      <c r="H21" s="127"/>
      <c r="I21" s="132"/>
      <c r="J21" s="127"/>
      <c r="K21" s="127"/>
      <c r="L21" s="127"/>
      <c r="M21" s="127"/>
      <c r="N21" s="127"/>
    </row>
    <row r="22" spans="1:14" hidden="1" x14ac:dyDescent="0.25">
      <c r="C22" s="225" t="s">
        <v>173</v>
      </c>
      <c r="E22" s="139"/>
      <c r="F22" s="127"/>
      <c r="H22" s="127"/>
      <c r="I22" s="147"/>
      <c r="J22" s="127"/>
      <c r="K22" s="127"/>
      <c r="L22" s="127"/>
      <c r="M22" s="127"/>
      <c r="N22" s="127"/>
    </row>
    <row r="23" spans="1:14" ht="12.75" hidden="1" customHeight="1" x14ac:dyDescent="0.25">
      <c r="A23" s="148" t="s">
        <v>123</v>
      </c>
      <c r="B23" s="112" t="str">
        <f>"EVM-"&amp;LOOKUP(B$3,partdata!A2:A11,partdata!B2:B11)&amp;" Ref Des"</f>
        <v>EVM- Ref Des</v>
      </c>
      <c r="C23" s="149" t="str">
        <f>B3</f>
        <v>TPS54116-Q1</v>
      </c>
      <c r="D23" s="225"/>
      <c r="E23" s="225"/>
      <c r="F23" s="225"/>
      <c r="H23" s="127"/>
      <c r="I23" s="147"/>
      <c r="J23" s="127"/>
      <c r="K23" s="127"/>
      <c r="L23" s="127"/>
      <c r="M23" s="127"/>
      <c r="N23" s="127"/>
    </row>
    <row r="24" spans="1:14" hidden="1" x14ac:dyDescent="0.25">
      <c r="A24" s="148" t="s">
        <v>136</v>
      </c>
      <c r="B24" s="113" t="s">
        <v>123</v>
      </c>
      <c r="C24" s="149"/>
      <c r="D24" s="149" t="str">
        <f>Vin_max&amp;"V"</f>
        <v>3.465V</v>
      </c>
      <c r="E24" s="150" t="str">
        <f>"Ipeak = "&amp;TEXT(MIN(B83/0.8,Ilim),"0.000")&amp;"A"</f>
        <v>Ipeak = 6.033A</v>
      </c>
      <c r="F24" s="127"/>
      <c r="H24" s="127"/>
      <c r="I24" s="147"/>
      <c r="J24" s="127"/>
      <c r="K24" s="127"/>
      <c r="L24" s="127"/>
      <c r="M24" s="127"/>
      <c r="N24" s="127"/>
    </row>
    <row r="25" spans="1:14" hidden="1" x14ac:dyDescent="0.25">
      <c r="A25" s="148" t="s">
        <v>106</v>
      </c>
      <c r="B25" s="113" t="s">
        <v>65</v>
      </c>
      <c r="C25" s="151" t="str">
        <f>TEXT(Cin*1000000,"0.0")&amp;" µF"</f>
        <v>7.6 µF</v>
      </c>
      <c r="D25" s="149" t="str">
        <f>Vin_max&amp;"V"</f>
        <v>3.465V</v>
      </c>
      <c r="E25" s="150" t="str">
        <f>"Irms = "&amp;TEXT(B101,"0.000")&amp;"A"</f>
        <v>Irms = 1.999A</v>
      </c>
      <c r="F25" s="127"/>
      <c r="H25" s="127"/>
      <c r="I25" s="127"/>
      <c r="J25" s="127"/>
      <c r="K25" s="127"/>
      <c r="L25" s="127"/>
      <c r="M25" s="127"/>
      <c r="N25" s="127"/>
    </row>
    <row r="26" spans="1:14" hidden="1" x14ac:dyDescent="0.25">
      <c r="A26" s="148" t="s">
        <v>134</v>
      </c>
      <c r="B26" s="113">
        <f>LOOKUP(B$3,partdata!A2:A11,partdata!C2:C11)</f>
        <v>0</v>
      </c>
      <c r="C26" s="151" t="str">
        <f>TEXT(Co*1000000,"0.0")&amp;" µF"</f>
        <v>98.7 µF</v>
      </c>
      <c r="D26" s="149" t="str">
        <f>Vout&amp;"V"</f>
        <v>1.35V</v>
      </c>
      <c r="E26" s="150" t="str">
        <f>"Irms = "&amp;TEXT(B88,"0.000")&amp;"A"</f>
        <v>Irms = 0.476A</v>
      </c>
      <c r="F26" s="127"/>
      <c r="G26" s="127"/>
      <c r="H26" s="3"/>
      <c r="I26" s="3"/>
      <c r="J26" s="127"/>
      <c r="K26" s="127"/>
      <c r="L26" s="3"/>
      <c r="M26" s="3"/>
      <c r="N26" s="127"/>
    </row>
    <row r="27" spans="1:14" hidden="1" x14ac:dyDescent="0.25">
      <c r="A27" s="152" t="s">
        <v>241</v>
      </c>
      <c r="B27" s="113">
        <f>LOOKUP(B$3,partdata!A2:A11,partdata!D2:D11)</f>
        <v>0</v>
      </c>
      <c r="C27" s="153" t="str">
        <f>TEXT(0.0000001*1000000,"0.000")&amp;" µF"</f>
        <v>0.100 µF</v>
      </c>
      <c r="D27" s="154" t="s">
        <v>228</v>
      </c>
      <c r="E27" s="155"/>
      <c r="F27" s="127"/>
      <c r="G27" s="127"/>
      <c r="H27" s="127"/>
      <c r="I27" s="127"/>
      <c r="J27" s="127"/>
      <c r="K27" s="127"/>
      <c r="L27" s="127"/>
      <c r="M27" s="3"/>
      <c r="N27" s="127"/>
    </row>
    <row r="28" spans="1:14" hidden="1" x14ac:dyDescent="0.25">
      <c r="A28" s="148" t="s">
        <v>107</v>
      </c>
      <c r="B28" s="113" t="s">
        <v>138</v>
      </c>
      <c r="C28" s="151" t="str">
        <f>TEXT(L*1000000,"0.0")&amp;" µH"</f>
        <v>1.0 µH</v>
      </c>
      <c r="D28" s="149" t="str">
        <f>"Isat = "&amp;TEXT(MIN(B83/0.8,Ilim),"0.000")&amp;"A"</f>
        <v>Isat = 6.033A</v>
      </c>
      <c r="E28" s="156" t="str">
        <f>"Irms = "&amp;TEXT(B82,"0.000")&amp;"A"</f>
        <v>Irms = 4.002A</v>
      </c>
      <c r="F28" s="127"/>
      <c r="G28" s="127"/>
      <c r="H28" s="127"/>
      <c r="I28" s="127"/>
      <c r="J28" s="127"/>
      <c r="K28" s="127"/>
      <c r="L28" s="127"/>
      <c r="M28" s="3"/>
      <c r="N28" s="127"/>
    </row>
    <row r="29" spans="1:14" hidden="1" x14ac:dyDescent="0.25">
      <c r="A29" s="157" t="s">
        <v>108</v>
      </c>
      <c r="B29" s="113" t="s">
        <v>139</v>
      </c>
      <c r="C29" s="151" t="str">
        <f>B69&amp;" kΩ"</f>
        <v>26.7 kΩ</v>
      </c>
      <c r="F29" s="127"/>
      <c r="G29" s="127"/>
      <c r="H29" s="127"/>
      <c r="I29" s="127"/>
      <c r="J29" s="127"/>
      <c r="K29" s="127"/>
      <c r="L29" s="127"/>
      <c r="M29" s="3"/>
      <c r="N29" s="127"/>
    </row>
    <row r="30" spans="1:14" hidden="1" x14ac:dyDescent="0.25">
      <c r="A30" s="148" t="s">
        <v>109</v>
      </c>
      <c r="B30" s="113" t="s">
        <v>140</v>
      </c>
      <c r="C30" s="151" t="str">
        <f>Ruvlo1/1000&amp;" kΩ"</f>
        <v>4.87 kΩ</v>
      </c>
      <c r="F30" s="127"/>
      <c r="G30" s="127"/>
      <c r="H30" s="127"/>
      <c r="I30" s="127"/>
      <c r="J30" s="127"/>
      <c r="K30" s="127"/>
      <c r="L30" s="127"/>
      <c r="M30" s="3"/>
      <c r="N30" s="127"/>
    </row>
    <row r="31" spans="1:14" hidden="1" x14ac:dyDescent="0.25">
      <c r="A31" s="152" t="s">
        <v>110</v>
      </c>
      <c r="B31" s="113" t="s">
        <v>141</v>
      </c>
      <c r="C31" s="151" t="str">
        <f>Ruvlo2/1000&amp;" kΩ"</f>
        <v>3.65 kΩ</v>
      </c>
      <c r="F31" s="3"/>
      <c r="G31" s="127"/>
      <c r="H31" s="127"/>
      <c r="I31" s="127"/>
      <c r="J31" s="127"/>
      <c r="K31" s="127"/>
      <c r="L31" s="127"/>
      <c r="M31" s="3"/>
      <c r="N31" s="127"/>
    </row>
    <row r="32" spans="1:14" hidden="1" x14ac:dyDescent="0.25">
      <c r="A32" s="148" t="s">
        <v>111</v>
      </c>
      <c r="B32" s="113" t="s">
        <v>142</v>
      </c>
      <c r="C32" s="151" t="str">
        <f>Rhs/1000&amp;" kΩ"</f>
        <v>7.5 kΩ</v>
      </c>
      <c r="F32" s="127"/>
      <c r="G32" s="127"/>
      <c r="H32" s="127"/>
      <c r="I32" s="127"/>
      <c r="J32" s="127"/>
      <c r="K32" s="127"/>
      <c r="L32" s="127"/>
      <c r="M32" s="3"/>
      <c r="N32" s="127"/>
    </row>
    <row r="33" spans="1:14" hidden="1" x14ac:dyDescent="0.25">
      <c r="A33" s="148" t="s">
        <v>112</v>
      </c>
      <c r="B33" s="113" t="s">
        <v>143</v>
      </c>
      <c r="C33" s="151" t="str">
        <f>TEXT(Rls/1000,"0.0")&amp;" kΩ"</f>
        <v>6.0 kΩ</v>
      </c>
      <c r="F33" s="127"/>
      <c r="G33" s="127"/>
      <c r="H33" s="127"/>
      <c r="I33" s="127"/>
      <c r="J33" s="127"/>
      <c r="K33" s="127"/>
      <c r="L33" s="127"/>
      <c r="M33" s="3"/>
      <c r="N33" s="127"/>
    </row>
    <row r="34" spans="1:14" hidden="1" x14ac:dyDescent="0.25">
      <c r="A34" s="148" t="s">
        <v>113</v>
      </c>
      <c r="B34" s="113" t="s">
        <v>144</v>
      </c>
      <c r="C34" s="151" t="str">
        <f>Rcomp/1000&amp;" kΩ"</f>
        <v>15.4 kΩ</v>
      </c>
      <c r="F34" s="127"/>
      <c r="G34" s="127"/>
      <c r="H34" s="127"/>
      <c r="I34" s="127"/>
      <c r="J34" s="127"/>
      <c r="K34" s="127"/>
      <c r="L34" s="127"/>
      <c r="M34" s="3"/>
      <c r="N34" s="127"/>
    </row>
    <row r="35" spans="1:14" hidden="1" x14ac:dyDescent="0.25">
      <c r="A35" s="148" t="s">
        <v>114</v>
      </c>
      <c r="B35" s="113" t="s">
        <v>145</v>
      </c>
      <c r="C35" s="151" t="str">
        <f>IF(Ccomp&gt;=0.00000001,TEXT(Ccomp*1000000,"0.000")&amp;" µF",TEXT(Ccomp*1000000000000,"0")&amp;" pF")</f>
        <v>2200 pF</v>
      </c>
      <c r="D35" s="154" t="str">
        <f>3&amp;"V"</f>
        <v>3V</v>
      </c>
      <c r="F35" s="127"/>
      <c r="G35" s="127"/>
      <c r="H35" s="127"/>
      <c r="I35" s="127"/>
      <c r="J35" s="127"/>
      <c r="K35" s="127"/>
      <c r="L35" s="127"/>
      <c r="M35" s="3"/>
      <c r="N35" s="127"/>
    </row>
    <row r="36" spans="1:14" hidden="1" x14ac:dyDescent="0.25">
      <c r="A36" s="148" t="s">
        <v>115</v>
      </c>
      <c r="B36" s="113" t="s">
        <v>146</v>
      </c>
      <c r="C36" s="151" t="str">
        <f>TEXT(Cpole*1000000000000,"0.0")&amp;" pF"</f>
        <v>33.0 pF</v>
      </c>
      <c r="D36" s="154" t="str">
        <f>3&amp;"V"</f>
        <v>3V</v>
      </c>
      <c r="F36" s="3"/>
      <c r="G36" s="127"/>
      <c r="H36" s="127"/>
      <c r="I36" s="127"/>
      <c r="J36" s="127"/>
      <c r="K36" s="127"/>
      <c r="L36" s="127"/>
      <c r="M36" s="3"/>
      <c r="N36" s="127"/>
    </row>
    <row r="37" spans="1:14" hidden="1" x14ac:dyDescent="0.25">
      <c r="A37" s="148" t="s">
        <v>163</v>
      </c>
      <c r="B37" s="113" t="s">
        <v>147</v>
      </c>
      <c r="C37" s="151" t="str">
        <f>IF(B193="internal ss","internal ss",IF(Css&gt;=0.00000001,TEXT(Css*1000000,"0.000")&amp;" µF",TEXT(Css*1000000000000,"0")&amp;" pF"))</f>
        <v>0.022 µF</v>
      </c>
      <c r="D37" s="154" t="str">
        <f>3&amp;"V"</f>
        <v>3V</v>
      </c>
      <c r="F37" s="127"/>
      <c r="G37" s="127"/>
      <c r="H37" s="127"/>
      <c r="I37" s="127"/>
      <c r="J37" s="127"/>
      <c r="K37" s="127"/>
      <c r="L37" s="127"/>
      <c r="M37" s="3"/>
      <c r="N37" s="127"/>
    </row>
    <row r="38" spans="1:14" hidden="1" x14ac:dyDescent="0.25">
      <c r="A38" s="148" t="s">
        <v>163</v>
      </c>
      <c r="B38" s="158" t="s">
        <v>171</v>
      </c>
      <c r="C38" s="151" t="str">
        <f>IF(B193="internal ss","internal ss",TEXT(B134,"0.00")&amp;" nF")</f>
        <v>22.00 nF</v>
      </c>
      <c r="D38" s="154" t="s">
        <v>213</v>
      </c>
      <c r="F38" s="127"/>
      <c r="G38" s="127"/>
      <c r="H38" s="127"/>
      <c r="I38" s="127"/>
      <c r="J38" s="127"/>
      <c r="K38" s="127"/>
      <c r="L38" s="127"/>
      <c r="M38" s="3"/>
      <c r="N38" s="127"/>
    </row>
    <row r="39" spans="1:14" x14ac:dyDescent="0.25">
      <c r="A39" s="148"/>
      <c r="B39" s="158"/>
      <c r="C39" s="158"/>
      <c r="F39" s="127"/>
      <c r="G39" s="127"/>
      <c r="H39" s="127"/>
      <c r="I39" s="127"/>
      <c r="J39" s="127"/>
      <c r="K39" s="127"/>
      <c r="L39" s="127"/>
      <c r="M39" s="3"/>
      <c r="N39" s="127"/>
    </row>
    <row r="40" spans="1:14" x14ac:dyDescent="0.25">
      <c r="D40" s="158"/>
      <c r="E40" s="158"/>
      <c r="F40" s="127"/>
      <c r="G40" s="127"/>
      <c r="H40" s="127"/>
      <c r="I40" s="127"/>
      <c r="J40" s="127"/>
      <c r="K40" s="127"/>
      <c r="L40" s="127"/>
      <c r="M40" s="3"/>
      <c r="N40" s="127"/>
    </row>
    <row r="41" spans="1:14" x14ac:dyDescent="0.25">
      <c r="F41" s="127"/>
      <c r="G41" s="127"/>
      <c r="H41" s="127"/>
      <c r="I41" s="127"/>
      <c r="J41" s="127"/>
      <c r="K41" s="127"/>
      <c r="L41" s="127"/>
      <c r="M41" s="3"/>
      <c r="N41" s="127"/>
    </row>
    <row r="42" spans="1:14" x14ac:dyDescent="0.25">
      <c r="G42" s="127"/>
      <c r="H42" s="127"/>
      <c r="I42" s="127"/>
      <c r="J42" s="127"/>
      <c r="K42" s="127"/>
      <c r="L42" s="127"/>
      <c r="M42" s="3"/>
      <c r="N42" s="127"/>
    </row>
    <row r="43" spans="1:14" x14ac:dyDescent="0.25">
      <c r="H43" s="127"/>
    </row>
    <row r="44" spans="1:14" x14ac:dyDescent="0.25">
      <c r="H44" s="127"/>
    </row>
    <row r="45" spans="1:14" x14ac:dyDescent="0.25">
      <c r="F45" s="126"/>
    </row>
    <row r="46" spans="1:14" x14ac:dyDescent="0.25">
      <c r="F46" s="34"/>
      <c r="G46" s="145"/>
    </row>
    <row r="47" spans="1:14" x14ac:dyDescent="0.25">
      <c r="G47" s="145"/>
    </row>
    <row r="48" spans="1:14" x14ac:dyDescent="0.25">
      <c r="G48" s="145"/>
    </row>
    <row r="49" spans="7:7" x14ac:dyDescent="0.25">
      <c r="G49" s="127"/>
    </row>
    <row r="50" spans="7:7" x14ac:dyDescent="0.25">
      <c r="G50" s="127"/>
    </row>
    <row r="51" spans="7:7" x14ac:dyDescent="0.25"/>
    <row r="52" spans="7:7" x14ac:dyDescent="0.25"/>
    <row r="53" spans="7:7" x14ac:dyDescent="0.25"/>
    <row r="54" spans="7:7" x14ac:dyDescent="0.25"/>
    <row r="55" spans="7:7" x14ac:dyDescent="0.25"/>
    <row r="56" spans="7:7" x14ac:dyDescent="0.25"/>
    <row r="57" spans="7:7" x14ac:dyDescent="0.25"/>
    <row r="58" spans="7:7" x14ac:dyDescent="0.25"/>
    <row r="59" spans="7:7" x14ac:dyDescent="0.25"/>
    <row r="60" spans="7:7" x14ac:dyDescent="0.25"/>
    <row r="61" spans="7:7" x14ac:dyDescent="0.25"/>
    <row r="62" spans="7:7" x14ac:dyDescent="0.25"/>
    <row r="63" spans="7:7" x14ac:dyDescent="0.25"/>
    <row r="64" spans="7:7" x14ac:dyDescent="0.25"/>
    <row r="65" spans="1:14" ht="15.6" x14ac:dyDescent="0.3">
      <c r="A65" s="228" t="s">
        <v>182</v>
      </c>
      <c r="B65" s="3" t="s">
        <v>10</v>
      </c>
      <c r="C65" s="127"/>
      <c r="E65" s="35" t="s">
        <v>9</v>
      </c>
      <c r="F65" s="1" t="s">
        <v>293</v>
      </c>
    </row>
    <row r="66" spans="1:14" x14ac:dyDescent="0.25">
      <c r="A66" s="99" t="s">
        <v>30</v>
      </c>
      <c r="B66" s="11">
        <f>IF((1/ton_min)*(Vout)/(Vin_max)&gt;=fsw_max,fsw_max,(1/ton_min)*(Vout)/(Vin_max))/1000</f>
        <v>2500</v>
      </c>
      <c r="C66" s="127"/>
      <c r="D66" s="127"/>
      <c r="E66" s="139" t="s">
        <v>14</v>
      </c>
      <c r="F66" s="127"/>
    </row>
    <row r="67" spans="1:14" x14ac:dyDescent="0.25">
      <c r="A67" s="135" t="s">
        <v>43</v>
      </c>
      <c r="B67" s="146">
        <v>500</v>
      </c>
      <c r="D67" s="127"/>
      <c r="E67" s="139" t="s">
        <v>14</v>
      </c>
      <c r="F67" s="3"/>
    </row>
    <row r="68" spans="1:14" x14ac:dyDescent="0.25">
      <c r="A68" s="135" t="s">
        <v>206</v>
      </c>
      <c r="B68" s="159">
        <f>LOOKUP(B$3,partdata!A2:A20,partdata!Z2:Z20)</f>
        <v>118.17933361431419</v>
      </c>
      <c r="C68" s="111">
        <f>(IF((10^(LOG(B68)-INT(LOG(B68)))*100)-VLOOKUP((10^(LOG(B68)-INT(LOG(B68)))*100),E96_s:E96_f,1)&lt;VLOOKUP((10^(LOG(B68)-INT(LOG(B68)))*100),E96_s:E96_f,2)-(10^(LOG(B68)-INT(LOG(B68)))*100),VLOOKUP((10^(LOG(B68)-INT(LOG(B68)))*100),E96_s:E96_f,1),VLOOKUP((10^(LOG(B68)-INT(LOG(B68)))*100),E96_s:E96_f,2)))*10^INT(LOG(B68))/100</f>
        <v>118</v>
      </c>
      <c r="E68" s="139" t="s">
        <v>121</v>
      </c>
      <c r="F68" s="127"/>
      <c r="H68" s="127"/>
      <c r="I68" s="132"/>
      <c r="J68" s="127"/>
      <c r="K68" s="127"/>
      <c r="L68" s="127"/>
      <c r="M68" s="127"/>
      <c r="N68" s="127"/>
    </row>
    <row r="69" spans="1:14" x14ac:dyDescent="0.25">
      <c r="A69" s="135" t="s">
        <v>13</v>
      </c>
      <c r="B69" s="121">
        <v>26.7</v>
      </c>
      <c r="D69" s="127"/>
      <c r="E69" s="139" t="s">
        <v>121</v>
      </c>
      <c r="F69" s="160"/>
    </row>
    <row r="70" spans="1:14" x14ac:dyDescent="0.25">
      <c r="A70" s="135" t="s">
        <v>205</v>
      </c>
      <c r="B70" s="161">
        <f>LOOKUP(B$3,partdata!A2:A20,partdata!AA2:AA20)</f>
        <v>2110.9967363791011</v>
      </c>
      <c r="E70" s="139" t="s">
        <v>14</v>
      </c>
      <c r="F70" s="160"/>
    </row>
    <row r="71" spans="1:14" x14ac:dyDescent="0.25">
      <c r="A71" s="135" t="s">
        <v>309</v>
      </c>
      <c r="B71" s="161">
        <f>1/(B67*1000)*(Iout*Rdc+Vout+Rdson_ls)/(Vin_max-Iout*Rdson_hs+Rdson_ls)*10^9</f>
        <v>832.83582089552237</v>
      </c>
      <c r="E71" s="162" t="s">
        <v>158</v>
      </c>
      <c r="F71" s="127"/>
    </row>
    <row r="72" spans="1:14" x14ac:dyDescent="0.25">
      <c r="A72" s="135" t="s">
        <v>308</v>
      </c>
      <c r="B72" s="161">
        <f>1/(B67*1000)*(Iout_min*Rdc+Vout+Rdson_ls)/(Vin_max-Iout_min*Rdson_hs+Rdson_ls)*10^9</f>
        <v>789.04345331994818</v>
      </c>
      <c r="D72" s="127"/>
      <c r="E72" s="162" t="s">
        <v>158</v>
      </c>
      <c r="F72" s="127"/>
    </row>
    <row r="73" spans="1:14" x14ac:dyDescent="0.25">
      <c r="A73" s="135" t="s">
        <v>238</v>
      </c>
      <c r="B73" s="161">
        <f>1/(B67*1000)*(Vout)/(Vin_max)*10^9</f>
        <v>779.22077922077926</v>
      </c>
      <c r="D73" s="127"/>
      <c r="E73" s="162" t="s">
        <v>158</v>
      </c>
      <c r="F73" s="127"/>
    </row>
    <row r="74" spans="1:14" x14ac:dyDescent="0.25">
      <c r="D74" s="127"/>
      <c r="E74" s="162"/>
      <c r="F74" s="127"/>
    </row>
    <row r="75" spans="1:14" ht="15.6" x14ac:dyDescent="0.3">
      <c r="A75" s="228" t="s">
        <v>181</v>
      </c>
      <c r="B75" s="3" t="s">
        <v>10</v>
      </c>
      <c r="D75" s="127"/>
      <c r="E75" s="35" t="s">
        <v>9</v>
      </c>
      <c r="F75" s="1"/>
    </row>
    <row r="76" spans="1:14" x14ac:dyDescent="0.25">
      <c r="A76" s="135" t="s">
        <v>294</v>
      </c>
      <c r="B76" s="138">
        <v>0.3</v>
      </c>
      <c r="D76" s="127"/>
      <c r="F76" s="165" t="s">
        <v>289</v>
      </c>
      <c r="G76" s="126"/>
    </row>
    <row r="77" spans="1:14" x14ac:dyDescent="0.25">
      <c r="A77" s="135" t="s">
        <v>290</v>
      </c>
      <c r="B77" s="163">
        <f>((Vin_max-Vout)/(Iout*Kind))*(Vout/(Vin_max*fsw))*10^6</f>
        <v>1.3733766233766234</v>
      </c>
      <c r="C77" s="164"/>
      <c r="E77" s="139" t="s">
        <v>159</v>
      </c>
      <c r="F77" s="165"/>
    </row>
    <row r="78" spans="1:14" x14ac:dyDescent="0.25">
      <c r="A78" s="135" t="s">
        <v>295</v>
      </c>
      <c r="B78" s="163">
        <f>((Vin_max-Vout)/(Io_dev*0.1))*(Vout/(Vin_max*fsw))*10^6</f>
        <v>4.1201298701298699</v>
      </c>
      <c r="C78" s="164"/>
      <c r="E78" s="139" t="s">
        <v>159</v>
      </c>
      <c r="F78" s="165"/>
    </row>
    <row r="79" spans="1:14" x14ac:dyDescent="0.25">
      <c r="A79" s="135" t="s">
        <v>8</v>
      </c>
      <c r="B79" s="122">
        <v>1</v>
      </c>
      <c r="C79" s="166"/>
      <c r="E79" s="139" t="s">
        <v>159</v>
      </c>
      <c r="F79" s="127"/>
    </row>
    <row r="80" spans="1:14" x14ac:dyDescent="0.25">
      <c r="A80" s="135" t="s">
        <v>17</v>
      </c>
      <c r="B80" s="168">
        <v>5</v>
      </c>
      <c r="C80" s="127"/>
      <c r="D80" s="145"/>
      <c r="E80" s="162" t="s">
        <v>153</v>
      </c>
      <c r="F80" s="127"/>
      <c r="G80" s="167"/>
    </row>
    <row r="81" spans="1:14" x14ac:dyDescent="0.25">
      <c r="A81" s="135" t="s">
        <v>197</v>
      </c>
      <c r="B81" s="169">
        <f>Vout*(Vin_max-Vout)/(Vin_max*L*fsw)</f>
        <v>1.648051948051948</v>
      </c>
      <c r="C81" s="169">
        <f>Vout*(Vin_nom-Vout)/(Vin_nom*L*fsw)</f>
        <v>1.5954545454545455</v>
      </c>
      <c r="D81" s="169">
        <f>Vout*(Vin_min-Vout)/(Vin_min*L*fsw)</f>
        <v>1.3193181818181821</v>
      </c>
      <c r="E81" s="162" t="s">
        <v>4</v>
      </c>
      <c r="F81" s="127"/>
    </row>
    <row r="82" spans="1:14" x14ac:dyDescent="0.25">
      <c r="A82" s="135" t="s">
        <v>198</v>
      </c>
      <c r="B82" s="169">
        <f>(Iout^2+((1/12)*(Vout*(Vin_max-Vout))/(Vin_max*fsw*L))^2)^0.5</f>
        <v>4.0023570097501766</v>
      </c>
      <c r="C82" s="169">
        <f>(Iout^2+((1/12)*(Vout*(Vin_nom-Vout))/(Vin_nom*fsw*L))^2)^0.5</f>
        <v>4.0022090039323315</v>
      </c>
      <c r="D82" s="169">
        <f>(Iout^2+((1/12)*(Vout*(Vin_min-Vout))/(Vin_min*fsw*L))^2)^0.5</f>
        <v>4.0015106526446118</v>
      </c>
      <c r="E82" s="162" t="s">
        <v>4</v>
      </c>
      <c r="F82" s="127"/>
      <c r="G82" s="1"/>
      <c r="H82" s="1"/>
      <c r="I82" s="1"/>
      <c r="J82" s="1"/>
      <c r="K82" s="1"/>
    </row>
    <row r="83" spans="1:14" x14ac:dyDescent="0.25">
      <c r="A83" s="135" t="s">
        <v>199</v>
      </c>
      <c r="B83" s="169">
        <f>B82+Iripple/2</f>
        <v>4.8263829837761509</v>
      </c>
      <c r="C83" s="169">
        <f>C82+C81/2</f>
        <v>4.7999362766596043</v>
      </c>
      <c r="D83" s="169">
        <f>D82+D81/2</f>
        <v>4.6611697435537032</v>
      </c>
      <c r="E83" s="162" t="s">
        <v>4</v>
      </c>
      <c r="F83" s="127"/>
    </row>
    <row r="84" spans="1:14" x14ac:dyDescent="0.25">
      <c r="A84" s="135" t="s">
        <v>222</v>
      </c>
      <c r="B84" s="169">
        <f>-Iripple/2</f>
        <v>-0.824025974025974</v>
      </c>
      <c r="C84" s="169">
        <f>-C81/2</f>
        <v>-0.79772727272727273</v>
      </c>
      <c r="D84" s="169">
        <f>-D81/2</f>
        <v>-0.65965909090909103</v>
      </c>
      <c r="E84" s="162" t="s">
        <v>4</v>
      </c>
      <c r="F84" s="127"/>
      <c r="G84" s="1"/>
      <c r="H84" s="1"/>
      <c r="I84" s="1"/>
      <c r="J84" s="1"/>
    </row>
    <row r="85" spans="1:14" x14ac:dyDescent="0.25">
      <c r="A85" s="135" t="s">
        <v>221</v>
      </c>
      <c r="B85" s="169">
        <f>Vout*(1-Vout/Vin_max)/(2*L*fsw)</f>
        <v>0.82402597402597411</v>
      </c>
      <c r="C85" s="169">
        <f>Vout*(1-Vout/Vin_nom)/(2*L*fsw)</f>
        <v>0.79772727272727262</v>
      </c>
      <c r="D85" s="169">
        <f>Vout*(1-Vout/Vin_min)/(2*L*fsw)</f>
        <v>0.65965909090909092</v>
      </c>
      <c r="E85" s="162" t="s">
        <v>4</v>
      </c>
      <c r="F85" s="127"/>
    </row>
    <row r="86" spans="1:14" x14ac:dyDescent="0.25">
      <c r="E86" s="162"/>
      <c r="F86" s="1"/>
    </row>
    <row r="87" spans="1:14" ht="15.6" x14ac:dyDescent="0.3">
      <c r="A87" s="228" t="s">
        <v>180</v>
      </c>
      <c r="B87" s="3" t="s">
        <v>10</v>
      </c>
      <c r="E87" s="35" t="s">
        <v>9</v>
      </c>
      <c r="F87" s="127"/>
      <c r="G87" s="127"/>
      <c r="H87" s="3"/>
      <c r="I87" s="3"/>
      <c r="J87" s="127"/>
      <c r="K87" s="127"/>
      <c r="L87" s="35"/>
      <c r="M87" s="3"/>
      <c r="N87" s="127"/>
    </row>
    <row r="88" spans="1:14" x14ac:dyDescent="0.25">
      <c r="A88" s="135" t="s">
        <v>21</v>
      </c>
      <c r="B88" s="170">
        <f>Vout*(Vin_max-Vout)/(12^0.5*Vin_max*L*fsw)</f>
        <v>0.47575161792313969</v>
      </c>
      <c r="C88" s="171"/>
      <c r="D88" s="127"/>
      <c r="E88" s="139" t="s">
        <v>4</v>
      </c>
      <c r="F88" s="127"/>
      <c r="G88" s="127"/>
      <c r="H88" s="127"/>
      <c r="I88" s="40"/>
      <c r="J88" s="147"/>
      <c r="K88" s="127"/>
      <c r="L88" s="127"/>
      <c r="M88" s="127"/>
      <c r="N88" s="127"/>
    </row>
    <row r="89" spans="1:14" x14ac:dyDescent="0.25">
      <c r="A89" s="135" t="s">
        <v>321</v>
      </c>
      <c r="B89" s="161">
        <f>MIN(fsw/10,100000)/1000</f>
        <v>50</v>
      </c>
      <c r="C89" s="171"/>
      <c r="D89" s="171"/>
      <c r="E89" s="139" t="s">
        <v>14</v>
      </c>
      <c r="F89" s="127"/>
      <c r="G89" s="127"/>
      <c r="H89" s="127"/>
      <c r="I89" s="40"/>
      <c r="J89" s="127"/>
      <c r="K89" s="127"/>
      <c r="L89" s="127"/>
      <c r="M89" s="127"/>
      <c r="N89" s="127"/>
    </row>
    <row r="90" spans="1:14" x14ac:dyDescent="0.25">
      <c r="A90" s="135" t="s">
        <v>322</v>
      </c>
      <c r="B90" s="159">
        <f>dI/(2*PI()*fco_est*dV)*10^6</f>
        <v>117.89255043844098</v>
      </c>
      <c r="C90" s="147"/>
      <c r="D90" s="171"/>
      <c r="E90" s="139" t="s">
        <v>152</v>
      </c>
      <c r="F90" s="127"/>
      <c r="G90" s="127"/>
      <c r="H90" s="127"/>
      <c r="I90" s="40"/>
      <c r="J90" s="127"/>
      <c r="K90" s="127"/>
      <c r="L90" s="127"/>
      <c r="M90" s="127"/>
      <c r="N90" s="127"/>
    </row>
    <row r="91" spans="1:14" x14ac:dyDescent="0.25">
      <c r="A91" s="135" t="s">
        <v>323</v>
      </c>
      <c r="B91" s="159">
        <f>1/(8*fsw*(Vripple/Iripple))*10^6</f>
        <v>61.038961038961027</v>
      </c>
      <c r="C91" s="132"/>
      <c r="D91" s="127"/>
      <c r="E91" s="139" t="s">
        <v>152</v>
      </c>
      <c r="F91" s="127"/>
      <c r="G91" s="127"/>
      <c r="H91" s="127"/>
      <c r="I91" s="40"/>
      <c r="J91" s="127"/>
      <c r="K91" s="127"/>
      <c r="L91" s="127"/>
      <c r="M91" s="145"/>
      <c r="N91" s="127"/>
    </row>
    <row r="92" spans="1:14" x14ac:dyDescent="0.25">
      <c r="A92" s="135" t="s">
        <v>265</v>
      </c>
      <c r="B92" s="172">
        <v>0.7</v>
      </c>
      <c r="C92" s="132"/>
      <c r="D92" s="127"/>
      <c r="E92" s="139"/>
      <c r="F92" s="127" t="s">
        <v>266</v>
      </c>
      <c r="G92" s="127"/>
      <c r="H92" s="127"/>
      <c r="I92" s="127"/>
      <c r="J92" s="127"/>
      <c r="K92" s="127"/>
      <c r="L92" s="171"/>
      <c r="M92" s="127"/>
      <c r="N92" s="127"/>
    </row>
    <row r="93" spans="1:14" x14ac:dyDescent="0.25">
      <c r="A93" s="135" t="s">
        <v>354</v>
      </c>
      <c r="B93" s="121">
        <f>3*47</f>
        <v>141</v>
      </c>
      <c r="C93" s="132"/>
      <c r="D93" s="127"/>
      <c r="E93" s="139" t="s">
        <v>152</v>
      </c>
      <c r="G93" s="127"/>
      <c r="H93" s="127"/>
      <c r="I93" s="127"/>
      <c r="J93" s="127"/>
      <c r="K93" s="127"/>
      <c r="L93" s="171"/>
      <c r="M93" s="127"/>
      <c r="N93" s="127"/>
    </row>
    <row r="94" spans="1:14" x14ac:dyDescent="0.25">
      <c r="A94" s="135" t="s">
        <v>355</v>
      </c>
      <c r="B94" s="159">
        <f>Co_derating*Co_selected</f>
        <v>98.699999999999989</v>
      </c>
      <c r="C94" s="173"/>
      <c r="D94" s="127"/>
      <c r="E94" s="139" t="s">
        <v>152</v>
      </c>
      <c r="F94" s="127"/>
      <c r="G94" s="127"/>
      <c r="H94" s="3"/>
      <c r="I94" s="3"/>
      <c r="J94" s="127"/>
      <c r="K94" s="127"/>
      <c r="L94" s="3"/>
      <c r="M94" s="127"/>
      <c r="N94" s="127"/>
    </row>
    <row r="95" spans="1:14" x14ac:dyDescent="0.25">
      <c r="A95" s="135" t="s">
        <v>7</v>
      </c>
      <c r="B95" s="170">
        <f>Vripple/Iripple</f>
        <v>4.0957446808510649E-3</v>
      </c>
      <c r="D95" s="127"/>
      <c r="E95" s="139" t="s">
        <v>120</v>
      </c>
      <c r="F95" s="127"/>
      <c r="G95" s="127"/>
      <c r="H95" s="127"/>
      <c r="I95" s="132"/>
      <c r="J95" s="127"/>
      <c r="K95" s="127"/>
      <c r="L95" s="127"/>
      <c r="M95" s="174"/>
      <c r="N95" s="127"/>
    </row>
    <row r="96" spans="1:14" x14ac:dyDescent="0.25">
      <c r="A96" s="135" t="s">
        <v>356</v>
      </c>
      <c r="B96" s="101">
        <v>2E-3</v>
      </c>
      <c r="D96" s="127"/>
      <c r="E96" s="139" t="s">
        <v>120</v>
      </c>
      <c r="F96" s="127"/>
      <c r="G96" s="132"/>
      <c r="H96" s="127"/>
      <c r="I96" s="132"/>
      <c r="J96" s="132"/>
      <c r="K96" s="132"/>
      <c r="L96" s="127"/>
      <c r="M96" s="174"/>
      <c r="N96" s="127"/>
    </row>
    <row r="97" spans="1:14" x14ac:dyDescent="0.25">
      <c r="A97" s="135" t="s">
        <v>358</v>
      </c>
      <c r="B97" s="121">
        <v>0.1</v>
      </c>
      <c r="D97" s="127"/>
      <c r="E97" s="139" t="s">
        <v>152</v>
      </c>
      <c r="F97" s="127"/>
      <c r="G97" s="132"/>
      <c r="H97" s="127"/>
      <c r="I97" s="132"/>
      <c r="J97" s="132"/>
      <c r="K97" s="132"/>
      <c r="L97" s="127"/>
      <c r="M97" s="174"/>
      <c r="N97" s="127"/>
    </row>
    <row r="98" spans="1:14" x14ac:dyDescent="0.25">
      <c r="A98" s="135" t="s">
        <v>357</v>
      </c>
      <c r="B98" s="101">
        <v>0.15</v>
      </c>
      <c r="D98" s="127"/>
      <c r="E98" s="139" t="s">
        <v>120</v>
      </c>
      <c r="F98" s="127"/>
      <c r="G98" s="132"/>
      <c r="H98" s="127"/>
      <c r="I98" s="132"/>
      <c r="J98" s="132"/>
      <c r="K98" s="132"/>
      <c r="L98" s="127"/>
      <c r="M98" s="174"/>
      <c r="N98" s="127"/>
    </row>
    <row r="99" spans="1:14" x14ac:dyDescent="0.25">
      <c r="D99" s="127"/>
      <c r="E99" s="139"/>
      <c r="F99" s="1"/>
      <c r="G99" s="132"/>
      <c r="H99" s="127"/>
      <c r="I99" s="132"/>
      <c r="J99" s="132"/>
      <c r="K99" s="127"/>
      <c r="L99" s="171"/>
      <c r="M99" s="127"/>
      <c r="N99" s="127"/>
    </row>
    <row r="100" spans="1:14" ht="15.6" x14ac:dyDescent="0.3">
      <c r="A100" s="228" t="s">
        <v>187</v>
      </c>
      <c r="B100" s="3" t="s">
        <v>10</v>
      </c>
      <c r="D100" s="127"/>
      <c r="E100" s="35" t="s">
        <v>9</v>
      </c>
      <c r="F100" s="127"/>
      <c r="G100" s="127"/>
      <c r="H100" s="127"/>
      <c r="I100" s="175"/>
      <c r="J100" s="127"/>
      <c r="K100" s="127"/>
      <c r="L100" s="171"/>
      <c r="M100" s="127"/>
      <c r="N100" s="127"/>
    </row>
    <row r="101" spans="1:14" x14ac:dyDescent="0.25">
      <c r="A101" s="135" t="s">
        <v>263</v>
      </c>
      <c r="B101" s="163">
        <f>Iout*((Vout/Vin_min)*(Vin_min-Vout)/Vin_min)^0.5</f>
        <v>1.9994834043566154</v>
      </c>
      <c r="D101" s="127"/>
      <c r="E101" s="139" t="s">
        <v>4</v>
      </c>
      <c r="F101" s="127"/>
      <c r="G101" s="127"/>
      <c r="H101" s="171"/>
      <c r="I101" s="176"/>
      <c r="J101" s="176"/>
      <c r="K101" s="176"/>
      <c r="L101" s="171"/>
      <c r="M101" s="127"/>
      <c r="N101" s="127"/>
    </row>
    <row r="102" spans="1:14" x14ac:dyDescent="0.25">
      <c r="A102" s="135" t="s">
        <v>195</v>
      </c>
      <c r="B102" s="146">
        <f>0.005*Vin_nom*10^3</f>
        <v>16.5</v>
      </c>
      <c r="D102" s="127"/>
      <c r="E102" s="139" t="s">
        <v>161</v>
      </c>
      <c r="G102" s="127"/>
      <c r="H102" s="3"/>
      <c r="I102" s="3"/>
      <c r="J102" s="127"/>
      <c r="K102" s="127"/>
      <c r="L102" s="3"/>
      <c r="M102" s="127"/>
      <c r="N102" s="127"/>
    </row>
    <row r="103" spans="1:14" x14ac:dyDescent="0.25">
      <c r="A103" s="135" t="s">
        <v>122</v>
      </c>
      <c r="B103" s="159">
        <f>(Iout*0.25)/(Vinripple*fsw)*10^6</f>
        <v>121.2121212121212</v>
      </c>
      <c r="D103" s="127"/>
      <c r="E103" s="139" t="s">
        <v>152</v>
      </c>
      <c r="F103" s="127"/>
      <c r="G103" s="127"/>
      <c r="H103" s="127"/>
      <c r="I103" s="171"/>
      <c r="J103" s="171"/>
      <c r="K103" s="171"/>
      <c r="L103" s="127"/>
      <c r="M103" s="127"/>
      <c r="N103" s="127"/>
    </row>
    <row r="104" spans="1:14" x14ac:dyDescent="0.25">
      <c r="A104" s="135" t="s">
        <v>264</v>
      </c>
      <c r="B104" s="168">
        <v>7.6</v>
      </c>
      <c r="D104" s="127"/>
      <c r="E104" s="139" t="s">
        <v>152</v>
      </c>
      <c r="F104" s="127"/>
      <c r="G104" s="127"/>
      <c r="H104" s="127"/>
      <c r="I104" s="171"/>
      <c r="J104" s="171"/>
      <c r="K104" s="171"/>
      <c r="L104" s="127"/>
      <c r="M104" s="127"/>
      <c r="N104" s="127"/>
    </row>
    <row r="105" spans="1:14" x14ac:dyDescent="0.25">
      <c r="A105" s="135" t="s">
        <v>262</v>
      </c>
      <c r="B105" s="161">
        <f>(Iout*Vout/Vin_max*(1-Vout/Vin_max))/(Cin*fsw)*10^3</f>
        <v>250.33066728213689</v>
      </c>
      <c r="C105" s="161">
        <f>(Iout*Vout/Vin_nom*(1-Vout/Vin_nom))/(Cin*fsw)*10^3</f>
        <v>254.45846020008699</v>
      </c>
      <c r="D105" s="161">
        <f>(Iout*Vout/Vin_min*(1-Vout/Vin_min))/(Cin*fsw)*10^3</f>
        <v>263.02196607220537</v>
      </c>
      <c r="E105" s="139" t="s">
        <v>161</v>
      </c>
      <c r="F105" s="127"/>
      <c r="G105" s="127"/>
      <c r="H105" s="127"/>
      <c r="I105" s="171"/>
      <c r="J105" s="171"/>
      <c r="K105" s="171"/>
      <c r="L105" s="127"/>
      <c r="M105" s="127"/>
      <c r="N105" s="127"/>
    </row>
    <row r="106" spans="1:14" x14ac:dyDescent="0.25">
      <c r="E106" s="139"/>
      <c r="F106" s="1"/>
      <c r="G106" s="127"/>
      <c r="H106" s="127"/>
      <c r="I106" s="132"/>
      <c r="J106" s="127"/>
      <c r="K106" s="127"/>
      <c r="L106" s="127"/>
      <c r="M106" s="127"/>
      <c r="N106" s="127"/>
    </row>
    <row r="107" spans="1:14" ht="15.6" x14ac:dyDescent="0.3">
      <c r="A107" s="228" t="s">
        <v>362</v>
      </c>
      <c r="B107" s="3" t="s">
        <v>10</v>
      </c>
      <c r="D107" s="127"/>
      <c r="E107" s="35" t="s">
        <v>9</v>
      </c>
      <c r="F107" s="127"/>
      <c r="G107" s="127"/>
      <c r="H107" s="127"/>
      <c r="I107" s="132"/>
      <c r="J107" s="127"/>
      <c r="K107" s="127"/>
      <c r="L107" s="127"/>
      <c r="M107" s="127"/>
      <c r="N107" s="127"/>
    </row>
    <row r="108" spans="1:14" x14ac:dyDescent="0.25">
      <c r="A108" s="135" t="s">
        <v>118</v>
      </c>
      <c r="B108" s="159">
        <f>(Vstart*(Vena_stop/Vena_start)-Vstop)/(I_1*(1-Vena_stop/Vena_start)+Ihys)/1000</f>
        <v>4.8426150121066067</v>
      </c>
      <c r="C108" s="96">
        <f>(IF((10^(LOG(B108)-INT(LOG(B108)))*100)-VLOOKUP((10^(LOG(B108)-INT(LOG(B108)))*100),E96_s:E96_f,1)&lt;VLOOKUP((10^(LOG(B108)-INT(LOG(B108)))*100),E96_s:E96_f,2)-(10^(LOG(B108)-INT(LOG(B108)))*100),VLOOKUP((10^(LOG(B108)-INT(LOG(B108)))*100),E96_s:E96_f,1),VLOOKUP((10^(LOG(B108)-INT(LOG(B108)))*100),E96_s:E96_f,2)))*10^INT(LOG(B108))/100</f>
        <v>4.87</v>
      </c>
      <c r="D108" s="127"/>
      <c r="E108" s="139" t="s">
        <v>121</v>
      </c>
      <c r="F108" s="127"/>
      <c r="G108" s="127"/>
      <c r="H108" s="127"/>
      <c r="I108" s="132"/>
      <c r="J108" s="127"/>
      <c r="K108" s="127"/>
      <c r="L108" s="127"/>
      <c r="M108" s="127"/>
      <c r="N108" s="127"/>
    </row>
    <row r="109" spans="1:14" x14ac:dyDescent="0.25">
      <c r="A109" s="135" t="s">
        <v>81</v>
      </c>
      <c r="B109" s="121">
        <f>C108</f>
        <v>4.87</v>
      </c>
      <c r="D109" s="145"/>
      <c r="E109" s="139" t="s">
        <v>121</v>
      </c>
      <c r="F109" s="127"/>
      <c r="G109" s="127"/>
      <c r="H109" s="127"/>
      <c r="I109" s="132"/>
      <c r="J109" s="127"/>
      <c r="K109" s="127"/>
      <c r="L109" s="127"/>
      <c r="M109" s="127"/>
      <c r="N109" s="127"/>
    </row>
    <row r="110" spans="1:14" x14ac:dyDescent="0.25">
      <c r="A110" s="177" t="s">
        <v>119</v>
      </c>
      <c r="B110" s="159">
        <f>(Ruvlo1*Vena_stop)/((Vstop-Vena_stop)+Ruvlo1*(I_1+Ihys))/1000</f>
        <v>3.6107373095929214</v>
      </c>
      <c r="C110" s="96">
        <f>(IF((10^(LOG(B110)-INT(LOG(B110)))*100)-VLOOKUP((10^(LOG(B110)-INT(LOG(B110)))*100),E96_s:E96_f,1)&lt;VLOOKUP((10^(LOG(B110)-INT(LOG(B110)))*100),E96_s:E96_f,2)-(10^(LOG(B110)-INT(LOG(B110)))*100),VLOOKUP((10^(LOG(B110)-INT(LOG(B110)))*100),E96_s:E96_f,1),VLOOKUP((10^(LOG(B110)-INT(LOG(B110)))*100),E96_s:E96_f,2)))*10^INT(LOG(B110))/100</f>
        <v>3.65</v>
      </c>
      <c r="D110" s="145"/>
      <c r="E110" s="139" t="s">
        <v>121</v>
      </c>
      <c r="F110" s="3"/>
      <c r="G110" s="127"/>
      <c r="H110" s="127"/>
      <c r="I110" s="132"/>
      <c r="J110" s="127"/>
      <c r="K110" s="127"/>
      <c r="L110" s="127"/>
      <c r="M110" s="127"/>
      <c r="N110" s="127"/>
    </row>
    <row r="111" spans="1:14" x14ac:dyDescent="0.25">
      <c r="A111" s="135" t="s">
        <v>82</v>
      </c>
      <c r="B111" s="121">
        <f>C110</f>
        <v>3.65</v>
      </c>
      <c r="D111" s="145"/>
      <c r="E111" s="139" t="s">
        <v>121</v>
      </c>
      <c r="F111" s="127"/>
      <c r="G111" s="127"/>
      <c r="H111" s="127"/>
      <c r="I111" s="132"/>
      <c r="J111" s="127"/>
      <c r="K111" s="127"/>
      <c r="L111" s="127"/>
      <c r="M111" s="3"/>
      <c r="N111" s="127"/>
    </row>
    <row r="112" spans="1:14" x14ac:dyDescent="0.25">
      <c r="A112" s="135" t="s">
        <v>278</v>
      </c>
      <c r="B112" s="163">
        <f>Vena_start+Ruvlo1*(Vena_start-I_1*Ruvlo2)/Ruvlo2</f>
        <v>2.9815046164383565</v>
      </c>
      <c r="D112" s="127"/>
      <c r="E112" s="178" t="s">
        <v>5</v>
      </c>
      <c r="F112" s="127"/>
      <c r="G112" s="127"/>
      <c r="H112" s="127"/>
      <c r="I112" s="43"/>
      <c r="J112" s="127"/>
      <c r="K112" s="127"/>
      <c r="L112" s="127"/>
      <c r="M112" s="127"/>
      <c r="N112" s="127"/>
    </row>
    <row r="113" spans="1:14" x14ac:dyDescent="0.25">
      <c r="A113" s="135" t="s">
        <v>279</v>
      </c>
      <c r="B113" s="159">
        <f>Vena_stop-(Ruvlo1*(I_1*Ruvlo2-Vena_stop+Ihys*Ruvlo2))/Ruvlo2</f>
        <v>2.7825898904109589</v>
      </c>
      <c r="E113" s="139" t="s">
        <v>5</v>
      </c>
      <c r="F113" s="127"/>
      <c r="G113" s="127"/>
      <c r="H113" s="127"/>
      <c r="I113" s="43"/>
      <c r="J113" s="127"/>
      <c r="K113" s="127"/>
      <c r="L113" s="127"/>
      <c r="M113" s="127"/>
      <c r="N113" s="127"/>
    </row>
    <row r="114" spans="1:14" x14ac:dyDescent="0.25">
      <c r="A114" s="135" t="s">
        <v>169</v>
      </c>
      <c r="B114" s="159">
        <f>Vin_max*Ruvlo2/(Ruvlo1+Ruvlo2)</f>
        <v>1.484419014084507</v>
      </c>
      <c r="D114" s="127"/>
      <c r="E114" s="178" t="s">
        <v>5</v>
      </c>
      <c r="F114" s="127"/>
      <c r="G114" s="127"/>
      <c r="H114" s="127"/>
      <c r="I114" s="127"/>
      <c r="J114" s="127"/>
      <c r="K114" s="127"/>
      <c r="L114" s="127"/>
      <c r="M114" s="127"/>
      <c r="N114" s="127"/>
    </row>
    <row r="115" spans="1:14" x14ac:dyDescent="0.25">
      <c r="B115" s="147"/>
      <c r="E115" s="178"/>
      <c r="F115" s="1"/>
      <c r="G115" s="127"/>
      <c r="H115" s="127"/>
      <c r="I115" s="127"/>
      <c r="J115" s="127"/>
      <c r="K115" s="127"/>
      <c r="L115" s="127"/>
      <c r="M115" s="127"/>
      <c r="N115" s="127"/>
    </row>
    <row r="116" spans="1:14" ht="15.6" x14ac:dyDescent="0.3">
      <c r="A116" s="228" t="s">
        <v>229</v>
      </c>
      <c r="B116" s="3" t="s">
        <v>10</v>
      </c>
      <c r="E116" s="35" t="s">
        <v>9</v>
      </c>
      <c r="F116" s="127"/>
      <c r="G116" s="127"/>
      <c r="H116" s="127"/>
      <c r="I116" s="147"/>
      <c r="J116" s="127"/>
      <c r="K116" s="127"/>
      <c r="L116" s="127"/>
      <c r="M116" s="127"/>
      <c r="N116" s="127"/>
    </row>
    <row r="117" spans="1:14" x14ac:dyDescent="0.25">
      <c r="A117" s="135" t="s">
        <v>118</v>
      </c>
      <c r="B117" s="159">
        <f>IF(B3=E11,(Vstart*(Vena_stop/Vena_start)-Vstop)/(2*I_1*(1-Vena_stop/Vena_start)+2*Ihys)/1000,"N/A")</f>
        <v>2.4213075060533034</v>
      </c>
      <c r="C117" s="96">
        <f>(IF((10^(LOG(B117)-INT(LOG(B117)))*100)-VLOOKUP((10^(LOG(B117)-INT(LOG(B117)))*100),E96_s:E96_f,1)&lt;VLOOKUP((10^(LOG(B117)-INT(LOG(B117)))*100),E96_s:E96_f,2)-(10^(LOG(B117)-INT(LOG(B117)))*100),VLOOKUP((10^(LOG(B117)-INT(LOG(B117)))*100),E96_s:E96_f,1),VLOOKUP((10^(LOG(B117)-INT(LOG(B117)))*100),E96_s:E96_f,2)))*10^INT(LOG(B117))/100</f>
        <v>2.4300000000000002</v>
      </c>
      <c r="D117" s="127"/>
      <c r="E117" s="139" t="s">
        <v>121</v>
      </c>
      <c r="F117" s="127"/>
      <c r="G117" s="127"/>
      <c r="H117" s="127"/>
      <c r="I117" s="132"/>
      <c r="J117" s="127"/>
      <c r="K117" s="127"/>
      <c r="L117" s="127"/>
      <c r="M117" s="127"/>
      <c r="N117" s="127"/>
    </row>
    <row r="118" spans="1:14" x14ac:dyDescent="0.25">
      <c r="A118" s="135" t="s">
        <v>81</v>
      </c>
      <c r="B118" s="168">
        <f>C117</f>
        <v>2.4300000000000002</v>
      </c>
      <c r="D118" s="145"/>
      <c r="E118" s="139" t="s">
        <v>121</v>
      </c>
      <c r="F118" s="127"/>
      <c r="G118" s="127"/>
      <c r="H118" s="127"/>
      <c r="I118" s="132"/>
      <c r="J118" s="127"/>
      <c r="K118" s="127"/>
      <c r="L118" s="127"/>
      <c r="M118" s="127"/>
      <c r="N118" s="127"/>
    </row>
    <row r="119" spans="1:14" x14ac:dyDescent="0.25">
      <c r="A119" s="177" t="s">
        <v>119</v>
      </c>
      <c r="B119" s="159">
        <f>IF(B3=E11,(Ruvlo1+Vena_stop)/((Vstop-Vena_stop)+Ruvlo1*2*(I_1+Ihys))/1000,"N/A")</f>
        <v>2.9756654196792693</v>
      </c>
      <c r="C119" s="111">
        <f>(IF((10^(LOG(B119)-INT(LOG(B119)))*100)-VLOOKUP((10^(LOG(B119)-INT(LOG(B119)))*100),E96_s:E96_f,1)&lt;VLOOKUP((10^(LOG(B119)-INT(LOG(B119)))*100),E96_s:E96_f,2)-(10^(LOG(B119)-INT(LOG(B119)))*100),VLOOKUP((10^(LOG(B119)-INT(LOG(B119)))*100),E96_s:E96_f,1),VLOOKUP((10^(LOG(B119)-INT(LOG(B119)))*100),E96_s:E96_f,2)))*10^INT(LOG(B119))/100</f>
        <v>3.01</v>
      </c>
      <c r="D119" s="145"/>
      <c r="E119" s="139" t="s">
        <v>121</v>
      </c>
      <c r="F119" s="3"/>
      <c r="G119" s="127"/>
      <c r="H119" s="127"/>
      <c r="I119" s="132"/>
      <c r="J119" s="127"/>
      <c r="K119" s="127"/>
      <c r="L119" s="127"/>
      <c r="M119" s="127"/>
      <c r="N119" s="127"/>
    </row>
    <row r="120" spans="1:14" x14ac:dyDescent="0.25">
      <c r="A120" s="135" t="s">
        <v>82</v>
      </c>
      <c r="B120" s="168">
        <f>C119</f>
        <v>3.01</v>
      </c>
      <c r="D120" s="145"/>
      <c r="E120" s="139" t="s">
        <v>121</v>
      </c>
      <c r="F120" s="127"/>
      <c r="G120" s="127"/>
      <c r="H120" s="127"/>
      <c r="I120" s="132"/>
      <c r="J120" s="127"/>
      <c r="K120" s="127"/>
      <c r="L120" s="127"/>
      <c r="M120" s="3"/>
      <c r="N120" s="127"/>
    </row>
    <row r="121" spans="1:14" x14ac:dyDescent="0.25">
      <c r="A121" s="135" t="s">
        <v>87</v>
      </c>
      <c r="B121" s="159">
        <f>IF(B3=E11,Vena_start+Ruvlo1*(Vena_start-I_1*Ruvlo2)/Ruvlo2,"N/A")</f>
        <v>2.9815046164383565</v>
      </c>
      <c r="D121" s="127"/>
      <c r="E121" s="178" t="s">
        <v>5</v>
      </c>
      <c r="F121" s="127"/>
      <c r="G121" s="127"/>
      <c r="H121" s="127"/>
      <c r="I121" s="43"/>
      <c r="J121" s="127"/>
      <c r="K121" s="127"/>
      <c r="L121" s="127"/>
      <c r="M121" s="127"/>
      <c r="N121" s="127"/>
    </row>
    <row r="122" spans="1:14" x14ac:dyDescent="0.25">
      <c r="A122" s="135" t="s">
        <v>86</v>
      </c>
      <c r="B122" s="159">
        <f>IF(B3=E11,B121-Ihys*Ruvlo1,"N/A")</f>
        <v>2.9693296164383565</v>
      </c>
      <c r="E122" s="139" t="s">
        <v>5</v>
      </c>
      <c r="F122" s="127"/>
      <c r="G122" s="127"/>
      <c r="H122" s="127"/>
      <c r="I122" s="43"/>
      <c r="J122" s="127"/>
      <c r="K122" s="127"/>
      <c r="L122" s="127"/>
      <c r="M122" s="127"/>
      <c r="N122" s="127"/>
    </row>
    <row r="123" spans="1:14" x14ac:dyDescent="0.25">
      <c r="A123" s="135" t="s">
        <v>170</v>
      </c>
      <c r="B123" s="159">
        <f>IF(B3=E11,Vin_max*Ruvlo2/(Ruvlo1+Ruvlo2),"N/A")</f>
        <v>1.484419014084507</v>
      </c>
      <c r="D123" s="127"/>
      <c r="E123" s="178" t="s">
        <v>5</v>
      </c>
      <c r="F123" s="127"/>
      <c r="G123" s="127"/>
      <c r="H123" s="127"/>
      <c r="I123" s="127"/>
      <c r="J123" s="127"/>
      <c r="K123" s="127"/>
      <c r="L123" s="127"/>
      <c r="M123" s="127"/>
      <c r="N123" s="127"/>
    </row>
    <row r="124" spans="1:14" x14ac:dyDescent="0.25">
      <c r="B124" s="147"/>
      <c r="E124" s="178"/>
      <c r="F124" s="1"/>
      <c r="G124" s="127"/>
      <c r="H124" s="127"/>
      <c r="I124" s="127"/>
      <c r="J124" s="127"/>
      <c r="K124" s="127"/>
      <c r="L124" s="127"/>
      <c r="M124" s="127"/>
      <c r="N124" s="127"/>
    </row>
    <row r="125" spans="1:14" ht="15.6" x14ac:dyDescent="0.3">
      <c r="A125" s="228" t="s">
        <v>179</v>
      </c>
      <c r="B125" s="3" t="s">
        <v>10</v>
      </c>
      <c r="E125" s="35" t="s">
        <v>9</v>
      </c>
      <c r="F125" s="127"/>
      <c r="G125" s="127"/>
      <c r="H125" s="127"/>
      <c r="I125" s="147"/>
      <c r="J125" s="127"/>
      <c r="K125" s="127"/>
      <c r="L125" s="127"/>
      <c r="M125" s="127"/>
      <c r="N125" s="127"/>
    </row>
    <row r="126" spans="1:14" x14ac:dyDescent="0.25">
      <c r="A126" s="135" t="s">
        <v>207</v>
      </c>
      <c r="B126" s="122">
        <v>6.02</v>
      </c>
      <c r="C126" s="110">
        <f>(IF((10^(LOG(B126)-INT(LOG(B126)))*100)-VLOOKUP((10^(LOG(B126)-INT(LOG(B126)))*100),E96_s:E96_f,1)&lt;VLOOKUP((10^(LOG(B126)-INT(LOG(B126)))*100),E96_s:E96_f,2)-(10^(LOG(B126)-INT(LOG(B126)))*100),VLOOKUP((10^(LOG(B126)-INT(LOG(B126)))*100),E96_s:E96_f,1),VLOOKUP((10^(LOG(B126)-INT(LOG(B126)))*100),E96_s:E96_f,2)))*10^INT(LOG(B126))/100</f>
        <v>6.04</v>
      </c>
      <c r="D126" s="127"/>
      <c r="E126" s="139" t="s">
        <v>121</v>
      </c>
      <c r="F126" s="127"/>
      <c r="G126" s="3"/>
      <c r="H126" s="127"/>
      <c r="I126" s="127"/>
      <c r="J126" s="127"/>
      <c r="K126" s="127"/>
      <c r="L126" s="127"/>
      <c r="M126" s="127"/>
      <c r="N126" s="127"/>
    </row>
    <row r="127" spans="1:14" x14ac:dyDescent="0.25">
      <c r="A127" s="135" t="s">
        <v>117</v>
      </c>
      <c r="B127" s="159">
        <f>Rls/1000*(Vout-Vref)/Vref</f>
        <v>7.5250000000000012</v>
      </c>
      <c r="C127" s="110">
        <f>(IF((10^(LOG(B127)-INT(LOG(B127)))*100)-VLOOKUP((10^(LOG(B127)-INT(LOG(B127)))*100),E96_s:E96_f,1)&lt;VLOOKUP((10^(LOG(B127)-INT(LOG(B127)))*100),E96_s:E96_f,2)-(10^(LOG(B127)-INT(LOG(B127)))*100),VLOOKUP((10^(LOG(B127)-INT(LOG(B127)))*100),E96_s:E96_f,1),VLOOKUP((10^(LOG(B127)-INT(LOG(B127)))*100),E96_s:E96_f,2)))*10^INT(LOG(B127))/100</f>
        <v>7.5</v>
      </c>
      <c r="D127" s="127"/>
      <c r="E127" s="139" t="s">
        <v>121</v>
      </c>
      <c r="F127" s="127"/>
      <c r="G127" s="127"/>
      <c r="H127" s="127"/>
      <c r="I127" s="127"/>
      <c r="J127" s="127"/>
      <c r="K127" s="127"/>
      <c r="L127" s="127"/>
      <c r="M127" s="127"/>
      <c r="N127" s="127"/>
    </row>
    <row r="128" spans="1:14" x14ac:dyDescent="0.25">
      <c r="A128" s="135" t="s">
        <v>27</v>
      </c>
      <c r="B128" s="122">
        <f>C127</f>
        <v>7.5</v>
      </c>
      <c r="D128" s="127"/>
      <c r="E128" s="139" t="s">
        <v>121</v>
      </c>
      <c r="F128" s="127"/>
      <c r="G128" s="127"/>
      <c r="H128" s="3"/>
      <c r="I128" s="3"/>
      <c r="J128" s="127"/>
      <c r="K128" s="127"/>
      <c r="L128" s="3"/>
      <c r="M128" s="127"/>
      <c r="N128" s="127"/>
    </row>
    <row r="129" spans="1:14" x14ac:dyDescent="0.25">
      <c r="A129" s="135" t="s">
        <v>85</v>
      </c>
      <c r="B129" s="170">
        <f>Vref/(Rls/(Rhs+Rls))</f>
        <v>1.3475083056478405</v>
      </c>
      <c r="D129" s="127"/>
      <c r="E129" s="139" t="s">
        <v>5</v>
      </c>
      <c r="F129" s="127"/>
      <c r="G129" s="127"/>
      <c r="H129" s="127"/>
      <c r="I129" s="132"/>
      <c r="J129" s="127"/>
      <c r="K129" s="127"/>
      <c r="L129" s="127"/>
      <c r="M129" s="127"/>
      <c r="N129" s="127"/>
    </row>
    <row r="130" spans="1:14" x14ac:dyDescent="0.25">
      <c r="D130" s="127"/>
      <c r="E130" s="139"/>
      <c r="F130" s="1"/>
      <c r="G130" s="127"/>
      <c r="H130" s="127"/>
      <c r="I130" s="132"/>
      <c r="J130" s="127"/>
      <c r="K130" s="127"/>
      <c r="L130" s="127"/>
      <c r="M130" s="127"/>
      <c r="N130" s="127"/>
    </row>
    <row r="131" spans="1:14" ht="15.6" x14ac:dyDescent="0.3">
      <c r="A131" s="228" t="s">
        <v>165</v>
      </c>
      <c r="B131" s="3" t="s">
        <v>10</v>
      </c>
      <c r="E131" s="35" t="s">
        <v>9</v>
      </c>
      <c r="F131" s="179"/>
      <c r="G131" s="127"/>
      <c r="H131" s="3"/>
      <c r="I131" s="127"/>
      <c r="J131" s="127"/>
      <c r="K131" s="127"/>
      <c r="L131" s="127"/>
      <c r="M131" s="127"/>
      <c r="N131" s="127"/>
    </row>
    <row r="132" spans="1:14" s="127" customFormat="1" x14ac:dyDescent="0.25">
      <c r="A132" s="179" t="s">
        <v>165</v>
      </c>
      <c r="B132" s="168">
        <v>1</v>
      </c>
      <c r="C132" s="179"/>
      <c r="E132" s="179" t="s">
        <v>164</v>
      </c>
      <c r="F132" s="179"/>
    </row>
    <row r="133" spans="1:14" s="127" customFormat="1" x14ac:dyDescent="0.25">
      <c r="A133" s="179" t="s">
        <v>166</v>
      </c>
      <c r="B133" s="169">
        <f>tss*Iss*10^9/Vref</f>
        <v>3.666666666666667</v>
      </c>
      <c r="C133" s="110">
        <f>IF(B133*10^-3&lt;10000,IF((10^(LOG(B133*10^-3)-INT(LOG(B133*10^-3))))-VLOOKUP((10^(LOG(B133*10^-3)-INT(LOG(B133*10^-3)))),c_s1:C_f1,1)&lt;VLOOKUP((10^(LOG(B133*10^-3)-INT(LOG(B133*10^-3)))),c_s1:C_f1,2)-(10^(LOG(B133*10^-3)-INT(LOG(B133*10^-3)))),VLOOKUP((10^(LOG(B133*10^-3)-INT(LOG(B133*10^-3)))),c_s1:C_f1,1),VLOOKUP((10^(LOG(B133*10^-3)-INT(LOG(B133*10^-3)))),c_s1:C_f1,2))*10^INT(LOG(B133*10^-3)),IF((10^(LOG(B133*10^-3)-INT(LOG(B133*10^-3))))-VLOOKUP((10^(LOG(B133*10^-3)-INT(LOG(B133*10^-3)))),C_s2:C_f2,1)&lt;VLOOKUP((10^(LOG(B133*10^-3)-INT(LOG(B133*10^-3)))),C_s2:C_f2,2)-(10^(LOG(B133*10^-3)-INT(LOG(B133*10^-3)))),VLOOKUP((10^(LOG(B133*10^-3)-INT(LOG(B133*10^-3)))),C_s2:C_f2,1),VLOOKUP((10^(LOG(B133*10^-3)-INT(LOG(B133*10^-3)))),C_s2:C_f2,2))*10^INT(LOG(B133*10^-3)))*10^3</f>
        <v>3.9</v>
      </c>
      <c r="D133" s="179"/>
      <c r="E133" s="179" t="s">
        <v>162</v>
      </c>
      <c r="F133" s="179"/>
      <c r="H133" s="3"/>
    </row>
    <row r="134" spans="1:14" s="127" customFormat="1" x14ac:dyDescent="0.25">
      <c r="A134" s="179" t="s">
        <v>167</v>
      </c>
      <c r="B134" s="121">
        <v>22</v>
      </c>
      <c r="C134" s="179"/>
      <c r="D134" s="179"/>
      <c r="E134" s="179" t="s">
        <v>162</v>
      </c>
      <c r="F134" s="179"/>
      <c r="H134" s="3"/>
    </row>
    <row r="135" spans="1:14" x14ac:dyDescent="0.25">
      <c r="A135" s="179" t="s">
        <v>165</v>
      </c>
      <c r="B135" s="163">
        <f>Css*Vref/Iss*10^3</f>
        <v>6</v>
      </c>
      <c r="C135" s="179"/>
      <c r="D135" s="179"/>
      <c r="E135" s="178" t="s">
        <v>164</v>
      </c>
      <c r="F135" s="179"/>
      <c r="G135" s="127"/>
      <c r="H135" s="127"/>
      <c r="I135" s="127"/>
      <c r="J135" s="127"/>
      <c r="K135" s="127"/>
      <c r="L135" s="127"/>
      <c r="M135" s="127"/>
      <c r="N135" s="127"/>
    </row>
    <row r="136" spans="1:14" x14ac:dyDescent="0.25">
      <c r="A136" s="179" t="s">
        <v>365</v>
      </c>
      <c r="B136" s="163">
        <f>(Co+Co_2)*Vout/(B135*0.001)</f>
        <v>2.223E-2</v>
      </c>
      <c r="C136" s="179"/>
      <c r="D136" s="179"/>
      <c r="E136" s="178" t="s">
        <v>4</v>
      </c>
      <c r="F136" s="179"/>
      <c r="G136" s="127"/>
      <c r="H136" s="127"/>
      <c r="I136" s="127"/>
      <c r="J136" s="127"/>
      <c r="K136" s="127"/>
      <c r="L136" s="127"/>
      <c r="M136" s="127"/>
      <c r="N136" s="127"/>
    </row>
    <row r="137" spans="1:14" x14ac:dyDescent="0.25">
      <c r="A137" s="125"/>
      <c r="B137" s="179"/>
      <c r="C137" s="179"/>
      <c r="D137" s="179"/>
      <c r="E137" s="178"/>
      <c r="F137" s="127"/>
      <c r="G137" s="127"/>
      <c r="H137" s="127"/>
      <c r="I137" s="174"/>
      <c r="J137" s="127"/>
      <c r="K137" s="145"/>
      <c r="L137" s="127"/>
      <c r="M137" s="127"/>
      <c r="N137" s="127"/>
    </row>
    <row r="138" spans="1:14" ht="15.6" x14ac:dyDescent="0.3">
      <c r="A138" s="228" t="s">
        <v>186</v>
      </c>
      <c r="D138" s="179"/>
      <c r="E138" s="139"/>
      <c r="F138" s="1"/>
      <c r="G138" s="127"/>
      <c r="H138" s="127"/>
      <c r="I138" s="174"/>
      <c r="J138" s="127"/>
      <c r="K138" s="145"/>
      <c r="L138" s="127"/>
      <c r="M138" s="127"/>
      <c r="N138" s="127"/>
    </row>
    <row r="139" spans="1:14" x14ac:dyDescent="0.25">
      <c r="A139" s="4" t="s">
        <v>185</v>
      </c>
      <c r="B139" s="3" t="s">
        <v>10</v>
      </c>
      <c r="C139" s="127"/>
      <c r="D139" s="127"/>
      <c r="E139" s="35" t="s">
        <v>9</v>
      </c>
      <c r="F139" s="132"/>
      <c r="G139" s="127"/>
      <c r="H139" s="127"/>
      <c r="I139" s="174"/>
      <c r="J139" s="127"/>
      <c r="K139" s="145"/>
      <c r="L139" s="127"/>
      <c r="M139" s="127"/>
      <c r="N139" s="127"/>
    </row>
    <row r="140" spans="1:14" x14ac:dyDescent="0.25">
      <c r="A140" s="99" t="s">
        <v>272</v>
      </c>
      <c r="B140" s="170">
        <f>(Iout)/(2*PI()*Vout*(Co+Co_2))/1000</f>
        <v>4.7729777505441708</v>
      </c>
      <c r="C140" s="147"/>
      <c r="D140" s="127"/>
      <c r="E140" s="144" t="s">
        <v>14</v>
      </c>
      <c r="F140" s="132"/>
      <c r="G140" s="127"/>
      <c r="H140" s="127"/>
      <c r="I140" s="174"/>
      <c r="J140" s="127"/>
      <c r="K140" s="127"/>
      <c r="L140" s="127"/>
      <c r="M140" s="3"/>
      <c r="N140" s="127"/>
    </row>
    <row r="141" spans="1:14" x14ac:dyDescent="0.25">
      <c r="A141" s="135" t="s">
        <v>273</v>
      </c>
      <c r="B141" s="161">
        <f>1/(2*PI()*MAX(Co,Co_2)*IF(Co&gt;Co_2,ESR,ESR_2))/1000</f>
        <v>806.25604403189141</v>
      </c>
      <c r="C141" s="127"/>
      <c r="D141" s="147"/>
      <c r="E141" s="144" t="s">
        <v>14</v>
      </c>
      <c r="F141" s="132"/>
      <c r="G141" s="127"/>
      <c r="H141" s="127"/>
      <c r="I141" s="147"/>
      <c r="J141" s="127"/>
      <c r="K141" s="127"/>
      <c r="L141" s="127"/>
      <c r="M141" s="127"/>
      <c r="N141" s="127"/>
    </row>
    <row r="142" spans="1:14" x14ac:dyDescent="0.25">
      <c r="A142" s="135" t="s">
        <v>316</v>
      </c>
      <c r="B142" s="159">
        <f>SQRT(fpole*fzero)/1000</f>
        <v>62.034201529527067</v>
      </c>
      <c r="C142" s="127"/>
      <c r="D142" s="127"/>
      <c r="E142" s="144" t="s">
        <v>14</v>
      </c>
      <c r="F142" s="132"/>
      <c r="G142" s="127"/>
      <c r="H142" s="127"/>
      <c r="I142" s="147"/>
      <c r="J142" s="127"/>
      <c r="K142" s="127"/>
      <c r="L142" s="132"/>
      <c r="M142" s="127"/>
      <c r="N142" s="127"/>
    </row>
    <row r="143" spans="1:14" x14ac:dyDescent="0.25">
      <c r="A143" s="135" t="s">
        <v>317</v>
      </c>
      <c r="B143" s="159">
        <f>SQRT(fpole*(fsw/2))/1000</f>
        <v>34.543370386168782</v>
      </c>
      <c r="C143" s="127"/>
      <c r="D143" s="127"/>
      <c r="E143" s="144" t="s">
        <v>14</v>
      </c>
      <c r="F143" s="127"/>
      <c r="G143" s="127"/>
    </row>
    <row r="144" spans="1:14" x14ac:dyDescent="0.25">
      <c r="A144" s="135" t="s">
        <v>319</v>
      </c>
      <c r="B144" s="159">
        <f>MIN(VLOOKUP(0,'Small Signal'!I2:L212,4,FALSE)/1000,1/5*fsw*1/1000)</f>
        <v>46.415888336127836</v>
      </c>
      <c r="C144" s="127"/>
      <c r="D144" s="127"/>
      <c r="E144" s="144" t="s">
        <v>14</v>
      </c>
      <c r="F144" s="127"/>
      <c r="G144" s="127"/>
    </row>
    <row r="145" spans="1:14" x14ac:dyDescent="0.25">
      <c r="A145" s="135" t="s">
        <v>318</v>
      </c>
      <c r="B145" s="168">
        <f>B144</f>
        <v>46.415888336127836</v>
      </c>
      <c r="C145" s="127"/>
      <c r="D145" s="127"/>
      <c r="E145" s="178" t="s">
        <v>14</v>
      </c>
      <c r="G145" s="127"/>
      <c r="H145" s="127"/>
      <c r="I145" s="127"/>
      <c r="J145" s="127"/>
      <c r="K145" s="127"/>
      <c r="L145" s="127"/>
      <c r="M145" s="127"/>
      <c r="N145" s="127"/>
    </row>
    <row r="146" spans="1:14" x14ac:dyDescent="0.25">
      <c r="A146" s="4" t="s">
        <v>12</v>
      </c>
      <c r="D146" s="127"/>
      <c r="G146" s="127"/>
      <c r="H146" s="171"/>
    </row>
    <row r="147" spans="1:14" x14ac:dyDescent="0.25">
      <c r="A147" s="135" t="s">
        <v>116</v>
      </c>
      <c r="B147" s="163">
        <f>(2*PI()*fco*(Co+Co_2)/gmps)*(Vout/(gmea*Vref))/1000</f>
        <v>15.584492600582875</v>
      </c>
      <c r="C147" s="110">
        <f>(IF((10^(LOG(B147)-INT(LOG(B147)))*100)-VLOOKUP((10^(LOG(B147)-INT(LOG(B147)))*100),E96_s:E96_f,1)&lt;VLOOKUP((10^(LOG(B147)-INT(LOG(B147)))*100),E96_s:E96_f,2)-(10^(LOG(B147)-INT(LOG(B147)))*100),VLOOKUP((10^(LOG(B147)-INT(LOG(B147)))*100),E96_s:E96_f,1),VLOOKUP((10^(LOG(B147)-INT(LOG(B147)))*100),E96_s:E96_f,2)))*10^INT(LOG(B147))/100</f>
        <v>15.4</v>
      </c>
      <c r="E147" s="139" t="s">
        <v>121</v>
      </c>
      <c r="G147" s="127"/>
      <c r="H147" s="127"/>
      <c r="I147" s="145"/>
      <c r="J147" s="127"/>
      <c r="K147" s="127"/>
      <c r="L147" s="127"/>
      <c r="M147" s="127"/>
      <c r="N147" s="127"/>
    </row>
    <row r="148" spans="1:14" x14ac:dyDescent="0.25">
      <c r="A148" s="135" t="s">
        <v>23</v>
      </c>
      <c r="B148" s="122">
        <f>C147</f>
        <v>15.4</v>
      </c>
      <c r="C148" s="127"/>
      <c r="D148" s="132"/>
      <c r="E148" s="139" t="s">
        <v>121</v>
      </c>
      <c r="G148" s="127"/>
      <c r="H148" s="3"/>
      <c r="I148" s="3"/>
      <c r="J148" s="127"/>
      <c r="K148" s="127"/>
      <c r="L148" s="3"/>
      <c r="M148" s="3"/>
      <c r="N148" s="127"/>
    </row>
    <row r="149" spans="1:14" x14ac:dyDescent="0.25">
      <c r="A149" s="135" t="s">
        <v>274</v>
      </c>
      <c r="B149" s="163">
        <f>1/(2*PI()*Rcomp*fpole*2)*10^9</f>
        <v>1.08262987012987</v>
      </c>
      <c r="C149" s="110">
        <f>IF(B149*10^-3&lt;10000,IF((10^(LOG(B149*10^-3)-INT(LOG(B149*10^-3))))-VLOOKUP((10^(LOG(B149*10^-3)-INT(LOG(B149*10^-3)))),c_s1:C_f1,1)&lt;VLOOKUP((10^(LOG(B149*10^-3)-INT(LOG(B149*10^-3)))),c_s1:C_f1,2)-(10^(LOG(B149*10^-3)-INT(LOG(B149*10^-3)))),VLOOKUP((10^(LOG(B149*10^-3)-INT(LOG(B149*10^-3)))),c_s1:C_f1,1),VLOOKUP((10^(LOG(B149*10^-3)-INT(LOG(B149*10^-3)))),c_s1:C_f1,2))*10^INT(LOG(B149*10^-3)),IF((10^(LOG(B149*10^-3)-INT(LOG(B149*10^-3))))-VLOOKUP((10^(LOG(B149*10^-3)-INT(LOG(B149*10^-3)))),C_s2:C_f2,1)&lt;VLOOKUP((10^(LOG(B149*10^-3)-INT(LOG(B149*10^-3)))),C_s2:C_f2,2)-(10^(LOG(B149*10^-3)-INT(LOG(B149*10^-3)))),VLOOKUP((10^(LOG(B149*10^-3)-INT(LOG(B149*10^-3)))),C_s2:C_f2,1),VLOOKUP((10^(LOG(B149*10^-3)-INT(LOG(B149*10^-3)))),C_s2:C_f2,2))*10^INT(LOG(B149*10^-3)))*10^3</f>
        <v>1</v>
      </c>
      <c r="D149" s="127"/>
      <c r="E149" s="139" t="s">
        <v>162</v>
      </c>
      <c r="G149" s="127"/>
      <c r="H149" s="127"/>
      <c r="I149" s="145"/>
      <c r="J149" s="127"/>
      <c r="K149" s="127"/>
      <c r="L149" s="127"/>
      <c r="M149" s="127"/>
      <c r="N149" s="127"/>
    </row>
    <row r="150" spans="1:14" x14ac:dyDescent="0.25">
      <c r="A150" s="135" t="s">
        <v>320</v>
      </c>
      <c r="B150" s="163">
        <f>1/(2*PI()*Rcomp*fco/10)*10^9</f>
        <v>2.2265514966703197</v>
      </c>
      <c r="C150" s="110">
        <f>IF(B150*10^-3&lt;10000,IF((10^(LOG(B150*10^-3)-INT(LOG(B150*10^-3))))-VLOOKUP((10^(LOG(B150*10^-3)-INT(LOG(B150*10^-3)))),c_s1:C_f1,1)&lt;VLOOKUP((10^(LOG(B150*10^-3)-INT(LOG(B150*10^-3)))),c_s1:C_f1,2)-(10^(LOG(B150*10^-3)-INT(LOG(B150*10^-3)))),VLOOKUP((10^(LOG(B150*10^-3)-INT(LOG(B150*10^-3)))),c_s1:C_f1,1),VLOOKUP((10^(LOG(B150*10^-3)-INT(LOG(B150*10^-3)))),c_s1:C_f1,2))*10^INT(LOG(B150*10^-3)),IF((10^(LOG(B150*10^-3)-INT(LOG(B150*10^-3))))-VLOOKUP((10^(LOG(B150*10^-3)-INT(LOG(B150*10^-3)))),C_s2:C_f2,1)&lt;VLOOKUP((10^(LOG(B150*10^-3)-INT(LOG(B150*10^-3)))),C_s2:C_f2,2)-(10^(LOG(B150*10^-3)-INT(LOG(B150*10^-3)))),VLOOKUP((10^(LOG(B150*10^-3)-INT(LOG(B150*10^-3)))),C_s2:C_f2,1),VLOOKUP((10^(LOG(B150*10^-3)-INT(LOG(B150*10^-3)))),C_s2:C_f2,2))*10^INT(LOG(B150*10^-3)))*10^3</f>
        <v>2.2000000000000002</v>
      </c>
      <c r="D150" s="43"/>
      <c r="E150" s="139" t="s">
        <v>162</v>
      </c>
      <c r="G150" s="127"/>
      <c r="H150" s="127"/>
      <c r="I150" s="127"/>
      <c r="J150" s="127"/>
      <c r="K150" s="127"/>
      <c r="L150" s="127"/>
      <c r="M150" s="127"/>
      <c r="N150" s="127"/>
    </row>
    <row r="151" spans="1:14" x14ac:dyDescent="0.25">
      <c r="A151" s="135" t="s">
        <v>25</v>
      </c>
      <c r="B151" s="122">
        <f>MAX(C150,C149)</f>
        <v>2.2000000000000002</v>
      </c>
      <c r="C151" s="132"/>
      <c r="D151" s="43"/>
      <c r="E151" s="139" t="s">
        <v>162</v>
      </c>
      <c r="G151" s="127"/>
      <c r="H151" s="127"/>
      <c r="I151" s="127"/>
      <c r="J151" s="127"/>
      <c r="K151" s="127"/>
      <c r="L151" s="127"/>
      <c r="M151" s="127"/>
      <c r="N151" s="127"/>
    </row>
    <row r="152" spans="1:14" x14ac:dyDescent="0.25">
      <c r="A152" s="135" t="s">
        <v>275</v>
      </c>
      <c r="B152" s="159">
        <f>MAX(0.1,1/(2*PI()*Rcomp*fzero)*10^12-10)</f>
        <v>2.8181818181818148</v>
      </c>
      <c r="C152" s="111">
        <f>IF(B152&lt;10000,IF((10^(LOG(B152)-INT(LOG(B152))))-VLOOKUP((10^(LOG(B152)-INT(LOG(B152)))),c_s1:C_f1,1)&lt;VLOOKUP((10^(LOG(B152)-INT(LOG(B152)))),c_s1:C_f1,2)-(10^(LOG(B152)-INT(LOG(B152)))),VLOOKUP((10^(LOG(B152)-INT(LOG(B152)))),c_s1:C_f1,1),VLOOKUP((10^(LOG(B152)-INT(LOG(B152)))),c_s1:C_f1,2))*10^INT(LOG(B152)),IF((10^(LOG(B152)-INT(LOG(B152))))-VLOOKUP((10^(LOG(B152)-INT(LOG(B152)))),C_s2:C_f2,1)&lt;VLOOKUP((10^(LOG(B152)-INT(LOG(B152)))),C_s2:C_f2,2)-(10^(LOG(B152)-INT(LOG(B152)))),VLOOKUP((10^(LOG(B152)-INT(LOG(B152)))),C_s2:C_f2,1),VLOOKUP((10^(LOG(B152)-INT(LOG(B152)))),C_s2:C_f2,2))*10^INT(LOG(B152)))</f>
        <v>2.7</v>
      </c>
      <c r="D152" s="127"/>
      <c r="E152" s="139" t="s">
        <v>160</v>
      </c>
      <c r="G152" s="127"/>
      <c r="H152" s="3"/>
      <c r="I152" s="3"/>
      <c r="J152" s="127"/>
      <c r="K152" s="127"/>
      <c r="L152" s="3"/>
      <c r="M152" s="3"/>
      <c r="N152" s="127"/>
    </row>
    <row r="153" spans="1:14" x14ac:dyDescent="0.25">
      <c r="A153" s="135" t="s">
        <v>271</v>
      </c>
      <c r="B153" s="159">
        <f>MAX(0.1,1/(Rcomp*PI()*fsw)*10^12-10)</f>
        <v>31.338946257635158</v>
      </c>
      <c r="C153" s="111">
        <f>IF(B153&lt;10000,IF((10^(LOG(B153)-INT(LOG(B153))))-VLOOKUP((10^(LOG(B153)-INT(LOG(B153)))),c_s1:C_f1,1)&lt;VLOOKUP((10^(LOG(B153)-INT(LOG(B153)))),c_s1:C_f1,2)-(10^(LOG(B153)-INT(LOG(B153)))),VLOOKUP((10^(LOG(B153)-INT(LOG(B153)))),c_s1:C_f1,1),VLOOKUP((10^(LOG(B153)-INT(LOG(B153)))),c_s1:C_f1,2))*10^INT(LOG(B153)),IF((10^(LOG(B153)-INT(LOG(B153))))-VLOOKUP((10^(LOG(B153)-INT(LOG(B153)))),C_s2:C_f2,1)&lt;VLOOKUP((10^(LOG(B153)-INT(LOG(B153)))),C_s2:C_f2,2)-(10^(LOG(B153)-INT(LOG(B153)))),VLOOKUP((10^(LOG(B153)-INT(LOG(B153)))),C_s2:C_f2,1),VLOOKUP((10^(LOG(B153)-INT(LOG(B153)))),C_s2:C_f2,2))*10^INT(LOG(B153)))</f>
        <v>33</v>
      </c>
      <c r="D153" s="127"/>
      <c r="E153" s="139" t="s">
        <v>160</v>
      </c>
      <c r="G153" s="127"/>
      <c r="I153" s="174"/>
      <c r="J153" s="127"/>
      <c r="K153" s="145"/>
      <c r="L153" s="127"/>
      <c r="M153" s="127"/>
      <c r="N153" s="127"/>
    </row>
    <row r="154" spans="1:14" x14ac:dyDescent="0.25">
      <c r="A154" s="135" t="s">
        <v>270</v>
      </c>
      <c r="B154" s="159">
        <f>MAX(0.1,1/(2*PI()*Rcomp*fco*10)*10^12-10)</f>
        <v>12.265514966703197</v>
      </c>
      <c r="C154" s="111">
        <f>IF(B154&lt;10000,IF((10^(LOG(B154)-INT(LOG(B154))))-VLOOKUP((10^(LOG(B154)-INT(LOG(B154)))),c_s1:C_f1,1)&lt;VLOOKUP((10^(LOG(B154)-INT(LOG(B154)))),c_s1:C_f1,2)-(10^(LOG(B154)-INT(LOG(B154)))),VLOOKUP((10^(LOG(B154)-INT(LOG(B154)))),c_s1:C_f1,1),VLOOKUP((10^(LOG(B154)-INT(LOG(B154)))),c_s1:C_f1,2))*10^INT(LOG(B154)),IF((10^(LOG(B154)-INT(LOG(B154))))-VLOOKUP((10^(LOG(B154)-INT(LOG(B154)))),C_s2:C_f2,1)&lt;VLOOKUP((10^(LOG(B154)-INT(LOG(B154)))),C_s2:C_f2,2)-(10^(LOG(B154)-INT(LOG(B154)))),VLOOKUP((10^(LOG(B154)-INT(LOG(B154)))),C_s2:C_f2,1),VLOOKUP((10^(LOG(B154)-INT(LOG(B154)))),C_s2:C_f2,2))*10^INT(LOG(B154)))</f>
        <v>12</v>
      </c>
      <c r="E154" s="139" t="s">
        <v>160</v>
      </c>
      <c r="G154" s="127"/>
      <c r="H154" s="171"/>
    </row>
    <row r="155" spans="1:14" x14ac:dyDescent="0.25">
      <c r="A155" s="135" t="s">
        <v>26</v>
      </c>
      <c r="B155" s="121">
        <f>MAX(C152:C154)</f>
        <v>33</v>
      </c>
      <c r="E155" s="139" t="s">
        <v>160</v>
      </c>
      <c r="G155" s="127"/>
      <c r="H155" s="171"/>
    </row>
    <row r="156" spans="1:14" x14ac:dyDescent="0.25">
      <c r="A156" s="135" t="s">
        <v>342</v>
      </c>
      <c r="B156" s="163">
        <f>1/(2*PI()*Rhs*fsw/6)*10^12</f>
        <v>254.64790894703251</v>
      </c>
      <c r="C156" s="111">
        <f>IF(B156&lt;10000,IF((10^(LOG(B156)-INT(LOG(B156))))-VLOOKUP((10^(LOG(B156)-INT(LOG(B156)))),c_s1:C_f1,1)&lt;VLOOKUP((10^(LOG(B156)-INT(LOG(B156)))),c_s1:C_f1,2)-(10^(LOG(B156)-INT(LOG(B156)))),VLOOKUP((10^(LOG(B156)-INT(LOG(B156)))),c_s1:C_f1,1),VLOOKUP((10^(LOG(B156)-INT(LOG(B156)))),c_s1:C_f1,2))*10^INT(LOG(B156)),IF((10^(LOG(B156)-INT(LOG(B156))))-VLOOKUP((10^(LOG(B156)-INT(LOG(B156)))),C_s2:C_f2,1)&lt;VLOOKUP((10^(LOG(B156)-INT(LOG(B156)))),C_s2:C_f2,2)-(10^(LOG(B156)-INT(LOG(B156)))),VLOOKUP((10^(LOG(B156)-INT(LOG(B156)))),C_s2:C_f2,1),VLOOKUP((10^(LOG(B156)-INT(LOG(B156)))),C_s2:C_f2,2))*10^INT(LOG(B156)))</f>
        <v>270</v>
      </c>
      <c r="E156" s="139" t="s">
        <v>160</v>
      </c>
      <c r="G156" s="127"/>
      <c r="H156" s="171"/>
    </row>
    <row r="157" spans="1:14" x14ac:dyDescent="0.25">
      <c r="A157" s="135" t="s">
        <v>226</v>
      </c>
      <c r="B157" s="123">
        <f>C156</f>
        <v>270</v>
      </c>
      <c r="C157" s="43"/>
      <c r="D157" s="43"/>
      <c r="E157" s="139" t="s">
        <v>160</v>
      </c>
      <c r="G157" s="127"/>
      <c r="H157" s="171"/>
    </row>
    <row r="158" spans="1:14" x14ac:dyDescent="0.25">
      <c r="A158" s="135" t="s">
        <v>276</v>
      </c>
      <c r="B158" s="163">
        <f>1/(2*PI()*Cff*Rhs)*10^-3</f>
        <v>78.595033625627337</v>
      </c>
      <c r="C158" s="43"/>
      <c r="D158" s="43"/>
      <c r="E158" s="139" t="s">
        <v>14</v>
      </c>
      <c r="G158" s="127"/>
      <c r="H158" s="171"/>
    </row>
    <row r="159" spans="1:14" x14ac:dyDescent="0.25">
      <c r="A159" s="135" t="s">
        <v>277</v>
      </c>
      <c r="B159" s="163">
        <f>1/(2*PI()*Cff*Rhs*Rls/(Rhs+Rls))*10^-3</f>
        <v>176.5124343220069</v>
      </c>
      <c r="C159" s="43"/>
      <c r="D159" s="43"/>
      <c r="E159" s="139" t="s">
        <v>14</v>
      </c>
      <c r="G159" s="127"/>
      <c r="H159" s="171"/>
    </row>
    <row r="160" spans="1:14" x14ac:dyDescent="0.25">
      <c r="A160" s="100" t="s">
        <v>88</v>
      </c>
      <c r="B160" s="180"/>
      <c r="D160" s="43"/>
      <c r="E160" s="139"/>
      <c r="G160" s="127"/>
      <c r="H160" s="171"/>
    </row>
    <row r="161" spans="1:14" x14ac:dyDescent="0.25">
      <c r="B161" s="132"/>
      <c r="E161" s="139"/>
      <c r="F161" s="1"/>
      <c r="G161" s="171"/>
    </row>
    <row r="162" spans="1:14" ht="15.6" hidden="1" x14ac:dyDescent="0.3">
      <c r="A162" s="228" t="s">
        <v>196</v>
      </c>
      <c r="B162" s="3" t="s">
        <v>10</v>
      </c>
      <c r="E162" s="35" t="s">
        <v>9</v>
      </c>
      <c r="F162" s="165"/>
      <c r="G162" s="127"/>
      <c r="H162" s="145"/>
      <c r="I162" s="132"/>
      <c r="J162" s="127"/>
      <c r="K162" s="127"/>
      <c r="L162" s="127"/>
      <c r="M162" s="127"/>
    </row>
    <row r="163" spans="1:14" hidden="1" x14ac:dyDescent="0.25">
      <c r="A163" s="135" t="s">
        <v>154</v>
      </c>
      <c r="B163" s="101" t="s">
        <v>214</v>
      </c>
      <c r="C163" s="127"/>
      <c r="D163" s="127"/>
      <c r="E163" s="139" t="s">
        <v>120</v>
      </c>
      <c r="F163" s="165"/>
      <c r="G163" s="145"/>
      <c r="H163" s="145"/>
      <c r="I163" s="127"/>
      <c r="J163" s="127"/>
      <c r="K163" s="127"/>
      <c r="L163" s="127"/>
      <c r="M163" s="127"/>
    </row>
    <row r="164" spans="1:14" hidden="1" x14ac:dyDescent="0.25">
      <c r="A164" s="135" t="s">
        <v>200</v>
      </c>
      <c r="B164" s="181" t="e">
        <f>Iout^2*Vout/Vin_nom*B163</f>
        <v>#VALUE!</v>
      </c>
      <c r="C164" s="181" t="e">
        <f>Iout^2*Vout/Vin_max*B163</f>
        <v>#VALUE!</v>
      </c>
      <c r="D164" s="181" t="e">
        <f>Iout^2*Vout/Vin_min*B163</f>
        <v>#VALUE!</v>
      </c>
      <c r="E164" s="139" t="s">
        <v>84</v>
      </c>
      <c r="F164" s="165"/>
      <c r="G164" s="145"/>
      <c r="H164" s="145"/>
      <c r="I164" s="127"/>
      <c r="J164" s="127"/>
      <c r="K164" s="127"/>
      <c r="L164" s="127"/>
      <c r="M164" s="127"/>
    </row>
    <row r="165" spans="1:14" hidden="1" x14ac:dyDescent="0.25">
      <c r="A165" s="135" t="s">
        <v>201</v>
      </c>
      <c r="B165" s="181">
        <f>Vin_nom*fsw*Iout*(Vin_nom*0.16*10^-9+0.000000003)</f>
        <v>2.3284800000000001E-2</v>
      </c>
      <c r="C165" s="181">
        <f>Vin_max*fsw*Iout*(Vin_max*0.16*10^-9+0.000000003)</f>
        <v>2.4631992000000002E-2</v>
      </c>
      <c r="D165" s="181">
        <f>Vin_min*fsw*Iout*(Vin_min*0.16*10^-9+0.000000003)</f>
        <v>1.8070272000000002E-2</v>
      </c>
      <c r="E165" s="139" t="s">
        <v>84</v>
      </c>
      <c r="F165" s="182"/>
      <c r="G165" s="180"/>
      <c r="H165" s="145"/>
      <c r="I165" s="127"/>
      <c r="J165" s="127"/>
      <c r="K165" s="127"/>
      <c r="L165" s="127"/>
      <c r="M165" s="127"/>
    </row>
    <row r="166" spans="1:14" hidden="1" x14ac:dyDescent="0.25">
      <c r="A166" s="135" t="s">
        <v>202</v>
      </c>
      <c r="B166" s="181">
        <f>Vin_nom*0.000000003*fsw</f>
        <v>4.9499999999999995E-3</v>
      </c>
      <c r="C166" s="181">
        <f>Vin_max*0.000000003*fsw</f>
        <v>5.1974999999999999E-3</v>
      </c>
      <c r="D166" s="181">
        <f>Vin_min*0.000000003*fsw</f>
        <v>3.96E-3</v>
      </c>
      <c r="E166" s="139" t="s">
        <v>84</v>
      </c>
      <c r="F166" s="127"/>
      <c r="G166" s="145"/>
      <c r="H166" s="127"/>
      <c r="I166" s="43"/>
      <c r="J166" s="43"/>
      <c r="K166" s="43"/>
      <c r="L166" s="127"/>
      <c r="M166" s="127"/>
      <c r="N166" s="127"/>
    </row>
    <row r="167" spans="1:14" hidden="1" x14ac:dyDescent="0.25">
      <c r="A167" s="135" t="s">
        <v>203</v>
      </c>
      <c r="B167" s="181">
        <f>Iq*Vin_nom</f>
        <v>2.1449999999999998E-3</v>
      </c>
      <c r="C167" s="181">
        <f>Iq*Vin_max</f>
        <v>2.2522499999999999E-3</v>
      </c>
      <c r="D167" s="181">
        <f>Iq*Vin_min</f>
        <v>1.7160000000000001E-3</v>
      </c>
      <c r="E167" s="139" t="s">
        <v>84</v>
      </c>
      <c r="F167" s="127"/>
      <c r="H167" s="127"/>
      <c r="I167" s="43"/>
      <c r="J167" s="43"/>
      <c r="K167" s="43"/>
      <c r="L167" s="127"/>
      <c r="M167" s="132"/>
      <c r="N167" s="127"/>
    </row>
    <row r="168" spans="1:14" hidden="1" x14ac:dyDescent="0.25">
      <c r="A168" s="135" t="s">
        <v>204</v>
      </c>
      <c r="B168" s="183" t="e">
        <f>B164+B165+B166+B167</f>
        <v>#VALUE!</v>
      </c>
      <c r="C168" s="183" t="e">
        <f>C164+C165+C166+C167</f>
        <v>#VALUE!</v>
      </c>
      <c r="D168" s="183" t="e">
        <f>D164+D165+D166+D167</f>
        <v>#VALUE!</v>
      </c>
      <c r="E168" s="139" t="s">
        <v>84</v>
      </c>
      <c r="F168" s="3"/>
      <c r="H168" s="127"/>
      <c r="I168" s="147"/>
      <c r="J168" s="147"/>
      <c r="K168" s="147"/>
      <c r="L168" s="127"/>
      <c r="M168" s="132"/>
      <c r="N168" s="127"/>
    </row>
    <row r="169" spans="1:14" hidden="1" x14ac:dyDescent="0.25">
      <c r="A169" s="135" t="s">
        <v>174</v>
      </c>
      <c r="B169" s="168" t="s">
        <v>214</v>
      </c>
      <c r="C169" s="127"/>
      <c r="D169" s="127"/>
      <c r="E169" s="139" t="s">
        <v>149</v>
      </c>
      <c r="F169" s="127"/>
      <c r="H169" s="127"/>
      <c r="I169" s="147"/>
      <c r="J169" s="147"/>
      <c r="K169" s="147"/>
      <c r="L169" s="127"/>
      <c r="M169" s="132"/>
      <c r="N169" s="127"/>
    </row>
    <row r="170" spans="1:14" hidden="1" x14ac:dyDescent="0.25">
      <c r="A170" s="135" t="s">
        <v>175</v>
      </c>
      <c r="B170" s="168" t="s">
        <v>214</v>
      </c>
      <c r="C170" s="173"/>
      <c r="E170" s="178" t="s">
        <v>176</v>
      </c>
      <c r="F170" s="127"/>
      <c r="H170" s="127"/>
      <c r="I170" s="171"/>
      <c r="J170" s="127"/>
      <c r="K170" s="127"/>
      <c r="L170" s="127"/>
      <c r="M170" s="132"/>
      <c r="N170" s="127"/>
    </row>
    <row r="171" spans="1:14" hidden="1" x14ac:dyDescent="0.25">
      <c r="A171" s="135" t="s">
        <v>177</v>
      </c>
      <c r="B171" s="183" t="e">
        <f>(150-B170)/B169</f>
        <v>#VALUE!</v>
      </c>
      <c r="C171" s="173"/>
      <c r="E171" s="178" t="s">
        <v>84</v>
      </c>
      <c r="H171" s="127"/>
      <c r="I171" s="171"/>
      <c r="J171" s="127"/>
      <c r="K171" s="127"/>
      <c r="L171" s="127"/>
      <c r="M171" s="132"/>
      <c r="N171" s="127"/>
    </row>
    <row r="172" spans="1:14" ht="12" hidden="1" customHeight="1" x14ac:dyDescent="0.25"/>
    <row r="173" spans="1:14" ht="15.6" x14ac:dyDescent="0.3">
      <c r="A173" s="228" t="s">
        <v>178</v>
      </c>
      <c r="B173" s="1" t="s">
        <v>10</v>
      </c>
      <c r="E173" s="34" t="s">
        <v>9</v>
      </c>
      <c r="G173" s="127"/>
      <c r="H173" s="127"/>
      <c r="I173" s="174"/>
      <c r="J173" s="127"/>
      <c r="K173" s="127"/>
      <c r="L173" s="127"/>
      <c r="M173" s="132"/>
      <c r="N173" s="127"/>
    </row>
    <row r="174" spans="1:14" x14ac:dyDescent="0.25">
      <c r="A174" s="135" t="s">
        <v>132</v>
      </c>
      <c r="B174" s="184">
        <f>LOOKUP(B$3,partdata!A2:A20,partdata!E2:E20)</f>
        <v>2.95</v>
      </c>
      <c r="D174" s="1"/>
      <c r="E174" s="144" t="s">
        <v>5</v>
      </c>
      <c r="G174" s="127"/>
      <c r="H174" s="127"/>
      <c r="I174" s="127"/>
      <c r="J174" s="127"/>
      <c r="K174" s="127"/>
      <c r="L174" s="132"/>
      <c r="M174" s="127"/>
      <c r="N174" s="127"/>
    </row>
    <row r="175" spans="1:14" x14ac:dyDescent="0.25">
      <c r="A175" s="135" t="s">
        <v>133</v>
      </c>
      <c r="B175" s="185">
        <f>LOOKUP(B$3,partdata!A2:A20,partdata!F2:F20)</f>
        <v>6</v>
      </c>
      <c r="E175" s="144" t="s">
        <v>5</v>
      </c>
      <c r="G175" s="127"/>
      <c r="H175" s="127"/>
      <c r="I175" s="132"/>
      <c r="J175" s="132"/>
      <c r="K175" s="127"/>
      <c r="L175" s="127"/>
      <c r="M175" s="127"/>
      <c r="N175" s="127"/>
    </row>
    <row r="176" spans="1:14" x14ac:dyDescent="0.25">
      <c r="A176" s="135" t="s">
        <v>291</v>
      </c>
      <c r="B176" s="185">
        <f>LOOKUP(B$3,partdata!A2:A20,partdata!G2:G20)</f>
        <v>4</v>
      </c>
      <c r="E176" s="144" t="s">
        <v>4</v>
      </c>
      <c r="G176" s="127"/>
      <c r="H176" s="127"/>
      <c r="I176" s="132"/>
      <c r="J176" s="132"/>
      <c r="K176" s="132"/>
      <c r="L176" s="127"/>
      <c r="M176" s="127"/>
      <c r="N176" s="127"/>
    </row>
    <row r="177" spans="1:14" x14ac:dyDescent="0.25">
      <c r="A177" s="135" t="s">
        <v>0</v>
      </c>
      <c r="B177" s="186">
        <f>LOOKUP(B$3,partdata!A2:A20,partdata!H2:H20)</f>
        <v>260</v>
      </c>
      <c r="E177" s="139" t="s">
        <v>225</v>
      </c>
      <c r="G177" s="127"/>
      <c r="H177" s="127"/>
      <c r="I177" s="132"/>
      <c r="J177" s="132"/>
      <c r="K177" s="132"/>
      <c r="L177" s="127"/>
      <c r="M177" s="127"/>
      <c r="N177" s="127"/>
    </row>
    <row r="178" spans="1:14" hidden="1" x14ac:dyDescent="0.25">
      <c r="A178" s="135" t="s">
        <v>1</v>
      </c>
      <c r="B178" s="187">
        <f>LOOKUP(B$3,partdata!A2:A20,partdata!I2:I20)</f>
        <v>16</v>
      </c>
      <c r="D178" s="127"/>
      <c r="E178" s="139" t="s">
        <v>240</v>
      </c>
      <c r="G178" s="127"/>
      <c r="I178" s="132"/>
      <c r="J178" s="132"/>
      <c r="K178" s="127"/>
      <c r="L178" s="127"/>
      <c r="M178" s="127"/>
      <c r="N178" s="127"/>
    </row>
    <row r="179" spans="1:14" hidden="1" x14ac:dyDescent="0.25">
      <c r="A179" s="139" t="s">
        <v>45</v>
      </c>
      <c r="B179" s="188">
        <f>LOOKUP(B$3,partdata!A2:A20,partdata!J2:J20)</f>
        <v>8.4</v>
      </c>
      <c r="E179" s="144" t="s">
        <v>2</v>
      </c>
      <c r="F179" s="33"/>
      <c r="G179" s="127"/>
      <c r="H179" s="127"/>
      <c r="I179" s="132"/>
      <c r="J179" s="127"/>
      <c r="K179" s="127"/>
      <c r="L179" s="127"/>
      <c r="M179" s="127"/>
      <c r="N179" s="127"/>
    </row>
    <row r="180" spans="1:14" x14ac:dyDescent="0.25">
      <c r="A180" s="135" t="s">
        <v>3</v>
      </c>
      <c r="B180" s="189">
        <f>LOOKUP(B$3,partdata!A2:A20,partdata!K2:K20)</f>
        <v>0.6</v>
      </c>
      <c r="D180" s="127"/>
      <c r="E180" s="139" t="s">
        <v>5</v>
      </c>
      <c r="F180" s="33"/>
      <c r="G180" s="127"/>
      <c r="H180" s="127"/>
      <c r="I180" s="132"/>
      <c r="J180" s="127"/>
      <c r="K180" s="127"/>
      <c r="L180" s="127"/>
      <c r="M180" s="127"/>
      <c r="N180" s="127"/>
    </row>
    <row r="181" spans="1:14" x14ac:dyDescent="0.25">
      <c r="A181" s="135" t="s">
        <v>79</v>
      </c>
      <c r="B181" s="190">
        <f>LOOKUP(B$3,partdata!A2:A20,partdata!N2:N20)</f>
        <v>1.3</v>
      </c>
      <c r="D181" s="127"/>
      <c r="E181" s="139" t="s">
        <v>4</v>
      </c>
      <c r="F181" s="141"/>
      <c r="G181" s="127"/>
      <c r="H181" s="127"/>
      <c r="I181" s="132"/>
      <c r="J181" s="127"/>
      <c r="K181" s="127"/>
      <c r="L181" s="127"/>
      <c r="M181" s="127"/>
      <c r="N181" s="127"/>
    </row>
    <row r="182" spans="1:14" x14ac:dyDescent="0.25">
      <c r="A182" s="135" t="s">
        <v>126</v>
      </c>
      <c r="B182" s="190">
        <f>LOOKUP(B$3,partdata!A2:A20,partdata!O2:O20)</f>
        <v>2.5</v>
      </c>
      <c r="D182" s="127"/>
      <c r="E182" s="139" t="s">
        <v>168</v>
      </c>
      <c r="F182" s="37"/>
      <c r="G182" s="127"/>
      <c r="H182" s="127"/>
      <c r="I182" s="132"/>
      <c r="J182" s="127"/>
      <c r="K182" s="127"/>
      <c r="L182" s="127"/>
      <c r="M182" s="127"/>
      <c r="N182" s="127"/>
    </row>
    <row r="183" spans="1:14" x14ac:dyDescent="0.25">
      <c r="A183" s="135" t="s">
        <v>223</v>
      </c>
      <c r="B183" s="191">
        <f>LOOKUP(B$3,partdata!A2:A20,partdata!P2:P20)</f>
        <v>1.28</v>
      </c>
      <c r="D183" s="127"/>
      <c r="E183" s="139" t="s">
        <v>5</v>
      </c>
      <c r="F183" s="127"/>
      <c r="G183" s="127"/>
      <c r="H183" s="127"/>
      <c r="I183" s="132"/>
      <c r="J183" s="127"/>
      <c r="K183" s="127"/>
      <c r="L183" s="3"/>
      <c r="M183" s="127"/>
      <c r="N183" s="127"/>
    </row>
    <row r="184" spans="1:14" x14ac:dyDescent="0.25">
      <c r="A184" s="135" t="s">
        <v>224</v>
      </c>
      <c r="B184" s="191">
        <f>LOOKUP(B$3,partdata!A2:A20,partdata!Q2:Q20)</f>
        <v>1.2</v>
      </c>
      <c r="D184" s="127"/>
      <c r="E184" s="139" t="s">
        <v>5</v>
      </c>
      <c r="F184" s="127"/>
      <c r="H184" s="3"/>
      <c r="I184" s="3"/>
      <c r="J184" s="127"/>
      <c r="K184" s="127"/>
      <c r="L184" s="3"/>
      <c r="M184" s="127"/>
      <c r="N184" s="127"/>
    </row>
    <row r="185" spans="1:14" hidden="1" x14ac:dyDescent="0.25">
      <c r="A185" s="135" t="s">
        <v>233</v>
      </c>
      <c r="B185" s="191">
        <f>LOOKUP(B$3,partdata!A2:A20,partdata!R2:R20)</f>
        <v>7000000</v>
      </c>
      <c r="D185" s="127"/>
      <c r="E185" s="139" t="s">
        <v>267</v>
      </c>
      <c r="F185" s="127"/>
      <c r="H185" s="3"/>
      <c r="I185" s="3"/>
      <c r="J185" s="127"/>
      <c r="K185" s="127"/>
      <c r="L185" s="3"/>
      <c r="M185" s="127"/>
      <c r="N185" s="127"/>
    </row>
    <row r="186" spans="1:14" x14ac:dyDescent="0.25">
      <c r="A186" s="135" t="s">
        <v>28</v>
      </c>
      <c r="B186" s="186">
        <f>LOOKUP(B$3,partdata!A2:A20,partdata!S2:S20)</f>
        <v>2500</v>
      </c>
      <c r="D186" s="127"/>
      <c r="E186" s="139" t="s">
        <v>14</v>
      </c>
      <c r="F186" s="127"/>
      <c r="H186" s="127"/>
      <c r="I186" s="145"/>
      <c r="J186" s="127"/>
      <c r="K186" s="127"/>
      <c r="L186" s="127"/>
      <c r="M186" s="127"/>
      <c r="N186" s="127"/>
    </row>
    <row r="187" spans="1:14" x14ac:dyDescent="0.25">
      <c r="A187" s="135" t="s">
        <v>29</v>
      </c>
      <c r="B187" s="186">
        <f>LOOKUP(B$3,partdata!A2:A20,partdata!T2:T20)</f>
        <v>100</v>
      </c>
      <c r="D187" s="127"/>
      <c r="E187" s="139" t="s">
        <v>14</v>
      </c>
      <c r="F187" s="127"/>
      <c r="H187" s="171"/>
      <c r="I187" s="192"/>
    </row>
    <row r="188" spans="1:14" x14ac:dyDescent="0.25">
      <c r="A188" s="135" t="s">
        <v>83</v>
      </c>
      <c r="B188" s="190">
        <f>LOOKUP(B$3,partdata!A2:A20,partdata!U2:U20)</f>
        <v>6.6</v>
      </c>
      <c r="D188" s="127"/>
      <c r="E188" s="139" t="s">
        <v>4</v>
      </c>
      <c r="H188" s="171"/>
    </row>
    <row r="189" spans="1:14" x14ac:dyDescent="0.25">
      <c r="A189" s="135" t="s">
        <v>15</v>
      </c>
      <c r="B189" s="186">
        <f>LOOKUP(B$3,partdata!A2:A20,partdata!V2:V20)</f>
        <v>650</v>
      </c>
      <c r="D189" s="127"/>
      <c r="E189" s="139" t="s">
        <v>168</v>
      </c>
      <c r="F189" s="127"/>
      <c r="H189" s="171"/>
    </row>
    <row r="190" spans="1:14" x14ac:dyDescent="0.25">
      <c r="A190" s="135" t="s">
        <v>219</v>
      </c>
      <c r="B190" s="186">
        <f>LOOKUP(B$3,partdata!A2:A20,partdata!W2:W20)</f>
        <v>110</v>
      </c>
      <c r="D190" s="127"/>
      <c r="E190" s="139" t="s">
        <v>158</v>
      </c>
      <c r="F190" s="127"/>
      <c r="H190" s="171"/>
    </row>
    <row r="191" spans="1:14" x14ac:dyDescent="0.25">
      <c r="A191" s="135" t="s">
        <v>218</v>
      </c>
      <c r="B191" s="186">
        <f>LOOKUP(B$3,partdata!A2:A20,partdata!X2:X20)</f>
        <v>35</v>
      </c>
      <c r="D191" s="127"/>
      <c r="E191" s="139" t="s">
        <v>153</v>
      </c>
      <c r="F191" s="127"/>
      <c r="H191" s="171"/>
    </row>
    <row r="192" spans="1:14" x14ac:dyDescent="0.25">
      <c r="A192" s="135" t="s">
        <v>220</v>
      </c>
      <c r="B192" s="186">
        <f>LOOKUP(B$3,partdata!A2:A20,partdata!Y2:Y20)</f>
        <v>25</v>
      </c>
      <c r="D192" s="127"/>
      <c r="E192" s="139" t="s">
        <v>153</v>
      </c>
      <c r="F192" s="127"/>
      <c r="H192" s="171"/>
    </row>
    <row r="193" spans="1:8" x14ac:dyDescent="0.25">
      <c r="A193" s="135" t="s">
        <v>151</v>
      </c>
      <c r="B193" s="187">
        <f>LOOKUP(B$3,partdata!A2:A20,partdata!AB2:AB20)</f>
        <v>2.2000000000000002</v>
      </c>
      <c r="D193" s="127"/>
      <c r="E193" s="139" t="s">
        <v>168</v>
      </c>
      <c r="F193" s="127"/>
      <c r="G193" s="127"/>
      <c r="H193" s="171"/>
    </row>
    <row r="194" spans="1:8" x14ac:dyDescent="0.25">
      <c r="A194" s="128"/>
      <c r="B194" s="129"/>
      <c r="D194" s="127"/>
      <c r="F194" s="127"/>
      <c r="G194" s="145"/>
      <c r="H194" s="171"/>
    </row>
    <row r="195" spans="1:8" hidden="1" x14ac:dyDescent="0.25">
      <c r="D195" s="127"/>
      <c r="E195" s="131"/>
    </row>
  </sheetData>
  <mergeCells count="1">
    <mergeCell ref="A1:E1"/>
  </mergeCells>
  <phoneticPr fontId="2" type="noConversion"/>
  <conditionalFormatting sqref="B8">
    <cfRule type="cellIs" dxfId="16" priority="28" stopIfTrue="1" operator="lessThan">
      <formula>$B$174</formula>
    </cfRule>
  </conditionalFormatting>
  <conditionalFormatting sqref="B7">
    <cfRule type="cellIs" dxfId="15" priority="29" stopIfTrue="1" operator="greaterThan">
      <formula>$B$175</formula>
    </cfRule>
  </conditionalFormatting>
  <conditionalFormatting sqref="B67 B18">
    <cfRule type="cellIs" dxfId="14" priority="17" stopIfTrue="1" operator="greaterThan">
      <formula>MIN($B$66,#REF!)</formula>
    </cfRule>
  </conditionalFormatting>
  <conditionalFormatting sqref="B14">
    <cfRule type="expression" dxfId="13" priority="14" stopIfTrue="1">
      <formula>$B$83&gt;Ilim</formula>
    </cfRule>
  </conditionalFormatting>
  <conditionalFormatting sqref="B9">
    <cfRule type="expression" dxfId="12" priority="38" stopIfTrue="1">
      <formula>$B$9&gt;#REF!</formula>
    </cfRule>
  </conditionalFormatting>
  <conditionalFormatting sqref="B71">
    <cfRule type="cellIs" dxfId="11" priority="7" stopIfTrue="1" operator="lessThan">
      <formula>$B$190</formula>
    </cfRule>
  </conditionalFormatting>
  <conditionalFormatting sqref="B73">
    <cfRule type="cellIs" dxfId="10" priority="6" stopIfTrue="1" operator="lessThan">
      <formula>$B$190</formula>
    </cfRule>
  </conditionalFormatting>
  <conditionalFormatting sqref="B78">
    <cfRule type="cellIs" dxfId="9" priority="4" operator="lessThan">
      <formula>$B$79</formula>
    </cfRule>
  </conditionalFormatting>
  <conditionalFormatting sqref="B90:B91">
    <cfRule type="cellIs" dxfId="8" priority="3" operator="greaterThan">
      <formula>$B$94+$B$97</formula>
    </cfRule>
  </conditionalFormatting>
  <conditionalFormatting sqref="B95">
    <cfRule type="cellIs" dxfId="7" priority="2" operator="lessThan">
      <formula>$B$96</formula>
    </cfRule>
  </conditionalFormatting>
  <conditionalFormatting sqref="B72">
    <cfRule type="cellIs" dxfId="6" priority="1" stopIfTrue="1" operator="lessThan">
      <formula>$B$190</formula>
    </cfRule>
  </conditionalFormatting>
  <conditionalFormatting sqref="B83:D84">
    <cfRule type="cellIs" dxfId="5" priority="39" stopIfTrue="1" operator="greaterThan">
      <formula>$B$188</formula>
    </cfRule>
  </conditionalFormatting>
  <conditionalFormatting sqref="B168:D168">
    <cfRule type="cellIs" dxfId="4" priority="42" stopIfTrue="1" operator="greaterThan">
      <formula>$B$171</formula>
    </cfRule>
  </conditionalFormatting>
  <dataValidations count="1">
    <dataValidation type="list" allowBlank="1" showInputMessage="1" showErrorMessage="1" promptTitle="Select Device" prompt="Please select a device." sqref="B3">
      <formula1>$E$8:$E$21</formula1>
    </dataValidation>
  </dataValidations>
  <pageMargins left="0.75" right="0.75" top="1" bottom="1" header="0.5" footer="0.5"/>
  <pageSetup orientation="portrait" r:id="rId1"/>
  <headerFooter alignWithMargins="0"/>
  <drawing r:id="rId2"/>
  <legacyDrawing r:id="rId3"/>
  <oleObjects>
    <mc:AlternateContent xmlns:mc="http://schemas.openxmlformats.org/markup-compatibility/2006">
      <mc:Choice Requires="x14">
        <oleObject progId="Visio.Drawing.11" shapeId="13492" r:id="rId4">
          <objectPr defaultSize="0" autoPict="0" r:id="rId5">
            <anchor moveWithCells="1">
              <from>
                <xdr:col>0</xdr:col>
                <xdr:colOff>38100</xdr:colOff>
                <xdr:row>38</xdr:row>
                <xdr:rowOff>83820</xdr:rowOff>
              </from>
              <to>
                <xdr:col>3</xdr:col>
                <xdr:colOff>190500</xdr:colOff>
                <xdr:row>61</xdr:row>
                <xdr:rowOff>114300</xdr:rowOff>
              </to>
            </anchor>
          </objectPr>
        </oleObject>
      </mc:Choice>
      <mc:Fallback>
        <oleObject progId="Visio.Drawing.11" shapeId="13492"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V212"/>
  <sheetViews>
    <sheetView zoomScale="85" zoomScaleNormal="85" workbookViewId="0">
      <selection activeCell="B14" sqref="B14"/>
    </sheetView>
  </sheetViews>
  <sheetFormatPr defaultColWidth="9.109375" defaultRowHeight="13.2" x14ac:dyDescent="0.25"/>
  <cols>
    <col min="1" max="1" width="12.33203125" style="235" bestFit="1" customWidth="1"/>
    <col min="2" max="2" width="11.33203125" style="233" customWidth="1"/>
    <col min="3" max="3" width="13.5546875" style="233" customWidth="1"/>
    <col min="4" max="4" width="5.5546875" style="208" bestFit="1" customWidth="1"/>
    <col min="5" max="5" width="2.6640625" style="208" customWidth="1"/>
    <col min="6" max="6" width="4.6640625" style="233" customWidth="1"/>
    <col min="7" max="7" width="12.6640625" style="233" bestFit="1" customWidth="1"/>
    <col min="8" max="8" width="12.6640625" style="233" customWidth="1"/>
    <col min="9" max="9" width="12.44140625" style="234" customWidth="1"/>
    <col min="10" max="10" width="7.6640625" style="233" bestFit="1" customWidth="1"/>
    <col min="11" max="11" width="9.6640625" style="233" bestFit="1" customWidth="1"/>
    <col min="12" max="12" width="9.88671875" style="233" customWidth="1"/>
    <col min="13" max="17" width="16.6640625" style="233" customWidth="1"/>
    <col min="18" max="18" width="15.6640625" style="233" customWidth="1"/>
    <col min="19" max="20" width="9.33203125" style="233" customWidth="1"/>
    <col min="21" max="21" width="18.33203125" style="233" customWidth="1"/>
    <col min="22" max="23" width="9.33203125" style="233" customWidth="1"/>
    <col min="24" max="24" width="13.5546875" style="233" customWidth="1"/>
    <col min="25" max="26" width="9.33203125" style="233" customWidth="1"/>
    <col min="27" max="27" width="12.44140625" style="233" customWidth="1"/>
    <col min="28" max="28" width="9.109375" style="233"/>
    <col min="29" max="30" width="9.33203125" style="233" customWidth="1"/>
    <col min="31" max="31" width="9.109375" style="233"/>
    <col min="32" max="33" width="9.33203125" style="233" customWidth="1"/>
    <col min="34" max="36" width="9.109375" style="233"/>
    <col min="37" max="37" width="10.44140625" style="233" customWidth="1"/>
    <col min="38" max="40" width="9.109375" style="233"/>
    <col min="41" max="41" width="15" style="233" customWidth="1"/>
    <col min="42" max="42" width="12.5546875" style="233" customWidth="1"/>
    <col min="43" max="43" width="13.44140625" style="233" customWidth="1"/>
    <col min="44" max="45" width="9.109375" style="233"/>
    <col min="46" max="46" width="18.5546875" style="233" customWidth="1"/>
    <col min="47" max="47" width="13.5546875" style="233" customWidth="1"/>
    <col min="48" max="48" width="16.33203125" style="233" customWidth="1"/>
    <col min="49" max="16384" width="9.109375" style="208"/>
  </cols>
  <sheetData>
    <row r="1" spans="1:48" s="248" customFormat="1" ht="52.8" x14ac:dyDescent="0.25">
      <c r="A1" s="158"/>
      <c r="B1" s="202" t="s">
        <v>208</v>
      </c>
      <c r="C1" s="202" t="s">
        <v>209</v>
      </c>
      <c r="D1" s="202" t="s">
        <v>9</v>
      </c>
      <c r="F1" s="230"/>
      <c r="G1" s="231" t="s">
        <v>359</v>
      </c>
      <c r="H1" s="231" t="s">
        <v>360</v>
      </c>
      <c r="I1" s="231" t="s">
        <v>361</v>
      </c>
      <c r="J1" s="231" t="s">
        <v>286</v>
      </c>
      <c r="K1" s="231" t="s">
        <v>287</v>
      </c>
      <c r="L1" s="230" t="s">
        <v>33</v>
      </c>
      <c r="M1" s="232" t="s">
        <v>34</v>
      </c>
      <c r="N1" s="230" t="s">
        <v>68</v>
      </c>
      <c r="O1" s="230" t="s">
        <v>69</v>
      </c>
      <c r="P1" s="230" t="s">
        <v>70</v>
      </c>
      <c r="Q1" s="230" t="s">
        <v>71</v>
      </c>
      <c r="R1" s="231" t="s">
        <v>339</v>
      </c>
      <c r="S1" s="230" t="s">
        <v>49</v>
      </c>
      <c r="T1" s="231" t="s">
        <v>50</v>
      </c>
      <c r="U1" s="231" t="s">
        <v>338</v>
      </c>
      <c r="V1" s="230" t="s">
        <v>49</v>
      </c>
      <c r="W1" s="231" t="s">
        <v>50</v>
      </c>
      <c r="X1" s="231" t="s">
        <v>51</v>
      </c>
      <c r="Y1" s="231" t="s">
        <v>52</v>
      </c>
      <c r="Z1" s="231" t="s">
        <v>53</v>
      </c>
      <c r="AA1" s="231" t="s">
        <v>232</v>
      </c>
      <c r="AB1" s="231" t="s">
        <v>67</v>
      </c>
      <c r="AC1" s="230" t="s">
        <v>49</v>
      </c>
      <c r="AD1" s="231" t="s">
        <v>54</v>
      </c>
      <c r="AE1" s="231" t="s">
        <v>72</v>
      </c>
      <c r="AF1" s="230" t="s">
        <v>49</v>
      </c>
      <c r="AG1" s="231" t="s">
        <v>54</v>
      </c>
      <c r="AH1" s="230"/>
      <c r="AI1" s="230" t="s">
        <v>349</v>
      </c>
      <c r="AJ1" s="230" t="s">
        <v>350</v>
      </c>
      <c r="AK1" s="230" t="s">
        <v>351</v>
      </c>
      <c r="AL1" s="231" t="s">
        <v>336</v>
      </c>
      <c r="AM1" s="231" t="s">
        <v>335</v>
      </c>
      <c r="AN1" s="231" t="s">
        <v>337</v>
      </c>
      <c r="AO1" s="231" t="s">
        <v>343</v>
      </c>
      <c r="AP1" s="231" t="s">
        <v>341</v>
      </c>
      <c r="AQ1" s="231" t="s">
        <v>340</v>
      </c>
      <c r="AR1" s="231"/>
      <c r="AS1" s="231" t="s">
        <v>345</v>
      </c>
      <c r="AT1" s="231" t="s">
        <v>346</v>
      </c>
      <c r="AU1" s="231" t="s">
        <v>347</v>
      </c>
      <c r="AV1" s="231" t="s">
        <v>348</v>
      </c>
    </row>
    <row r="2" spans="1:48" x14ac:dyDescent="0.25">
      <c r="A2" s="139" t="s">
        <v>38</v>
      </c>
      <c r="B2" s="204">
        <f>C2</f>
        <v>3.3</v>
      </c>
      <c r="C2" s="205">
        <f>'Design Equations CCM'!B6</f>
        <v>3.3</v>
      </c>
      <c r="D2" s="127" t="s">
        <v>5</v>
      </c>
      <c r="F2" s="233">
        <v>0</v>
      </c>
      <c r="G2" s="249">
        <f t="shared" ref="G2:G65" si="0">DEGREES((ATAN(10)+ATAN(L2/(fsw/6))-ATAN(L2/(fsw/6*Vo_ss/Vref))-ATAN(MAX(1/10,L2/(fsw/2)))))+90</f>
        <v>168.57919569686413</v>
      </c>
      <c r="H2" s="249">
        <f t="shared" ref="H2:H65" si="1">DEGREES((ATAN(10)-ATAN(MAX(1/10,L2/(fsw/2)))))+90</f>
        <v>168.57881372500071</v>
      </c>
      <c r="I2" s="234">
        <f t="shared" ref="I2:I65" si="2">IF(fz_cff&gt;fsw/4,IF(AV2+H2&gt;65,1,0),IF(AV2+G2&gt;65,1,0))</f>
        <v>1</v>
      </c>
      <c r="J2" s="233">
        <f>IF(P2&gt;0,1,0)</f>
        <v>1</v>
      </c>
      <c r="K2" s="233">
        <f>IF(Q2&gt;0,1,0)</f>
        <v>1</v>
      </c>
      <c r="L2" s="233">
        <f>10^('Small Signal'!F2/30)</f>
        <v>1</v>
      </c>
      <c r="M2" s="233" t="str">
        <f>COMPLEX(0,L2*2*PI())</f>
        <v>6.28318530717959i</v>
      </c>
      <c r="N2" s="233">
        <f>IF(D$31=1, IF(AND('Small Signal'!$B$61&gt;=1,FCCM=0),V2+0,S2+0), 0)</f>
        <v>8.9183374778981346</v>
      </c>
      <c r="O2" s="233">
        <f>IF(D$31=1, IF(AND('Small Signal'!$B$61&gt;=1,FCCM=0),W2,T2), 0)</f>
        <v>-6.8247481668842029E-3</v>
      </c>
      <c r="P2" s="233">
        <f>IF(AND('Small Signal'!$B$61&gt;=1,FCCM=0),AF2+0,AC2+0)</f>
        <v>61.877940352498364</v>
      </c>
      <c r="Q2" s="233">
        <f>IF(AND('Small Signal'!$B$61&gt;=1,FCCM=0),AG2,AD2)</f>
        <v>176.8966032488683</v>
      </c>
      <c r="R2" s="233" t="str">
        <f>IMDIV(IMSUM('Small Signal'!$B$2*'Small Signal'!$B$38*'Small Signal'!$B$62,IMPRODUCT(M2,'Small Signal'!$B$2*'Small Signal'!$B$38*'Small Signal'!$B$62*'Small Signal'!$B$14*'Small Signal'!$B$15)),IMSUM(IMPRODUCT('Small Signal'!$B$12*'Small Signal'!$B$14*('Small Signal'!$B$15+'Small Signal'!$B$38),IMPOWER(M2,2)),IMSUM(IMPRODUCT(M2,('Small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2.37196763419421-0.0002465336142087i</v>
      </c>
      <c r="S2" s="233">
        <f>AP2</f>
        <v>8.9183374778981346</v>
      </c>
      <c r="T2" s="233">
        <f>AQ2</f>
        <v>-6.8247481668842029E-3</v>
      </c>
      <c r="U2" s="233" t="str">
        <f>IMDIV(IMSUM('Small Signal'!$B$74,IMPRODUCT(M2,'Small Signal'!$B$75)),IMSUM(IMPRODUCT('Small Signal'!$B$78,IMPOWER(M2,2)),IMSUM(IMPRODUCT(M2,'Small Signal'!$B$77),'Small Signal'!$B$76)))</f>
        <v>1.68280860114788-0.000181736921729792i</v>
      </c>
      <c r="V2" s="233">
        <f t="shared" ref="V2:V65" si="3">20*LOG(IMABS(U2))</f>
        <v>4.5206945128632885</v>
      </c>
      <c r="W2" s="233">
        <f t="shared" ref="W2:W65" si="4">(180/PI())*IMARGUMENT(U2)</f>
        <v>-6.1877260130663364E-3</v>
      </c>
      <c r="X2" s="233" t="str">
        <f>IMPRODUCT(IMDIV(IMSUM(IMPRODUCT(M2,'Small Signal'!$B$57*'Small Signal'!$B$6*'Small Signal'!$B$50*'Small Signal'!$B$7*'Small Signal'!$B$8),'Small Signal'!$B$57*'Small Signal'!$B$6*'Small Signal'!$B$50),IMSUM(IMSUM(IMPRODUCT(M2,('Small Signal'!$B$5+'Small Signal'!$B$6)*('Small Signal'!$B$56*'Small Signal'!$B$57)+'Small Signal'!$B$5*'Small Signal'!$B$57*('Small Signal'!$B$8+'Small Signal'!$B$9)+'Small Signal'!$B$6*'Small Signal'!$B$57*('Small Signal'!$B$8+'Small Signal'!$B$9)+'Small Signal'!$B$7*'Small Signal'!$B$8*('Small Signal'!$B$5+'Small Signal'!$B$6)),'Small Signal'!$B$6+'Small Signal'!$B$5),IMPRODUCT(IMPOWER(M2,2),'Small Signal'!$B$56*'Small Signal'!$B$57*'Small Signal'!$B$8*'Small Signal'!$B$7*('Small Signal'!$B$5+'Small Signal'!$B$6)+('Small Signal'!$B$5+'Small Signal'!$B$6)*('Small Signal'!$B$9*'Small Signal'!$B$8*'Small Signal'!$B$57*'Small Signal'!$B$7)))),-1)</f>
        <v>-443.961594875454+24.0206032445531i</v>
      </c>
      <c r="Y2" s="233">
        <f t="shared" ref="Y2:Y65" si="5">IF(D$32=1, 20*LOG(IMABS(AA2))+20*LOG(IMABS(X2)), 0)</f>
        <v>52.959602874600229</v>
      </c>
      <c r="Z2" s="233">
        <f t="shared" ref="Z2:Z65" si="6">IF(D$32=1, (180/PI())*IMARGUMENT(AA2)+(180/PI())*IMARGUMENT(X2), 0)</f>
        <v>176.90342799703518</v>
      </c>
      <c r="AA2" s="233" t="str">
        <f t="shared" ref="AA2:AA65" si="7">IMDIV(COMPLEX(1,IMABS(M2)/(2*PI()*fz_cff)),COMPLEX(1,IMABS(M2)/(2*PI()*fp_cff)))</f>
        <v>1.00000000003999+0.0000070581269859266i</v>
      </c>
      <c r="AB2" s="233" t="str">
        <f t="shared" ref="AB2:AB65" si="8">IMPRODUCT(AO2,X2,AA2)</f>
        <v>-1239.53741696028+67.2046479872779i</v>
      </c>
      <c r="AC2" s="230">
        <f>20*LOG(IMABS(AB2))</f>
        <v>61.877940352498364</v>
      </c>
      <c r="AD2" s="233">
        <f>(180/PI())*IMARGUMENT(AB2)</f>
        <v>176.8966032488683</v>
      </c>
      <c r="AE2" s="233" t="str">
        <f t="shared" ref="AE2:AE65" si="9">IMPRODUCT(U2,X2)</f>
        <v>-747.098025005253+40.5027619583135i</v>
      </c>
      <c r="AF2" s="230">
        <f t="shared" ref="AF2:AF65" si="10">20*LOG(IMABS(AE2))</f>
        <v>57.480297386899821</v>
      </c>
      <c r="AG2" s="233">
        <f t="shared" ref="AG2:AG65" si="11">(180/PI())*IMARGUMENT(AE2)</f>
        <v>176.89683587013459</v>
      </c>
      <c r="AI2" s="233" t="str">
        <f t="shared" ref="AI2:AI65" si="12">IMSUM(ESR_ss,IMDIV(1,IMPRODUCT(Co_ss,M2)))</f>
        <v>0.002-1612.51208806378i</v>
      </c>
      <c r="AJ2" s="233">
        <f t="shared" ref="AJ2:AJ65" si="13">Ro</f>
        <v>0.33750000000000002</v>
      </c>
      <c r="AK2" s="233" t="str">
        <f t="shared" ref="AK2:AK65" si="14">IMSUM(ESR2_ss,IMDIV(1,IMPRODUCT(Co2_ss,M2)))</f>
        <v>0.15-1591549.43091895i</v>
      </c>
      <c r="AL2" s="233" t="str">
        <f t="shared" ref="AL2:AL65" si="15">IMDIV(1,(IMSUM(IMDIV(1,AI2),IMDIV(1,AJ2),IMDIV(1,AK2))))</f>
        <v>0.337499985097609-0.0000707105716072095i</v>
      </c>
      <c r="AM2" s="233" t="str">
        <f t="shared" ref="AM2:AM65" si="16">IMDIV(IMPRODUCT(Re,IMDIV(1,IMPRODUCT(Ce,M2))),IMSUM(Re,IMDIV(1,IMPRODUCT(Ce,M2))))</f>
        <v>0.366666666666348-3.42359966472936E-07i</v>
      </c>
      <c r="AN2" s="233" t="str">
        <f t="shared" ref="AN2:AN65" si="17">IMSUM(Rdc_ss,IMPRODUCT(Lo_ss,M2))</f>
        <v>0.005+6.28318530717959E-06i</v>
      </c>
      <c r="AO2" s="233" t="str">
        <f>IMDIV(IMPRODUCT(AL2,AM2),IMPRODUCT(Ri,IMSUM(AM2,AL2,AN2)))</f>
        <v>2.79200936592121-0.000332568315747607i</v>
      </c>
      <c r="AP2" s="233">
        <f>20*LOG(IMABS(AO2))</f>
        <v>8.9183374778981346</v>
      </c>
      <c r="AQ2" s="233">
        <f>(180/PI())*IMARGUMENT(AO2)</f>
        <v>-6.8247481668842029E-3</v>
      </c>
      <c r="AS2" s="233" t="str">
        <f t="shared" ref="AS2:AS65" si="18">IMDIV(IMPRODUCT(Re_vimax,IMDIV(1,IMPRODUCT(Ce,M2))),IMSUM(Re_vimax,IMDIV(1,IMPRODUCT(Ce,M2))))</f>
        <v>0.378068739770517-3.63983463810234E-07i</v>
      </c>
      <c r="AT2" s="233" t="str">
        <f>IMDIV(IMPRODUCT(AL2,AS2),IMPRODUCT(Ri,IMSUM(AS2,AL2,AN2)))</f>
        <v>2.83327745970066-0.000341575871564037i</v>
      </c>
      <c r="AU2" s="233">
        <f>20*LOG(IMABS(AT2))</f>
        <v>9.0457821946643229</v>
      </c>
      <c r="AV2" s="233">
        <f>(180/PI())*IMARGUMENT(AT2)</f>
        <v>-6.9074970622090091E-3</v>
      </c>
    </row>
    <row r="3" spans="1:48" x14ac:dyDescent="0.25">
      <c r="A3" s="139" t="s">
        <v>39</v>
      </c>
      <c r="B3" s="204">
        <f>C3</f>
        <v>1.35</v>
      </c>
      <c r="C3" s="205">
        <f>'Design Equations CCM'!B9</f>
        <v>1.35</v>
      </c>
      <c r="D3" s="127" t="s">
        <v>5</v>
      </c>
      <c r="F3" s="233">
        <v>1</v>
      </c>
      <c r="G3" s="249">
        <f t="shared" si="0"/>
        <v>168.57922616873151</v>
      </c>
      <c r="H3" s="249">
        <f t="shared" si="1"/>
        <v>168.57881372500071</v>
      </c>
      <c r="I3" s="234">
        <f t="shared" si="2"/>
        <v>1</v>
      </c>
      <c r="J3" s="233">
        <f t="shared" ref="J3:J66" si="19">IF(P3&gt;0,1,0)</f>
        <v>1</v>
      </c>
      <c r="K3" s="233">
        <f t="shared" ref="K3:K66" si="20">IF(Q3&gt;0,1,0)</f>
        <v>1</v>
      </c>
      <c r="L3" s="233">
        <f>10^('Small Signal'!F3/30)</f>
        <v>1.0797751623277096</v>
      </c>
      <c r="M3" s="233" t="str">
        <f t="shared" ref="M3:M65" si="21">COMPLEX(0,L3*2*PI())</f>
        <v>6.78442743499492i</v>
      </c>
      <c r="N3" s="233">
        <f>IF(D$31=1, IF(AND('Small Signal'!$B$61&gt;=1,FCCM=0),V3+0,S3+0), 0)</f>
        <v>8.9183374701675895</v>
      </c>
      <c r="O3" s="233">
        <f>IF(D$31=1, IF(AND('Small Signal'!$B$61&gt;=1,FCCM=0),W3,T3), 0)</f>
        <v>-7.3691935560798744E-3</v>
      </c>
      <c r="P3" s="233">
        <f>IF(AND('Small Signal'!$B$61&gt;=1,FCCM=0),AF3+0,AC3+0)</f>
        <v>61.87582142246405</v>
      </c>
      <c r="Q3" s="233">
        <f>IF(AND('Small Signal'!$B$61&gt;=1,FCCM=0),AG3,AD3)</f>
        <v>176.64957542215674</v>
      </c>
      <c r="R3" s="233" t="str">
        <f>IMDIV(IMSUM('Small Signal'!$B$2*'Small Signal'!$B$38*'Small Signal'!$B$62,IMPRODUCT(M3,'Small Signal'!$B$2*'Small Signal'!$B$38*'Small Signal'!$B$62*'Small Signal'!$B$14*'Small Signal'!$B$15)),IMSUM(IMPRODUCT('Small Signal'!$B$12*'Small Signal'!$B$14*('Small Signal'!$B$15+'Small Signal'!$B$38),IMPOWER(M3,2)),IMSUM(IMPRODUCT(M3,('Small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2.37196763074447-0.000266200873005315i</v>
      </c>
      <c r="S3" s="233">
        <f t="shared" ref="S3:S66" si="22">AP3</f>
        <v>8.9183374701675895</v>
      </c>
      <c r="T3" s="233">
        <f t="shared" ref="T3:T66" si="23">AQ3</f>
        <v>-7.3691935560798744E-3</v>
      </c>
      <c r="U3" s="233" t="str">
        <f>IMDIV(IMSUM('Small Signal'!$B$74,IMPRODUCT(M3,'Small Signal'!$B$75)),IMSUM(IMPRODUCT('Small Signal'!$B$78,IMPOWER(M3,2)),IMSUM(IMPRODUCT(M3,'Small Signal'!$B$77),'Small Signal'!$B$76)))</f>
        <v>1.68280859866696-0.000196235013963888i</v>
      </c>
      <c r="V3" s="233">
        <f t="shared" si="3"/>
        <v>4.5206945084618964</v>
      </c>
      <c r="W3" s="233">
        <f t="shared" si="4"/>
        <v>-6.6813528590026882E-3</v>
      </c>
      <c r="X3" s="233" t="str">
        <f>IMPRODUCT(IMDIV(IMSUM(IMPRODUCT(M3,'Small Signal'!$B$57*'Small Signal'!$B$6*'Small Signal'!$B$50*'Small Signal'!$B$7*'Small Signal'!$B$8),'Small Signal'!$B$57*'Small Signal'!$B$6*'Small Signal'!$B$50),IMSUM(IMSUM(IMPRODUCT(M3,('Small Signal'!$B$5+'Small Signal'!$B$6)*('Small Signal'!$B$56*'Small Signal'!$B$57)+'Small Signal'!$B$5*'Small Signal'!$B$57*('Small Signal'!$B$8+'Small Signal'!$B$9)+'Small Signal'!$B$6*'Small Signal'!$B$57*('Small Signal'!$B$8+'Small Signal'!$B$9)+'Small Signal'!$B$7*'Small Signal'!$B$8*('Small Signal'!$B$5+'Small Signal'!$B$6)),'Small Signal'!$B$6+'Small Signal'!$B$5),IMPRODUCT(IMPOWER(M3,2),'Small Signal'!$B$56*'Small Signal'!$B$57*'Small Signal'!$B$8*'Small Signal'!$B$7*('Small Signal'!$B$5+'Small Signal'!$B$6)+('Small Signal'!$B$5+'Small Signal'!$B$6)*('Small Signal'!$B$9*'Small Signal'!$B$8*'Small Signal'!$B$57*'Small Signal'!$B$7)))),-1)</f>
        <v>-443.745872115675+25.924199075437i</v>
      </c>
      <c r="Y3" s="233">
        <f t="shared" si="5"/>
        <v>52.957483952296435</v>
      </c>
      <c r="Z3" s="233">
        <f t="shared" si="6"/>
        <v>176.65694461571283</v>
      </c>
      <c r="AA3" s="233" t="str">
        <f t="shared" si="7"/>
        <v>1.00000000004662+7.62119021191786E-06i</v>
      </c>
      <c r="AB3" s="233" t="str">
        <f t="shared" si="8"/>
        <v>-1238.93387201934+72.5305130317177i</v>
      </c>
      <c r="AC3" s="230">
        <f t="shared" ref="AC3:AC65" si="24">20*LOG(IMABS(AB3))</f>
        <v>61.87582142246405</v>
      </c>
      <c r="AD3" s="233">
        <f t="shared" ref="AD3:AD65" si="25">(180/PI())*IMARGUMENT(AB3)</f>
        <v>176.64957542215674</v>
      </c>
      <c r="AE3" s="233" t="str">
        <f t="shared" si="9"/>
        <v>-746.73428198366+43.7125435951105i</v>
      </c>
      <c r="AF3" s="230">
        <f t="shared" si="10"/>
        <v>57.478178460101141</v>
      </c>
      <c r="AG3" s="233">
        <f t="shared" si="11"/>
        <v>176.64982660081986</v>
      </c>
      <c r="AI3" s="233" t="str">
        <f t="shared" si="12"/>
        <v>0.002-1493.37764408993i</v>
      </c>
      <c r="AJ3" s="233">
        <f t="shared" si="13"/>
        <v>0.33750000000000002</v>
      </c>
      <c r="AK3" s="233" t="str">
        <f t="shared" si="14"/>
        <v>0.15-1473963.73471677i</v>
      </c>
      <c r="AL3" s="233" t="str">
        <f t="shared" si="15"/>
        <v>0.337499982625088-0.0000763515183728012i</v>
      </c>
      <c r="AM3" s="233" t="str">
        <f t="shared" si="16"/>
        <v>0.366666666666295-3.6967178837277E-07i</v>
      </c>
      <c r="AN3" s="233" t="str">
        <f t="shared" si="17"/>
        <v>0.005+6.78442743499492E-06i</v>
      </c>
      <c r="AO3" s="233" t="str">
        <f t="shared" ref="AO3:AO65" si="26">IMDIV(IMPRODUCT(AL3,AM3),IMPRODUCT(Ri,IMSUM(AM3,AL3,AN3)))</f>
        <v>2.79200936015005-0.000359099006482425i</v>
      </c>
      <c r="AP3" s="233">
        <f t="shared" ref="AP3:AP66" si="27">20*LOG(IMABS(AO3))</f>
        <v>8.9183374701675895</v>
      </c>
      <c r="AQ3" s="233">
        <f t="shared" ref="AQ3:AQ66" si="28">(180/PI())*IMARGUMENT(AO3)</f>
        <v>-7.3691935560798744E-3</v>
      </c>
      <c r="AS3" s="233" t="str">
        <f t="shared" si="18"/>
        <v>0.378068739770459-3.93020303720236E-07i</v>
      </c>
      <c r="AT3" s="233" t="str">
        <f t="shared" ref="AT3:AT65" si="29">IMDIV(IMPRODUCT(AL3,AS3),IMPRODUCT(Ri,IMSUM(AS3,AL3,AN3)))</f>
        <v>2.83327745366684-0.000368825141483948i</v>
      </c>
      <c r="AU3" s="233">
        <f t="shared" ref="AU3:AU66" si="30">20*LOG(IMABS(AT3))</f>
        <v>9.0457821866394745</v>
      </c>
      <c r="AV3" s="233">
        <f t="shared" ref="AV3:AV66" si="31">(180/PI())*IMARGUMENT(AT3)</f>
        <v>-7.4585437577351539E-3</v>
      </c>
    </row>
    <row r="4" spans="1:48" x14ac:dyDescent="0.25">
      <c r="A4" s="139" t="s">
        <v>78</v>
      </c>
      <c r="B4" s="204">
        <f t="shared" ref="B4:B17" si="32">C4</f>
        <v>4</v>
      </c>
      <c r="C4" s="205">
        <f>Iout</f>
        <v>4</v>
      </c>
      <c r="D4" s="127" t="s">
        <v>4</v>
      </c>
      <c r="F4" s="233">
        <v>2</v>
      </c>
      <c r="G4" s="249">
        <f t="shared" si="0"/>
        <v>168.57925907149706</v>
      </c>
      <c r="H4" s="249">
        <f t="shared" si="1"/>
        <v>168.57881372500071</v>
      </c>
      <c r="I4" s="234">
        <f t="shared" si="2"/>
        <v>1</v>
      </c>
      <c r="J4" s="233">
        <f t="shared" si="19"/>
        <v>1</v>
      </c>
      <c r="K4" s="233">
        <f t="shared" si="20"/>
        <v>1</v>
      </c>
      <c r="L4" s="233">
        <f>10^('Small Signal'!F4/30)</f>
        <v>1.1659144011798317</v>
      </c>
      <c r="M4" s="233" t="str">
        <f t="shared" si="21"/>
        <v>7.3256562349222i</v>
      </c>
      <c r="N4" s="233">
        <f>IF(D$31=1, IF(AND('Small Signal'!$B$61&gt;=1,FCCM=0),V4+0,S4+0), 0)</f>
        <v>8.9183374611545201</v>
      </c>
      <c r="O4" s="233">
        <f>IF(D$31=1, IF(AND('Small Signal'!$B$61&gt;=1,FCCM=0),W4,T4), 0)</f>
        <v>-7.957072163628575E-3</v>
      </c>
      <c r="P4" s="233">
        <f>IF(AND('Small Signal'!$B$61&gt;=1,FCCM=0),AF4+0,AC4+0)</f>
        <v>61.873352236095663</v>
      </c>
      <c r="Q4" s="233">
        <f>IF(AND('Small Signal'!$B$61&gt;=1,FCCM=0),AG4,AD4)</f>
        <v>176.3829818875445</v>
      </c>
      <c r="R4" s="233" t="str">
        <f>IMDIV(IMSUM('Small Signal'!$B$2*'Small Signal'!$B$38*'Small Signal'!$B$62,IMPRODUCT(M4,'Small Signal'!$B$2*'Small Signal'!$B$38*'Small Signal'!$B$62*'Small Signal'!$B$14*'Small Signal'!$B$15)),IMSUM(IMPRODUCT('Small Signal'!$B$12*'Small Signal'!$B$14*('Small Signal'!$B$15+'Small Signal'!$B$38),IMPOWER(M4,2)),IMSUM(IMPRODUCT(M4,('Small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2.37196762672236-0.000287437090488299i</v>
      </c>
      <c r="S4" s="233">
        <f t="shared" si="22"/>
        <v>8.9183374611545201</v>
      </c>
      <c r="T4" s="233">
        <f t="shared" si="23"/>
        <v>-7.957072163628575E-3</v>
      </c>
      <c r="U4" s="233" t="str">
        <f>IMDIV(IMSUM('Small Signal'!$B$74,IMPRODUCT(M4,'Small Signal'!$B$75)),IMSUM(IMPRODUCT('Small Signal'!$B$78,IMPOWER(M4,2)),IMSUM(IMPRODUCT(M4,'Small Signal'!$B$77),'Small Signal'!$B$76)))</f>
        <v>1.68280859577443-0.000211889693808176i</v>
      </c>
      <c r="V4" s="233">
        <f t="shared" si="3"/>
        <v>4.520694503330307</v>
      </c>
      <c r="W4" s="233">
        <f t="shared" si="4"/>
        <v>-7.2143588663933526E-3</v>
      </c>
      <c r="X4" s="233" t="str">
        <f>IMPRODUCT(IMDIV(IMSUM(IMPRODUCT(M4,'Small Signal'!$B$57*'Small Signal'!$B$6*'Small Signal'!$B$50*'Small Signal'!$B$7*'Small Signal'!$B$8),'Small Signal'!$B$57*'Small Signal'!$B$6*'Small Signal'!$B$50),IMSUM(IMSUM(IMPRODUCT(M4,('Small Signal'!$B$5+'Small Signal'!$B$6)*('Small Signal'!$B$56*'Small Signal'!$B$57)+'Small Signal'!$B$5*'Small Signal'!$B$57*('Small Signal'!$B$8+'Small Signal'!$B$9)+'Small Signal'!$B$6*'Small Signal'!$B$57*('Small Signal'!$B$8+'Small Signal'!$B$9)+'Small Signal'!$B$7*'Small Signal'!$B$8*('Small Signal'!$B$5+'Small Signal'!$B$6)),'Small Signal'!$B$6+'Small Signal'!$B$5),IMPRODUCT(IMPOWER(M4,2),'Small Signal'!$B$56*'Small Signal'!$B$57*'Small Signal'!$B$8*'Small Signal'!$B$7*('Small Signal'!$B$5+'Small Signal'!$B$6)+('Small Signal'!$B$5+'Small Signal'!$B$6)*('Small Signal'!$B$9*'Small Signal'!$B$8*'Small Signal'!$B$57*'Small Signal'!$B$7)))),-1)</f>
        <v>-443.49462341918+27.9763955461382i</v>
      </c>
      <c r="Y4" s="233">
        <f t="shared" si="5"/>
        <v>52.955014774941112</v>
      </c>
      <c r="Z4" s="233">
        <f t="shared" si="6"/>
        <v>176.39093895970814</v>
      </c>
      <c r="AA4" s="233" t="str">
        <f t="shared" si="7"/>
        <v>1.00000000005436+8.22917189815291E-06i</v>
      </c>
      <c r="AB4" s="233" t="str">
        <f t="shared" si="8"/>
        <v>-1238.23093330374+78.2721317834718i</v>
      </c>
      <c r="AC4" s="230">
        <f t="shared" si="24"/>
        <v>61.873352236095663</v>
      </c>
      <c r="AD4" s="233">
        <f t="shared" si="25"/>
        <v>176.3829818875445</v>
      </c>
      <c r="AE4" s="233" t="str">
        <f t="shared" si="9"/>
        <v>-746.310636559654+47.1728908437887i</v>
      </c>
      <c r="AF4" s="230">
        <f t="shared" si="10"/>
        <v>57.47570927750516</v>
      </c>
      <c r="AG4" s="233">
        <f t="shared" si="11"/>
        <v>176.38325310402311</v>
      </c>
      <c r="AI4" s="233" t="str">
        <f t="shared" si="12"/>
        <v>0.002-1383.04500436055i</v>
      </c>
      <c r="AJ4" s="233">
        <f t="shared" si="13"/>
        <v>0.33750000000000002</v>
      </c>
      <c r="AK4" s="233" t="str">
        <f t="shared" si="14"/>
        <v>0.15-1365065.41930386i</v>
      </c>
      <c r="AL4" s="233" t="str">
        <f t="shared" si="15"/>
        <v>0.33749997974234-0.0000824424724366128i</v>
      </c>
      <c r="AM4" s="233" t="str">
        <f t="shared" si="16"/>
        <v>0.366666666666234-3.99162415298115E-07i</v>
      </c>
      <c r="AN4" s="233" t="str">
        <f t="shared" si="17"/>
        <v>0.005+0.0000073256562349222i</v>
      </c>
      <c r="AO4" s="233" t="str">
        <f t="shared" si="26"/>
        <v>2.7920093534214-0.000387746187211824i</v>
      </c>
      <c r="AP4" s="233">
        <f t="shared" si="27"/>
        <v>8.9183374611545201</v>
      </c>
      <c r="AQ4" s="233">
        <f t="shared" si="28"/>
        <v>-7.957072163628575E-3</v>
      </c>
      <c r="AS4" s="233" t="str">
        <f t="shared" si="18"/>
        <v>0.378068739770391-4.24373562247527E-07i</v>
      </c>
      <c r="AT4" s="233" t="str">
        <f t="shared" si="29"/>
        <v>2.83327744663193-0.000398248226158608i</v>
      </c>
      <c r="AU4" s="233">
        <f t="shared" si="30"/>
        <v>9.0457821772832094</v>
      </c>
      <c r="AV4" s="233">
        <f t="shared" si="31"/>
        <v>-8.0535502918397117E-3</v>
      </c>
    </row>
    <row r="5" spans="1:48" x14ac:dyDescent="0.25">
      <c r="A5" s="139" t="s">
        <v>230</v>
      </c>
      <c r="B5" s="204">
        <f>C5</f>
        <v>7500</v>
      </c>
      <c r="C5" s="205">
        <f>Rhs</f>
        <v>7500</v>
      </c>
      <c r="D5" s="127" t="s">
        <v>120</v>
      </c>
      <c r="F5" s="233">
        <v>3</v>
      </c>
      <c r="G5" s="249">
        <f t="shared" si="0"/>
        <v>168.5792945990861</v>
      </c>
      <c r="H5" s="249">
        <f t="shared" si="1"/>
        <v>168.57881372500071</v>
      </c>
      <c r="I5" s="234">
        <f t="shared" si="2"/>
        <v>1</v>
      </c>
      <c r="J5" s="233">
        <f t="shared" si="19"/>
        <v>1</v>
      </c>
      <c r="K5" s="233">
        <f t="shared" si="20"/>
        <v>1</v>
      </c>
      <c r="L5" s="233">
        <f>10^('Small Signal'!F5/30)</f>
        <v>1.2589254117941673</v>
      </c>
      <c r="M5" s="233" t="str">
        <f t="shared" si="21"/>
        <v>7.91006165022012i</v>
      </c>
      <c r="N5" s="233">
        <f>IF(D$31=1, IF(AND('Small Signal'!$B$61&gt;=1,FCCM=0),V5+0,S5+0), 0)</f>
        <v>8.9183374506460229</v>
      </c>
      <c r="O5" s="233">
        <f>IF(D$31=1, IF(AND('Small Signal'!$B$61&gt;=1,FCCM=0),W5,T5), 0)</f>
        <v>-8.5918488813293316E-3</v>
      </c>
      <c r="P5" s="233">
        <f>IF(AND('Small Signal'!$B$61&gt;=1,FCCM=0),AF5+0,AC5+0)</f>
        <v>61.870475147634608</v>
      </c>
      <c r="Q5" s="233">
        <f>IF(AND('Small Signal'!$B$61&gt;=1,FCCM=0),AG5,AD5)</f>
        <v>176.09529808698031</v>
      </c>
      <c r="R5" s="233" t="str">
        <f>IMDIV(IMSUM('Small Signal'!$B$2*'Small Signal'!$B$38*'Small Signal'!$B$62,IMPRODUCT(M5,'Small Signal'!$B$2*'Small Signal'!$B$38*'Small Signal'!$B$62*'Small Signal'!$B$14*'Small Signal'!$B$15)),IMSUM(IMPRODUCT('Small Signal'!$B$12*'Small Signal'!$B$14*('Small Signal'!$B$15+'Small Signal'!$B$38),IMPOWER(M5,2)),IMSUM(IMPRODUCT(M5,('Small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2.37196762203293-0.000310367430571687i</v>
      </c>
      <c r="S5" s="233">
        <f t="shared" si="22"/>
        <v>8.9183374506460229</v>
      </c>
      <c r="T5" s="233">
        <f t="shared" si="23"/>
        <v>-8.5918488813293316E-3</v>
      </c>
      <c r="U5" s="233" t="str">
        <f>IMDIV(IMSUM('Small Signal'!$B$74,IMPRODUCT(M5,'Small Signal'!$B$75)),IMSUM(IMPRODUCT('Small Signal'!$B$78,IMPOWER(M5,2)),IMSUM(IMPRODUCT(M5,'Small Signal'!$B$77),'Small Signal'!$B$76)))</f>
        <v>1.68280859240198-0.000228793228213743i</v>
      </c>
      <c r="V5" s="233">
        <f t="shared" si="3"/>
        <v>4.5206944973472698</v>
      </c>
      <c r="W5" s="233">
        <f t="shared" si="4"/>
        <v>-7.789885514155645E-3</v>
      </c>
      <c r="X5" s="233" t="str">
        <f>IMPRODUCT(IMDIV(IMSUM(IMPRODUCT(M5,'Small Signal'!$B$57*'Small Signal'!$B$6*'Small Signal'!$B$50*'Small Signal'!$B$7*'Small Signal'!$B$8),'Small Signal'!$B$57*'Small Signal'!$B$6*'Small Signal'!$B$50),IMSUM(IMSUM(IMPRODUCT(M5,('Small Signal'!$B$5+'Small Signal'!$B$6)*('Small Signal'!$B$56*'Small Signal'!$B$57)+'Small Signal'!$B$5*'Small Signal'!$B$57*('Small Signal'!$B$8+'Small Signal'!$B$9)+'Small Signal'!$B$6*'Small Signal'!$B$57*('Small Signal'!$B$8+'Small Signal'!$B$9)+'Small Signal'!$B$7*'Small Signal'!$B$8*('Small Signal'!$B$5+'Small Signal'!$B$6)),'Small Signal'!$B$6+'Small Signal'!$B$5),IMPRODUCT(IMPOWER(M5,2),'Small Signal'!$B$56*'Small Signal'!$B$57*'Small Signal'!$B$8*'Small Signal'!$B$7*('Small Signal'!$B$5+'Small Signal'!$B$6)+('Small Signal'!$B$5+'Small Signal'!$B$6)*('Small Signal'!$B$9*'Small Signal'!$B$8*'Small Signal'!$B$57*'Small Signal'!$B$7)))),-1)</f>
        <v>-443.202049337787+30.1882112770706i</v>
      </c>
      <c r="Y5" s="233">
        <f t="shared" si="5"/>
        <v>52.952137696988572</v>
      </c>
      <c r="Z5" s="233">
        <f t="shared" si="6"/>
        <v>176.10388993586162</v>
      </c>
      <c r="AA5" s="233" t="str">
        <f t="shared" si="7"/>
        <v>1.00000000006337+8.88565542208628E-06i</v>
      </c>
      <c r="AB5" s="233" t="str">
        <f t="shared" si="8"/>
        <v>-1237.41237523013+84.4603320622539i</v>
      </c>
      <c r="AC5" s="230">
        <f t="shared" si="24"/>
        <v>61.870475147634608</v>
      </c>
      <c r="AD5" s="233">
        <f t="shared" si="25"/>
        <v>176.09529808698031</v>
      </c>
      <c r="AE5" s="233" t="str">
        <f t="shared" si="9"/>
        <v>-745.817309937482+50.9023829539197i</v>
      </c>
      <c r="AF5" s="230">
        <f t="shared" si="10"/>
        <v>57.472832193442528</v>
      </c>
      <c r="AG5" s="233">
        <f t="shared" si="11"/>
        <v>176.09559093979362</v>
      </c>
      <c r="AI5" s="233" t="str">
        <f t="shared" si="12"/>
        <v>0.002-1280.86388038327i</v>
      </c>
      <c r="AJ5" s="233">
        <f t="shared" si="13"/>
        <v>0.33750000000000002</v>
      </c>
      <c r="AK5" s="233" t="str">
        <f t="shared" si="14"/>
        <v>0.15-1264212.64993829i</v>
      </c>
      <c r="AL5" s="233" t="str">
        <f t="shared" si="15"/>
        <v>0.337499976381303-0.0000890193331661878i</v>
      </c>
      <c r="AM5" s="233" t="str">
        <f t="shared" si="16"/>
        <v>0.366666666666159-4.31005661773556E-07i</v>
      </c>
      <c r="AN5" s="233" t="str">
        <f t="shared" si="17"/>
        <v>0.005+7.91006165022012E-06i</v>
      </c>
      <c r="AO5" s="233" t="str">
        <f t="shared" si="26"/>
        <v>2.79200934557636-0.000418678701225847i</v>
      </c>
      <c r="AP5" s="233">
        <f t="shared" si="27"/>
        <v>8.9183374506460229</v>
      </c>
      <c r="AQ5" s="233">
        <f t="shared" si="28"/>
        <v>-8.5918488813293316E-3</v>
      </c>
      <c r="AS5" s="233" t="str">
        <f t="shared" si="18"/>
        <v>0.378068739770311-4.58228032063317E-07i</v>
      </c>
      <c r="AT5" s="233" t="str">
        <f t="shared" si="29"/>
        <v>2.83327743842981-0.000430018541967281i</v>
      </c>
      <c r="AU5" s="233">
        <f t="shared" si="30"/>
        <v>9.0457821663745523</v>
      </c>
      <c r="AV5" s="233">
        <f t="shared" si="31"/>
        <v>-8.6960235675207116E-3</v>
      </c>
    </row>
    <row r="6" spans="1:48" x14ac:dyDescent="0.25">
      <c r="A6" s="139" t="s">
        <v>231</v>
      </c>
      <c r="B6" s="204">
        <f t="shared" si="32"/>
        <v>6020</v>
      </c>
      <c r="C6" s="205">
        <f>Rls</f>
        <v>6020</v>
      </c>
      <c r="D6" s="127" t="s">
        <v>120</v>
      </c>
      <c r="F6" s="233">
        <v>4</v>
      </c>
      <c r="G6" s="249">
        <f t="shared" si="0"/>
        <v>168.57933296089431</v>
      </c>
      <c r="H6" s="249">
        <f t="shared" si="1"/>
        <v>168.57881372500071</v>
      </c>
      <c r="I6" s="234">
        <f t="shared" si="2"/>
        <v>1</v>
      </c>
      <c r="J6" s="233">
        <f t="shared" si="19"/>
        <v>1</v>
      </c>
      <c r="K6" s="233">
        <f t="shared" si="20"/>
        <v>1</v>
      </c>
      <c r="L6" s="233">
        <f>10^('Small Signal'!F6/30)</f>
        <v>1.3593563908785258</v>
      </c>
      <c r="M6" s="233" t="str">
        <f t="shared" si="21"/>
        <v>8.54108810238862i</v>
      </c>
      <c r="N6" s="233">
        <f>IF(D$31=1, IF(AND('Small Signal'!$B$61&gt;=1,FCCM=0),V6+0,S6+0), 0)</f>
        <v>8.9183374383940279</v>
      </c>
      <c r="O6" s="233">
        <f>IF(D$31=1, IF(AND('Small Signal'!$B$61&gt;=1,FCCM=0),W6,T6), 0)</f>
        <v>-9.277265013223325E-3</v>
      </c>
      <c r="P6" s="233">
        <f>IF(AND('Small Signal'!$B$61&gt;=1,FCCM=0),AF6+0,AC6+0)</f>
        <v>61.867123113630797</v>
      </c>
      <c r="Q6" s="233">
        <f>IF(AND('Small Signal'!$B$61&gt;=1,FCCM=0),AG6,AD6)</f>
        <v>175.78488714496058</v>
      </c>
      <c r="R6" s="233" t="str">
        <f>IMDIV(IMSUM('Small Signal'!$B$2*'Small Signal'!$B$38*'Small Signal'!$B$62,IMPRODUCT(M6,'Small Signal'!$B$2*'Small Signal'!$B$38*'Small Signal'!$B$62*'Small Signal'!$B$14*'Small Signal'!$B$15)),IMSUM(IMPRODUCT('Small Signal'!$B$12*'Small Signal'!$B$14*('Small Signal'!$B$15+'Small Signal'!$B$38),IMPOWER(M6,2)),IMSUM(IMPRODUCT(M6,('Small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2.37196761656545-0.00033512704213594i</v>
      </c>
      <c r="S6" s="233">
        <f t="shared" si="22"/>
        <v>8.9183374383940279</v>
      </c>
      <c r="T6" s="233">
        <f t="shared" si="23"/>
        <v>-9.277265013223325E-3</v>
      </c>
      <c r="U6" s="233" t="str">
        <f>IMDIV(IMSUM('Small Signal'!$B$74,IMPRODUCT(M6,'Small Signal'!$B$75)),IMSUM(IMPRODUCT('Small Signal'!$B$78,IMPOWER(M6,2)),IMSUM(IMPRODUCT(M6,'Small Signal'!$B$77),'Small Signal'!$B$76)))</f>
        <v>1.68280858846999-0.000247045244739238i</v>
      </c>
      <c r="V6" s="233">
        <f t="shared" si="3"/>
        <v>4.5206944903715502</v>
      </c>
      <c r="W6" s="233">
        <f t="shared" si="4"/>
        <v>-8.4113248931764664E-3</v>
      </c>
      <c r="X6" s="233" t="str">
        <f>IMPRODUCT(IMDIV(IMSUM(IMPRODUCT(M6,'Small Signal'!$B$57*'Small Signal'!$B$6*'Small Signal'!$B$50*'Small Signal'!$B$7*'Small Signal'!$B$8),'Small Signal'!$B$57*'Small Signal'!$B$6*'Small Signal'!$B$50),IMSUM(IMSUM(IMPRODUCT(M6,('Small Signal'!$B$5+'Small Signal'!$B$6)*('Small Signal'!$B$56*'Small Signal'!$B$57)+'Small Signal'!$B$5*'Small Signal'!$B$57*('Small Signal'!$B$8+'Small Signal'!$B$9)+'Small Signal'!$B$6*'Small Signal'!$B$57*('Small Signal'!$B$8+'Small Signal'!$B$9)+'Small Signal'!$B$7*'Small Signal'!$B$8*('Small Signal'!$B$5+'Small Signal'!$B$6)),'Small Signal'!$B$6+'Small Signal'!$B$5),IMPRODUCT(IMPOWER(M6,2),'Small Signal'!$B$56*'Small Signal'!$B$57*'Small Signal'!$B$8*'Small Signal'!$B$7*('Small Signal'!$B$5+'Small Signal'!$B$6)+('Small Signal'!$B$5+'Small Signal'!$B$6)*('Small Signal'!$B$9*'Small Signal'!$B$8*'Small Signal'!$B$57*'Small Signal'!$B$7)))),-1)</f>
        <v>-442.86142192398+32.5713310646977i</v>
      </c>
      <c r="Y6" s="233">
        <f t="shared" si="5"/>
        <v>52.948785675236763</v>
      </c>
      <c r="Z6" s="233">
        <f t="shared" si="6"/>
        <v>175.79416440997386</v>
      </c>
      <c r="AA6" s="233" t="str">
        <f t="shared" si="7"/>
        <v>1.00000000007389+9.59451002569041E-06i</v>
      </c>
      <c r="AB6" s="233" t="str">
        <f t="shared" si="8"/>
        <v>-1236.45937447786+91.1278055131786i</v>
      </c>
      <c r="AC6" s="230">
        <f t="shared" si="24"/>
        <v>61.867123113630797</v>
      </c>
      <c r="AD6" s="233">
        <f t="shared" si="25"/>
        <v>175.78488714496058</v>
      </c>
      <c r="AE6" s="233" t="str">
        <f t="shared" si="9"/>
        <v>-745.242957723251+54.9207224619375i</v>
      </c>
      <c r="AF6" s="230">
        <f t="shared" si="10"/>
        <v>57.469480164566733</v>
      </c>
      <c r="AG6" s="233">
        <f t="shared" si="11"/>
        <v>175.78520336014975</v>
      </c>
      <c r="AI6" s="233" t="str">
        <f t="shared" si="12"/>
        <v>0.002-1186.23202780666i</v>
      </c>
      <c r="AJ6" s="233">
        <f t="shared" si="13"/>
        <v>0.33750000000000002</v>
      </c>
      <c r="AK6" s="233" t="str">
        <f t="shared" si="14"/>
        <v>0.15-1170811.01144518i</v>
      </c>
      <c r="AL6" s="233" t="str">
        <f t="shared" si="15"/>
        <v>0.33749997246262-0.0000961208637971735i</v>
      </c>
      <c r="AM6" s="233" t="str">
        <f t="shared" si="16"/>
        <v>0.366666666666076-4.65389208405598E-07i</v>
      </c>
      <c r="AN6" s="233" t="str">
        <f t="shared" si="17"/>
        <v>0.005+8.54108810238862E-06i</v>
      </c>
      <c r="AO6" s="233" t="str">
        <f t="shared" si="26"/>
        <v>2.79200933642972-0.000452078861304323i</v>
      </c>
      <c r="AP6" s="233">
        <f t="shared" si="27"/>
        <v>8.9183374383940279</v>
      </c>
      <c r="AQ6" s="233">
        <f t="shared" si="28"/>
        <v>-9.277265013223325E-3</v>
      </c>
      <c r="AS6" s="233" t="str">
        <f t="shared" si="18"/>
        <v>0.378068739770219-4.94783247704152E-07i</v>
      </c>
      <c r="AT6" s="233" t="str">
        <f t="shared" si="29"/>
        <v>2.83327742886684-0.000464323339597196i</v>
      </c>
      <c r="AU6" s="233">
        <f t="shared" si="30"/>
        <v>9.0457821536559919</v>
      </c>
      <c r="AV6" s="233">
        <f t="shared" si="31"/>
        <v>-9.3897502514642076E-3</v>
      </c>
    </row>
    <row r="7" spans="1:48" x14ac:dyDescent="0.25">
      <c r="A7" s="139" t="s">
        <v>22</v>
      </c>
      <c r="B7" s="247">
        <f>C7</f>
        <v>15400</v>
      </c>
      <c r="C7" s="206">
        <f>Rcomp</f>
        <v>15400</v>
      </c>
      <c r="D7" s="127" t="s">
        <v>120</v>
      </c>
      <c r="F7" s="233">
        <v>5</v>
      </c>
      <c r="G7" s="249">
        <f t="shared" si="0"/>
        <v>168.57937438302201</v>
      </c>
      <c r="H7" s="249">
        <f t="shared" si="1"/>
        <v>168.57881372500071</v>
      </c>
      <c r="I7" s="234">
        <f t="shared" si="2"/>
        <v>1</v>
      </c>
      <c r="J7" s="233">
        <f t="shared" si="19"/>
        <v>1</v>
      </c>
      <c r="K7" s="233">
        <f t="shared" si="20"/>
        <v>1</v>
      </c>
      <c r="L7" s="233">
        <f>10^('Small Signal'!F7/30)</f>
        <v>1.4677992676220697</v>
      </c>
      <c r="M7" s="233" t="str">
        <f t="shared" si="21"/>
        <v>9.22245479221194i</v>
      </c>
      <c r="N7" s="233">
        <f>IF(D$31=1, IF(AND('Small Signal'!$B$61&gt;=1,FCCM=0),V7+0,S7+0), 0)</f>
        <v>8.9183374241092199</v>
      </c>
      <c r="O7" s="233">
        <f>IF(D$31=1, IF(AND('Small Signal'!$B$61&gt;=1,FCCM=0),W7,T7), 0)</f>
        <v>-1.0017360326408596E-2</v>
      </c>
      <c r="P7" s="233">
        <f>IF(AND('Small Signal'!$B$61&gt;=1,FCCM=0),AF7+0,AC7+0)</f>
        <v>61.863218192901286</v>
      </c>
      <c r="Q7" s="233">
        <f>IF(AND('Small Signal'!$B$61&gt;=1,FCCM=0),AG7,AD7)</f>
        <v>175.44999327374822</v>
      </c>
      <c r="R7" s="233" t="str">
        <f>IMDIV(IMSUM('Small Signal'!$B$2*'Small Signal'!$B$38*'Small Signal'!$B$62,IMPRODUCT(M7,'Small Signal'!$B$2*'Small Signal'!$B$38*'Small Signal'!$B$62*'Small Signal'!$B$14*'Small Signal'!$B$15)),IMSUM(IMPRODUCT('Small Signal'!$B$12*'Small Signal'!$B$14*('Small Signal'!$B$15+'Small Signal'!$B$38),IMPOWER(M7,2)),IMSUM(IMPRODUCT(M7,('Small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2.37196761019084-0.000361861855578919i</v>
      </c>
      <c r="S7" s="233">
        <f t="shared" si="22"/>
        <v>8.9183374241092199</v>
      </c>
      <c r="T7" s="233">
        <f t="shared" si="23"/>
        <v>-1.0017360326408596E-2</v>
      </c>
      <c r="U7" s="233" t="str">
        <f>IMDIV(IMSUM('Small Signal'!$B$74,IMPRODUCT(M7,'Small Signal'!$B$75)),IMSUM(IMPRODUCT('Small Signal'!$B$78,IMPOWER(M7,2)),IMSUM(IMPRODUCT(M7,'Small Signal'!$B$77),'Small Signal'!$B$76)))</f>
        <v>1.68280858388563-0.000266753318743659i</v>
      </c>
      <c r="V7" s="233">
        <f t="shared" si="3"/>
        <v>4.5206944822384818</v>
      </c>
      <c r="W7" s="233">
        <f t="shared" si="4"/>
        <v>-9.0823396989180294E-3</v>
      </c>
      <c r="X7" s="233" t="str">
        <f>IMPRODUCT(IMDIV(IMSUM(IMPRODUCT(M7,'Small Signal'!$B$57*'Small Signal'!$B$6*'Small Signal'!$B$50*'Small Signal'!$B$7*'Small Signal'!$B$8),'Small Signal'!$B$57*'Small Signal'!$B$6*'Small Signal'!$B$50),IMSUM(IMSUM(IMPRODUCT(M7,('Small Signal'!$B$5+'Small Signal'!$B$6)*('Small Signal'!$B$56*'Small Signal'!$B$57)+'Small Signal'!$B$5*'Small Signal'!$B$57*('Small Signal'!$B$8+'Small Signal'!$B$9)+'Small Signal'!$B$6*'Small Signal'!$B$57*('Small Signal'!$B$8+'Small Signal'!$B$9)+'Small Signal'!$B$7*'Small Signal'!$B$8*('Small Signal'!$B$5+'Small Signal'!$B$6)),'Small Signal'!$B$6+'Small Signal'!$B$5),IMPRODUCT(IMPOWER(M7,2),'Small Signal'!$B$56*'Small Signal'!$B$57*'Small Signal'!$B$8*'Small Signal'!$B$7*('Small Signal'!$B$5+'Small Signal'!$B$6)+('Small Signal'!$B$5+'Small Signal'!$B$6)*('Small Signal'!$B$9*'Small Signal'!$B$8*'Small Signal'!$B$57*'Small Signal'!$B$7)))),-1)</f>
        <v>-442.464942585757+35.1381055943791i</v>
      </c>
      <c r="Y7" s="233">
        <f t="shared" si="5"/>
        <v>52.944880768792075</v>
      </c>
      <c r="Z7" s="233">
        <f t="shared" si="6"/>
        <v>175.46001063407465</v>
      </c>
      <c r="AA7" s="233" t="str">
        <f t="shared" si="7"/>
        <v>1.00000000008615+0.0000103599136203427i</v>
      </c>
      <c r="AB7" s="233" t="str">
        <f t="shared" si="8"/>
        <v>-1235.3501122979+98.3091068042381i</v>
      </c>
      <c r="AC7" s="230">
        <f t="shared" si="24"/>
        <v>61.863218192901286</v>
      </c>
      <c r="AD7" s="233">
        <f t="shared" si="25"/>
        <v>175.44999327374822</v>
      </c>
      <c r="AE7" s="233" t="str">
        <f t="shared" si="9"/>
        <v>-744.574430245493+59.2487347075633i</v>
      </c>
      <c r="AF7" s="230">
        <f t="shared" si="10"/>
        <v>57.465575249816148</v>
      </c>
      <c r="AG7" s="233">
        <f t="shared" si="11"/>
        <v>175.45033471504922</v>
      </c>
      <c r="AI7" s="233" t="str">
        <f t="shared" si="12"/>
        <v>0.002-1098.59169685795i</v>
      </c>
      <c r="AJ7" s="233">
        <f t="shared" si="13"/>
        <v>0.33750000000000002</v>
      </c>
      <c r="AK7" s="233" t="str">
        <f t="shared" si="14"/>
        <v>0.15-1084310.0047988i</v>
      </c>
      <c r="AL7" s="233" t="str">
        <f t="shared" si="15"/>
        <v>0.337499967893774-0.000103788919896338i</v>
      </c>
      <c r="AM7" s="233" t="str">
        <f t="shared" si="16"/>
        <v>0.366666666665978-5.02515708051584E-07i</v>
      </c>
      <c r="AN7" s="233" t="str">
        <f t="shared" si="17"/>
        <v>0.005+9.22245479221194E-06i</v>
      </c>
      <c r="AO7" s="233" t="str">
        <f t="shared" si="26"/>
        <v>2.79200932576551-0.000488143524244704i</v>
      </c>
      <c r="AP7" s="233">
        <f t="shared" si="27"/>
        <v>8.9183374241092199</v>
      </c>
      <c r="AQ7" s="233">
        <f t="shared" si="28"/>
        <v>-1.0017360326408596E-2</v>
      </c>
      <c r="AS7" s="233" t="str">
        <f t="shared" si="18"/>
        <v>0.378068739770112-5.34254661606631E-07i</v>
      </c>
      <c r="AT7" s="233" t="str">
        <f t="shared" si="29"/>
        <v>2.83327741771726-0.000501364807674648i</v>
      </c>
      <c r="AU7" s="233">
        <f t="shared" si="30"/>
        <v>9.0457821388273114</v>
      </c>
      <c r="AV7" s="233">
        <f t="shared" si="31"/>
        <v>-1.0138819092220485E-2</v>
      </c>
    </row>
    <row r="8" spans="1:48" x14ac:dyDescent="0.25">
      <c r="A8" s="139" t="s">
        <v>24</v>
      </c>
      <c r="B8" s="243">
        <f>C8</f>
        <v>2.2000000000000003E-9</v>
      </c>
      <c r="C8" s="207">
        <f>Ccomp</f>
        <v>2.2000000000000003E-9</v>
      </c>
      <c r="D8" s="180" t="s">
        <v>269</v>
      </c>
      <c r="F8" s="233">
        <v>6</v>
      </c>
      <c r="G8" s="249">
        <f t="shared" si="0"/>
        <v>168.57941910960665</v>
      </c>
      <c r="H8" s="249">
        <f t="shared" si="1"/>
        <v>168.57881372500071</v>
      </c>
      <c r="I8" s="234">
        <f t="shared" si="2"/>
        <v>1</v>
      </c>
      <c r="J8" s="233">
        <f t="shared" si="19"/>
        <v>1</v>
      </c>
      <c r="K8" s="233">
        <f t="shared" si="20"/>
        <v>1</v>
      </c>
      <c r="L8" s="233">
        <f>10^('Small Signal'!F8/30)</f>
        <v>1.5848931924611136</v>
      </c>
      <c r="M8" s="233" t="str">
        <f t="shared" si="21"/>
        <v>9.95817762032062i</v>
      </c>
      <c r="N8" s="233">
        <f>IF(D$31=1, IF(AND('Small Signal'!$B$61&gt;=1,FCCM=0),V8+0,S8+0), 0)</f>
        <v>8.9183374074543753</v>
      </c>
      <c r="O8" s="233">
        <f>IF(D$31=1, IF(AND('Small Signal'!$B$61&gt;=1,FCCM=0),W8,T8), 0)</f>
        <v>-1.0816496860958546E-2</v>
      </c>
      <c r="P8" s="233">
        <f>IF(AND('Small Signal'!$B$61&gt;=1,FCCM=0),AF8+0,AC8+0)</f>
        <v>61.858669818477594</v>
      </c>
      <c r="Q8" s="233">
        <f>IF(AND('Small Signal'!$B$61&gt;=1,FCCM=0),AG8,AD8)</f>
        <v>175.08873524473719</v>
      </c>
      <c r="R8" s="233" t="str">
        <f>IMDIV(IMSUM('Small Signal'!$B$2*'Small Signal'!$B$38*'Small Signal'!$B$62,IMPRODUCT(M8,'Small Signal'!$B$2*'Small Signal'!$B$38*'Small Signal'!$B$62*'Small Signal'!$B$14*'Small Signal'!$B$15)),IMSUM(IMPRODUCT('Small Signal'!$B$12*'Small Signal'!$B$14*('Small Signal'!$B$15+'Small Signal'!$B$38),IMPOWER(M8,2)),IMSUM(IMPRODUCT(M8,('Small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2.37196760275859-0.000390729442911518i</v>
      </c>
      <c r="S8" s="233">
        <f t="shared" si="22"/>
        <v>8.9183374074543753</v>
      </c>
      <c r="T8" s="233">
        <f t="shared" si="23"/>
        <v>-1.0816496860958546E-2</v>
      </c>
      <c r="U8" s="233" t="str">
        <f>IMDIV(IMSUM('Small Signal'!$B$74,IMPRODUCT(M8,'Small Signal'!$B$75)),IMSUM(IMPRODUCT('Small Signal'!$B$78,IMPOWER(M8,2)),IMSUM(IMPRODUCT(M8,'Small Signal'!$B$77),'Small Signal'!$B$76)))</f>
        <v>1.68280857854066-0.000288033607422275i</v>
      </c>
      <c r="V8" s="233">
        <f t="shared" si="3"/>
        <v>4.5206944727560217</v>
      </c>
      <c r="W8" s="233">
        <f t="shared" si="4"/>
        <v>-9.8068848189343163E-3</v>
      </c>
      <c r="X8" s="233" t="str">
        <f>IMPRODUCT(IMDIV(IMSUM(IMPRODUCT(M8,'Small Signal'!$B$57*'Small Signal'!$B$6*'Small Signal'!$B$50*'Small Signal'!$B$7*'Small Signal'!$B$8),'Small Signal'!$B$57*'Small Signal'!$B$6*'Small Signal'!$B$50),IMSUM(IMSUM(IMPRODUCT(M8,('Small Signal'!$B$5+'Small Signal'!$B$6)*('Small Signal'!$B$56*'Small Signal'!$B$57)+'Small Signal'!$B$5*'Small Signal'!$B$57*('Small Signal'!$B$8+'Small Signal'!$B$9)+'Small Signal'!$B$6*'Small Signal'!$B$57*('Small Signal'!$B$8+'Small Signal'!$B$9)+'Small Signal'!$B$7*'Small Signal'!$B$8*('Small Signal'!$B$5+'Small Signal'!$B$6)),'Small Signal'!$B$6+'Small Signal'!$B$5),IMPRODUCT(IMPOWER(M8,2),'Small Signal'!$B$56*'Small Signal'!$B$57*'Small Signal'!$B$8*'Small Signal'!$B$7*('Small Signal'!$B$5+'Small Signal'!$B$6)+('Small Signal'!$B$5+'Small Signal'!$B$6)*('Small Signal'!$B$9*'Small Signal'!$B$8*'Small Signal'!$B$57*'Small Signal'!$B$7)))),-1)</f>
        <v>-442.003580515771+37.9015380652818i</v>
      </c>
      <c r="Y8" s="233">
        <f t="shared" si="5"/>
        <v>52.940332411023235</v>
      </c>
      <c r="Z8" s="233">
        <f t="shared" si="6"/>
        <v>175.09955174159816</v>
      </c>
      <c r="AA8" s="233" t="str">
        <f t="shared" si="7"/>
        <v>1.00000000010044+0.0000111863774109783i</v>
      </c>
      <c r="AB8" s="233" t="str">
        <f t="shared" si="8"/>
        <v>-1234.05932247312+106.040616206696i</v>
      </c>
      <c r="AC8" s="230">
        <f t="shared" si="24"/>
        <v>61.858669818477594</v>
      </c>
      <c r="AD8" s="233">
        <f t="shared" si="25"/>
        <v>175.08873524473719</v>
      </c>
      <c r="AE8" s="233" t="str">
        <f t="shared" si="9"/>
        <v>-743.796500120891+63.9083452819311i</v>
      </c>
      <c r="AF8" s="230">
        <f t="shared" si="10"/>
        <v>57.461026882363399</v>
      </c>
      <c r="AG8" s="233">
        <f t="shared" si="11"/>
        <v>175.08910392456562</v>
      </c>
      <c r="AI8" s="233" t="str">
        <f t="shared" si="12"/>
        <v>0.002-1017.42634502694i</v>
      </c>
      <c r="AJ8" s="233">
        <f t="shared" si="13"/>
        <v>0.33750000000000002</v>
      </c>
      <c r="AK8" s="233" t="str">
        <f t="shared" si="14"/>
        <v>0.15-1004199.80254159i</v>
      </c>
      <c r="AL8" s="233" t="str">
        <f t="shared" si="15"/>
        <v>0.337499962566889-0.000112068696049603i</v>
      </c>
      <c r="AM8" s="233" t="str">
        <f t="shared" si="16"/>
        <v>0.366666666665864-5.42603980233454E-07i</v>
      </c>
      <c r="AN8" s="233" t="str">
        <f t="shared" si="17"/>
        <v>0.005+9.95817762032062E-06i</v>
      </c>
      <c r="AO8" s="233" t="str">
        <f t="shared" si="26"/>
        <v>2.79200931333196-0.000527085251109845i</v>
      </c>
      <c r="AP8" s="233">
        <f t="shared" si="27"/>
        <v>8.9183374074543753</v>
      </c>
      <c r="AQ8" s="233">
        <f t="shared" si="28"/>
        <v>-1.0816496860958546E-2</v>
      </c>
      <c r="AS8" s="233" t="str">
        <f t="shared" si="18"/>
        <v>0.378068739769987-5.76874913960447E-07i</v>
      </c>
      <c r="AT8" s="233" t="str">
        <f t="shared" si="29"/>
        <v>2.83327740471779-0.000541361264437705i</v>
      </c>
      <c r="AU8" s="233">
        <f t="shared" si="30"/>
        <v>9.0457821215382985</v>
      </c>
      <c r="AV8" s="233">
        <f t="shared" si="31"/>
        <v>-1.0947645018813032E-2</v>
      </c>
    </row>
    <row r="9" spans="1:48" x14ac:dyDescent="0.25">
      <c r="A9" s="139" t="s">
        <v>48</v>
      </c>
      <c r="B9" s="243">
        <f>C9</f>
        <v>3.3000000000000002E-11</v>
      </c>
      <c r="C9" s="207">
        <f>Cpole</f>
        <v>3.3000000000000002E-11</v>
      </c>
      <c r="D9" s="180" t="s">
        <v>269</v>
      </c>
      <c r="F9" s="233">
        <v>7</v>
      </c>
      <c r="G9" s="249">
        <f t="shared" si="0"/>
        <v>168.57946740426183</v>
      </c>
      <c r="H9" s="249">
        <f t="shared" si="1"/>
        <v>168.57881372500071</v>
      </c>
      <c r="I9" s="234">
        <f t="shared" si="2"/>
        <v>1</v>
      </c>
      <c r="J9" s="233">
        <f t="shared" si="19"/>
        <v>1</v>
      </c>
      <c r="K9" s="233">
        <f t="shared" si="20"/>
        <v>1</v>
      </c>
      <c r="L9" s="233">
        <f>10^('Small Signal'!F9/30)</f>
        <v>1.7113283041617808</v>
      </c>
      <c r="M9" s="233" t="str">
        <f t="shared" si="21"/>
        <v>10.7525928564699i</v>
      </c>
      <c r="N9" s="233">
        <f>IF(D$31=1, IF(AND('Small Signal'!$B$61&gt;=1,FCCM=0),V9+0,S9+0), 0)</f>
        <v>8.9183373880362389</v>
      </c>
      <c r="O9" s="233">
        <f>IF(D$31=1, IF(AND('Small Signal'!$B$61&gt;=1,FCCM=0),W9,T9), 0)</f>
        <v>-1.1679384639275054E-2</v>
      </c>
      <c r="P9" s="233">
        <f>IF(AND('Small Signal'!$B$61&gt;=1,FCCM=0),AF9+0,AC9+0)</f>
        <v>61.853372810981064</v>
      </c>
      <c r="Q9" s="233">
        <f>IF(AND('Small Signal'!$B$61&gt;=1,FCCM=0),AG9,AD9)</f>
        <v>174.6991000753288</v>
      </c>
      <c r="R9" s="233" t="str">
        <f>IMDIV(IMSUM('Small Signal'!$B$2*'Small Signal'!$B$38*'Small Signal'!$B$62,IMPRODUCT(M9,'Small Signal'!$B$2*'Small Signal'!$B$38*'Small Signal'!$B$62*'Small Signal'!$B$14*'Small Signal'!$B$15)),IMSUM(IMPRODUCT('Small Signal'!$B$12*'Small Signal'!$B$14*('Small Signal'!$B$15+'Small Signal'!$B$38),IMPOWER(M9,2)),IMSUM(IMPRODUCT(M9,('Small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2.37196759409323-0.000421899946467123i</v>
      </c>
      <c r="S9" s="233">
        <f t="shared" si="22"/>
        <v>8.9183373880362389</v>
      </c>
      <c r="T9" s="233">
        <f t="shared" si="23"/>
        <v>-1.1679384639275054E-2</v>
      </c>
      <c r="U9" s="233" t="str">
        <f>IMDIV(IMSUM('Small Signal'!$B$74,IMPRODUCT(M9,'Small Signal'!$B$75)),IMSUM(IMPRODUCT('Small Signal'!$B$78,IMPOWER(M9,2)),IMSUM(IMPRODUCT(M9,'Small Signal'!$B$77),'Small Signal'!$B$76)))</f>
        <v>1.68280857230888-0.000311011534422623i</v>
      </c>
      <c r="V9" s="233">
        <f t="shared" si="3"/>
        <v>4.520694461700276</v>
      </c>
      <c r="W9" s="233">
        <f t="shared" si="4"/>
        <v>-1.0589230642534935E-2</v>
      </c>
      <c r="X9" s="233" t="str">
        <f>IMPRODUCT(IMDIV(IMSUM(IMPRODUCT(M9,'Small Signal'!$B$57*'Small Signal'!$B$6*'Small Signal'!$B$50*'Small Signal'!$B$7*'Small Signal'!$B$8),'Small Signal'!$B$57*'Small Signal'!$B$6*'Small Signal'!$B$50),IMSUM(IMSUM(IMPRODUCT(M9,('Small Signal'!$B$5+'Small Signal'!$B$6)*('Small Signal'!$B$56*'Small Signal'!$B$57)+'Small Signal'!$B$5*'Small Signal'!$B$57*('Small Signal'!$B$8+'Small Signal'!$B$9)+'Small Signal'!$B$6*'Small Signal'!$B$57*('Small Signal'!$B$8+'Small Signal'!$B$9)+'Small Signal'!$B$7*'Small Signal'!$B$8*('Small Signal'!$B$5+'Small Signal'!$B$6)),'Small Signal'!$B$6+'Small Signal'!$B$5),IMPRODUCT(IMPOWER(M9,2),'Small Signal'!$B$56*'Small Signal'!$B$57*'Small Signal'!$B$8*'Small Signal'!$B$7*('Small Signal'!$B$5+'Small Signal'!$B$6)+('Small Signal'!$B$5+'Small Signal'!$B$6)*('Small Signal'!$B$9*'Small Signal'!$B$8*'Small Signal'!$B$57*'Small Signal'!$B$7)))),-1)</f>
        <v>-441.466889897288+40.8752536501041i</v>
      </c>
      <c r="Y9" s="233">
        <f t="shared" si="5"/>
        <v>52.935035422944793</v>
      </c>
      <c r="Z9" s="233">
        <f t="shared" si="6"/>
        <v>174.71077945996802</v>
      </c>
      <c r="AA9" s="233" t="str">
        <f t="shared" si="7"/>
        <v>1.00000000011711+0.0000120787724846365i</v>
      </c>
      <c r="AB9" s="233" t="str">
        <f t="shared" si="8"/>
        <v>-1232.55777990067+114.36045415112i</v>
      </c>
      <c r="AC9" s="230">
        <f t="shared" si="24"/>
        <v>61.853372810981064</v>
      </c>
      <c r="AD9" s="233">
        <f t="shared" si="25"/>
        <v>174.6991000753288</v>
      </c>
      <c r="AE9" s="233" t="str">
        <f t="shared" si="9"/>
        <v>-742.891554034339+68.9225285325188i</v>
      </c>
      <c r="AF9" s="230">
        <f t="shared" si="10"/>
        <v>57.455729882994248</v>
      </c>
      <c r="AG9" s="233">
        <f t="shared" si="11"/>
        <v>174.69949816664055</v>
      </c>
      <c r="AI9" s="233" t="str">
        <f t="shared" si="12"/>
        <v>0.002-942.257592621068i</v>
      </c>
      <c r="AJ9" s="233">
        <f t="shared" si="13"/>
        <v>0.33750000000000002</v>
      </c>
      <c r="AK9" s="233" t="str">
        <f t="shared" si="14"/>
        <v>0.15-930008.243916995i</v>
      </c>
      <c r="AL9" s="233" t="str">
        <f t="shared" si="15"/>
        <v>0.337499956356197-0.000121008992228832i</v>
      </c>
      <c r="AM9" s="233" t="str">
        <f t="shared" si="16"/>
        <v>0.366666666665731-5.85890300836028E-07i</v>
      </c>
      <c r="AN9" s="233" t="str">
        <f t="shared" si="17"/>
        <v>0.005+0.0000107525928564699i</v>
      </c>
      <c r="AO9" s="233" t="str">
        <f t="shared" si="26"/>
        <v>2.7920092988355-0.000569133560033779i</v>
      </c>
      <c r="AP9" s="233">
        <f t="shared" si="27"/>
        <v>8.9183373880362389</v>
      </c>
      <c r="AQ9" s="233">
        <f t="shared" si="28"/>
        <v>-1.1679384639275054E-2</v>
      </c>
      <c r="AS9" s="233" t="str">
        <f t="shared" si="18"/>
        <v>0.378068739769841-6.22895203864186E-07i</v>
      </c>
      <c r="AT9" s="233" t="str">
        <f t="shared" si="29"/>
        <v>2.83327738956152-0.000584548444473694i</v>
      </c>
      <c r="AU9" s="233">
        <f t="shared" si="30"/>
        <v>9.0457821013807873</v>
      </c>
      <c r="AV9" s="233">
        <f t="shared" si="31"/>
        <v>-1.1820995161809494E-2</v>
      </c>
    </row>
    <row r="10" spans="1:48" x14ac:dyDescent="0.25">
      <c r="A10" s="139" t="s">
        <v>227</v>
      </c>
      <c r="B10" s="243">
        <f>C10</f>
        <v>2.7E-10</v>
      </c>
      <c r="C10" s="207">
        <f>Cff</f>
        <v>2.7E-10</v>
      </c>
      <c r="D10" s="180" t="s">
        <v>269</v>
      </c>
      <c r="F10" s="233">
        <v>8</v>
      </c>
      <c r="G10" s="249">
        <f t="shared" si="0"/>
        <v>168.57951955163099</v>
      </c>
      <c r="H10" s="249">
        <f t="shared" si="1"/>
        <v>168.57881372500071</v>
      </c>
      <c r="I10" s="234">
        <f t="shared" si="2"/>
        <v>1</v>
      </c>
      <c r="J10" s="233">
        <f t="shared" si="19"/>
        <v>1</v>
      </c>
      <c r="K10" s="233">
        <f t="shared" si="20"/>
        <v>1</v>
      </c>
      <c r="L10" s="233">
        <f>10^('Small Signal'!F10/30)</f>
        <v>1.8478497974222912</v>
      </c>
      <c r="M10" s="233" t="str">
        <f t="shared" si="21"/>
        <v>11.6103826970385i</v>
      </c>
      <c r="N10" s="233">
        <f>IF(D$31=1, IF(AND('Small Signal'!$B$61&gt;=1,FCCM=0),V10+0,S10+0), 0)</f>
        <v>8.9183373653963844</v>
      </c>
      <c r="O10" s="233">
        <f>IF(D$31=1, IF(AND('Small Signal'!$B$61&gt;=1,FCCM=0),W10,T10), 0)</f>
        <v>-1.2611109426400783E-2</v>
      </c>
      <c r="P10" s="233">
        <f>IF(AND('Small Signal'!$B$61&gt;=1,FCCM=0),AF10+0,AC10+0)</f>
        <v>61.847205100274479</v>
      </c>
      <c r="Q10" s="233">
        <f>IF(AND('Small Signal'!$B$61&gt;=1,FCCM=0),AG10,AD10)</f>
        <v>174.27893712571409</v>
      </c>
      <c r="R10" s="233" t="str">
        <f>IMDIV(IMSUM('Small Signal'!$B$2*'Small Signal'!$B$38*'Small Signal'!$B$62,IMPRODUCT(M10,'Small Signal'!$B$2*'Small Signal'!$B$38*'Small Signal'!$B$62*'Small Signal'!$B$14*'Small Signal'!$B$15)),IMSUM(IMPRODUCT('Small Signal'!$B$12*'Small Signal'!$B$14*('Small Signal'!$B$15+'Small Signal'!$B$38),IMPOWER(M10,2)),IMSUM(IMPRODUCT(M10,('Small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2.37196758399015-0.000455557081698468i</v>
      </c>
      <c r="S10" s="233">
        <f t="shared" si="22"/>
        <v>8.9183373653963844</v>
      </c>
      <c r="T10" s="233">
        <f t="shared" si="23"/>
        <v>-1.2611109426400783E-2</v>
      </c>
      <c r="U10" s="233" t="str">
        <f>IMDIV(IMSUM('Small Signal'!$B$74,IMPRODUCT(M10,'Small Signal'!$B$75)),IMSUM(IMPRODUCT('Small Signal'!$B$78,IMPOWER(M10,2)),IMSUM(IMPRODUCT(M10,'Small Signal'!$B$77),'Small Signal'!$B$76)))</f>
        <v>1.68280856504316-0.000335822529075445i</v>
      </c>
      <c r="V10" s="233">
        <f t="shared" si="3"/>
        <v>4.5206944488102314</v>
      </c>
      <c r="W10" s="233">
        <f t="shared" si="4"/>
        <v>-1.1433988229977335E-2</v>
      </c>
      <c r="X10" s="233" t="str">
        <f>IMPRODUCT(IMDIV(IMSUM(IMPRODUCT(M10,'Small Signal'!$B$57*'Small Signal'!$B$6*'Small Signal'!$B$50*'Small Signal'!$B$7*'Small Signal'!$B$8),'Small Signal'!$B$57*'Small Signal'!$B$6*'Small Signal'!$B$50),IMSUM(IMSUM(IMPRODUCT(M10,('Small Signal'!$B$5+'Small Signal'!$B$6)*('Small Signal'!$B$56*'Small Signal'!$B$57)+'Small Signal'!$B$5*'Small Signal'!$B$57*('Small Signal'!$B$8+'Small Signal'!$B$9)+'Small Signal'!$B$6*'Small Signal'!$B$57*('Small Signal'!$B$8+'Small Signal'!$B$9)+'Small Signal'!$B$7*'Small Signal'!$B$8*('Small Signal'!$B$5+'Small Signal'!$B$6)),'Small Signal'!$B$6+'Small Signal'!$B$5),IMPRODUCT(IMPOWER(M10,2),'Small Signal'!$B$56*'Small Signal'!$B$57*'Small Signal'!$B$8*'Small Signal'!$B$7*('Small Signal'!$B$5+'Small Signal'!$B$6)+('Small Signal'!$B$5+'Small Signal'!$B$6)*('Small Signal'!$B$9*'Small Signal'!$B$8*'Small Signal'!$B$57*'Small Signal'!$B$7)))),-1)</f>
        <v>-440.842804264086+44.0734467580399i</v>
      </c>
      <c r="Y10" s="233">
        <f t="shared" si="5"/>
        <v>52.928867734878111</v>
      </c>
      <c r="Z10" s="233">
        <f t="shared" si="6"/>
        <v>174.29154823514051</v>
      </c>
      <c r="AA10" s="233" t="str">
        <f t="shared" si="7"/>
        <v>1.00000000013654+0.0000130423585201144i</v>
      </c>
      <c r="AB10" s="233" t="str">
        <f t="shared" si="8"/>
        <v>-1230.81172525603+123.308333681836i</v>
      </c>
      <c r="AC10" s="230">
        <f t="shared" si="24"/>
        <v>61.847205100274479</v>
      </c>
      <c r="AD10" s="233">
        <f t="shared" si="25"/>
        <v>174.27893712571409</v>
      </c>
      <c r="AE10" s="233" t="str">
        <f t="shared" si="9"/>
        <v>-741.839245996894+74.3152186408559i</v>
      </c>
      <c r="AF10" s="230">
        <f t="shared" si="10"/>
        <v>57.449562181763625</v>
      </c>
      <c r="AG10" s="233">
        <f t="shared" si="11"/>
        <v>174.27936697481258</v>
      </c>
      <c r="AI10" s="233" t="str">
        <f t="shared" si="12"/>
        <v>0.002-872.642403247928i</v>
      </c>
      <c r="AJ10" s="233">
        <f t="shared" si="13"/>
        <v>0.33750000000000002</v>
      </c>
      <c r="AK10" s="233" t="str">
        <f t="shared" si="14"/>
        <v>0.15-861298.052005705i</v>
      </c>
      <c r="AL10" s="233" t="str">
        <f t="shared" si="15"/>
        <v>0.337499949115063-0.000130662501407026i</v>
      </c>
      <c r="AM10" s="233" t="str">
        <f t="shared" si="16"/>
        <v>0.366666666665575-6.32629794691181E-07i</v>
      </c>
      <c r="AN10" s="233" t="str">
        <f t="shared" si="17"/>
        <v>0.005+0.0000116103826970385i</v>
      </c>
      <c r="AO10" s="233" t="str">
        <f t="shared" si="26"/>
        <v>2.79200928193388-0.000614536278969024i</v>
      </c>
      <c r="AP10" s="233">
        <f t="shared" si="27"/>
        <v>8.9183373653963844</v>
      </c>
      <c r="AQ10" s="233">
        <f t="shared" si="28"/>
        <v>-1.2611109426400783E-2</v>
      </c>
      <c r="AS10" s="233" t="str">
        <f t="shared" si="18"/>
        <v>0.378068739769671-6.72586769865296E-07i</v>
      </c>
      <c r="AT10" s="233" t="str">
        <f t="shared" si="29"/>
        <v>2.8332773718906-0.000631180888105194i</v>
      </c>
      <c r="AU10" s="233">
        <f t="shared" si="30"/>
        <v>9.0457820778788314</v>
      </c>
      <c r="AV10" s="233">
        <f t="shared" si="31"/>
        <v>-1.2764016950222666E-2</v>
      </c>
    </row>
    <row r="11" spans="1:48" x14ac:dyDescent="0.25">
      <c r="A11" s="139" t="s">
        <v>43</v>
      </c>
      <c r="B11" s="204">
        <f t="shared" si="32"/>
        <v>500000</v>
      </c>
      <c r="C11" s="205">
        <f>fsw</f>
        <v>500000</v>
      </c>
      <c r="D11" s="127" t="s">
        <v>267</v>
      </c>
      <c r="F11" s="233">
        <v>9</v>
      </c>
      <c r="G11" s="249">
        <f t="shared" si="0"/>
        <v>168.57957585906496</v>
      </c>
      <c r="H11" s="249">
        <f t="shared" si="1"/>
        <v>168.57881372500071</v>
      </c>
      <c r="I11" s="234">
        <f t="shared" si="2"/>
        <v>1</v>
      </c>
      <c r="J11" s="233">
        <f t="shared" si="19"/>
        <v>1</v>
      </c>
      <c r="K11" s="233">
        <f t="shared" si="20"/>
        <v>1</v>
      </c>
      <c r="L11" s="233">
        <f>10^('Small Signal'!F11/30)</f>
        <v>1.9952623149688797</v>
      </c>
      <c r="M11" s="233" t="str">
        <f t="shared" si="21"/>
        <v>12.5366028613816i</v>
      </c>
      <c r="N11" s="233">
        <f>IF(D$31=1, IF(AND('Small Signal'!$B$61&gt;=1,FCCM=0),V11+0,S11+0), 0)</f>
        <v>8.9183373390002281</v>
      </c>
      <c r="O11" s="233">
        <f>IF(D$31=1, IF(AND('Small Signal'!$B$61&gt;=1,FCCM=0),W11,T11), 0)</f>
        <v>-1.3617162704910622E-2</v>
      </c>
      <c r="P11" s="233">
        <f>IF(AND('Small Signal'!$B$61&gt;=1,FCCM=0),AF11+0,AC11+0)</f>
        <v>61.840025120043983</v>
      </c>
      <c r="Q11" s="233">
        <f>IF(AND('Small Signal'!$B$61&gt;=1,FCCM=0),AG11,AD11)</f>
        <v>173.82595285528473</v>
      </c>
      <c r="R11" s="233" t="str">
        <f>IMDIV(IMSUM('Small Signal'!$B$2*'Small Signal'!$B$38*'Small Signal'!$B$62,IMPRODUCT(M11,'Small Signal'!$B$2*'Small Signal'!$B$38*'Small Signal'!$B$62*'Small Signal'!$B$14*'Small Signal'!$B$15)),IMSUM(IMPRODUCT('Small Signal'!$B$12*'Small Signal'!$B$14*('Small Signal'!$B$15+'Small Signal'!$B$38),IMPOWER(M11,2)),IMSUM(IMPRODUCT(M11,('Small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2.37196757221083-0.000491899219972106i</v>
      </c>
      <c r="S11" s="233">
        <f t="shared" si="22"/>
        <v>8.9183373390002281</v>
      </c>
      <c r="T11" s="233">
        <f t="shared" si="23"/>
        <v>-1.3617162704910622E-2</v>
      </c>
      <c r="U11" s="233" t="str">
        <f>IMDIV(IMSUM('Small Signal'!$B$74,IMPRODUCT(M11,'Small Signal'!$B$75)),IMSUM(IMPRODUCT('Small Signal'!$B$78,IMPOWER(M11,2)),IMSUM(IMPRODUCT(M11,'Small Signal'!$B$77),'Small Signal'!$B$76)))</f>
        <v>1.68280855657195-0.00036261282459748i</v>
      </c>
      <c r="V11" s="233">
        <f t="shared" si="3"/>
        <v>4.5206944337815305</v>
      </c>
      <c r="W11" s="233">
        <f t="shared" si="4"/>
        <v>-1.2346136489534391E-2</v>
      </c>
      <c r="X11" s="233" t="str">
        <f>IMPRODUCT(IMDIV(IMSUM(IMPRODUCT(M11,'Small Signal'!$B$57*'Small Signal'!$B$6*'Small Signal'!$B$50*'Small Signal'!$B$7*'Small Signal'!$B$8),'Small Signal'!$B$57*'Small Signal'!$B$6*'Small Signal'!$B$50),IMSUM(IMSUM(IMPRODUCT(M11,('Small Signal'!$B$5+'Small Signal'!$B$6)*('Small Signal'!$B$56*'Small Signal'!$B$57)+'Small Signal'!$B$5*'Small Signal'!$B$57*('Small Signal'!$B$8+'Small Signal'!$B$9)+'Small Signal'!$B$6*'Small Signal'!$B$57*('Small Signal'!$B$8+'Small Signal'!$B$9)+'Small Signal'!$B$7*'Small Signal'!$B$8*('Small Signal'!$B$5+'Small Signal'!$B$6)),'Small Signal'!$B$6+'Small Signal'!$B$5),IMPRODUCT(IMPOWER(M11,2),'Small Signal'!$B$56*'Small Signal'!$B$57*'Small Signal'!$B$8*'Small Signal'!$B$7*('Small Signal'!$B$5+'Small Signal'!$B$6)+('Small Signal'!$B$5+'Small Signal'!$B$6)*('Small Signal'!$B$9*'Small Signal'!$B$8*'Small Signal'!$B$57*'Small Signal'!$B$7)))),-1)</f>
        <v>-440.117406743697+47.5107999443388i</v>
      </c>
      <c r="Y11" s="233">
        <f t="shared" si="5"/>
        <v>52.921687781043758</v>
      </c>
      <c r="Z11" s="233">
        <f t="shared" si="6"/>
        <v>173.83957001798962</v>
      </c>
      <c r="AA11" s="233" t="str">
        <f t="shared" si="7"/>
        <v>1.00000000015919+0.0000140828147879367i</v>
      </c>
      <c r="AB11" s="233" t="str">
        <f t="shared" si="8"/>
        <v>-1228.78222218412+132.925333584869i</v>
      </c>
      <c r="AC11" s="230">
        <f t="shared" si="24"/>
        <v>61.840025120043983</v>
      </c>
      <c r="AD11" s="233">
        <f t="shared" si="25"/>
        <v>173.82595285528473</v>
      </c>
      <c r="AE11" s="233" t="str">
        <f t="shared" si="9"/>
        <v>-740.616109939184+80.1111728919253i</v>
      </c>
      <c r="AF11" s="230">
        <f t="shared" si="10"/>
        <v>57.442382212581279</v>
      </c>
      <c r="AG11" s="233">
        <f t="shared" si="11"/>
        <v>173.82641699564923</v>
      </c>
      <c r="AI11" s="233" t="str">
        <f t="shared" si="12"/>
        <v>0.002-808.170472607226i</v>
      </c>
      <c r="AJ11" s="233">
        <f t="shared" si="13"/>
        <v>0.33750000000000002</v>
      </c>
      <c r="AK11" s="233" t="str">
        <f t="shared" si="14"/>
        <v>0.15-797664.256463329i</v>
      </c>
      <c r="AL11" s="233" t="str">
        <f t="shared" si="15"/>
        <v>0.33749994067252-0.000141086120116781i</v>
      </c>
      <c r="AM11" s="233" t="str">
        <f t="shared" si="16"/>
        <v>0.366666666665394-6.83097939255679E-07i</v>
      </c>
      <c r="AN11" s="233" t="str">
        <f t="shared" si="17"/>
        <v>0.005+0.0000125366028613816i</v>
      </c>
      <c r="AO11" s="233" t="str">
        <f t="shared" si="26"/>
        <v>2.79200926222803-0.000663561006348228i</v>
      </c>
      <c r="AP11" s="233">
        <f t="shared" si="27"/>
        <v>8.9183373390002281</v>
      </c>
      <c r="AQ11" s="233">
        <f t="shared" si="28"/>
        <v>-1.3617162704910622E-2</v>
      </c>
      <c r="AS11" s="233" t="str">
        <f t="shared" si="18"/>
        <v>0.378068739769472-7.26242488610388E-07i</v>
      </c>
      <c r="AT11" s="233" t="str">
        <f t="shared" si="29"/>
        <v>2.83327735128781-0.000681533441612961i</v>
      </c>
      <c r="AU11" s="233">
        <f t="shared" si="30"/>
        <v>9.0457820504775341</v>
      </c>
      <c r="AV11" s="233">
        <f t="shared" si="31"/>
        <v>-1.3782268449837381E-2</v>
      </c>
    </row>
    <row r="12" spans="1:48" x14ac:dyDescent="0.25">
      <c r="A12" s="139" t="s">
        <v>37</v>
      </c>
      <c r="B12" s="243">
        <f t="shared" si="32"/>
        <v>9.9999999999999995E-7</v>
      </c>
      <c r="C12" s="207">
        <f>L</f>
        <v>9.9999999999999995E-7</v>
      </c>
      <c r="D12" s="180" t="s">
        <v>268</v>
      </c>
      <c r="F12" s="233">
        <v>10</v>
      </c>
      <c r="G12" s="249">
        <f t="shared" si="0"/>
        <v>168.57963665843357</v>
      </c>
      <c r="H12" s="249">
        <f t="shared" si="1"/>
        <v>168.57881372500071</v>
      </c>
      <c r="I12" s="234">
        <f t="shared" si="2"/>
        <v>1</v>
      </c>
      <c r="J12" s="233">
        <f t="shared" si="19"/>
        <v>1</v>
      </c>
      <c r="K12" s="233">
        <f t="shared" si="20"/>
        <v>1</v>
      </c>
      <c r="L12" s="233">
        <f>10^('Small Signal'!F12/30)</f>
        <v>2.1544346900318838</v>
      </c>
      <c r="M12" s="233" t="str">
        <f t="shared" si="21"/>
        <v>13.5367123896863i</v>
      </c>
      <c r="N12" s="233">
        <f>IF(D$31=1, IF(AND('Small Signal'!$B$61&gt;=1,FCCM=0),V12+0,S12+0), 0)</f>
        <v>8.9183373082246113</v>
      </c>
      <c r="O12" s="233">
        <f>IF(D$31=1, IF(AND('Small Signal'!$B$61&gt;=1,FCCM=0),W12,T12), 0)</f>
        <v>-1.4703474041038944E-2</v>
      </c>
      <c r="P12" s="233">
        <f>IF(AND('Small Signal'!$B$61&gt;=1,FCCM=0),AF12+0,AC12+0)</f>
        <v>61.831668838461972</v>
      </c>
      <c r="Q12" s="233">
        <f>IF(AND('Small Signal'!$B$61&gt;=1,FCCM=0),AG12,AD12)</f>
        <v>173.33770655576421</v>
      </c>
      <c r="R12" s="233" t="str">
        <f>IMDIV(IMSUM('Small Signal'!$B$2*'Small Signal'!$B$38*'Small Signal'!$B$62,IMPRODUCT(M12,'Small Signal'!$B$2*'Small Signal'!$B$38*'Small Signal'!$B$62*'Small Signal'!$B$14*'Small Signal'!$B$15)),IMSUM(IMPRODUCT('Small Signal'!$B$12*'Small Signal'!$B$14*('Small Signal'!$B$15+'Small Signal'!$B$38),IMPOWER(M12,2)),IMSUM(IMPRODUCT(M12,('Small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2.37196755847716-0.000531140557742087i</v>
      </c>
      <c r="S12" s="233">
        <f t="shared" si="22"/>
        <v>8.9183373082246113</v>
      </c>
      <c r="T12" s="233">
        <f t="shared" si="23"/>
        <v>-1.4703474041038944E-2</v>
      </c>
      <c r="U12" s="233" t="str">
        <f>IMDIV(IMSUM('Small Signal'!$B$74,IMPRODUCT(M12,'Small Signal'!$B$75)),IMSUM(IMPRODUCT('Small Signal'!$B$78,IMPOWER(M12,2)),IMSUM(IMPRODUCT(M12,'Small Signal'!$B$77),'Small Signal'!$B$76)))</f>
        <v>1.68280854669525-0.000391540319970379i</v>
      </c>
      <c r="V12" s="233">
        <f t="shared" si="3"/>
        <v>4.5206944162593823</v>
      </c>
      <c r="W12" s="233">
        <f t="shared" si="4"/>
        <v>-1.3331051522611312E-2</v>
      </c>
      <c r="X12" s="233" t="str">
        <f>IMPRODUCT(IMDIV(IMSUM(IMPRODUCT(M12,'Small Signal'!$B$57*'Small Signal'!$B$6*'Small Signal'!$B$50*'Small Signal'!$B$7*'Small Signal'!$B$8),'Small Signal'!$B$57*'Small Signal'!$B$6*'Small Signal'!$B$50),IMSUM(IMSUM(IMPRODUCT(M12,('Small Signal'!$B$5+'Small Signal'!$B$6)*('Small Signal'!$B$56*'Small Signal'!$B$57)+'Small Signal'!$B$5*'Small Signal'!$B$57*('Small Signal'!$B$8+'Small Signal'!$B$9)+'Small Signal'!$B$6*'Small Signal'!$B$57*('Small Signal'!$B$8+'Small Signal'!$B$9)+'Small Signal'!$B$7*'Small Signal'!$B$8*('Small Signal'!$B$5+'Small Signal'!$B$6)),'Small Signal'!$B$6+'Small Signal'!$B$5),IMPRODUCT(IMPOWER(M12,2),'Small Signal'!$B$56*'Small Signal'!$B$57*'Small Signal'!$B$8*'Small Signal'!$B$7*('Small Signal'!$B$5+'Small Signal'!$B$6)+('Small Signal'!$B$5+'Small Signal'!$B$6)*('Small Signal'!$B$9*'Small Signal'!$B$8*'Small Signal'!$B$57*'Small Signal'!$B$7)))),-1)</f>
        <v>-439.274675512995+51.2023670042064i</v>
      </c>
      <c r="Y12" s="233">
        <f t="shared" si="5"/>
        <v>52.913331530237379</v>
      </c>
      <c r="Z12" s="233">
        <f t="shared" si="6"/>
        <v>173.35241002980527</v>
      </c>
      <c r="AA12" s="233" t="str">
        <f t="shared" si="7"/>
        <v>1.0000000001856+0.000015206273623353i</v>
      </c>
      <c r="AB12" s="233" t="str">
        <f t="shared" si="8"/>
        <v>-1226.42444513984+143.25357131163i</v>
      </c>
      <c r="AC12" s="230">
        <f t="shared" si="24"/>
        <v>61.831668838461972</v>
      </c>
      <c r="AD12" s="233">
        <f t="shared" si="25"/>
        <v>173.33770655576421</v>
      </c>
      <c r="AE12" s="233" t="str">
        <f t="shared" si="9"/>
        <v>-739.195130508891+86.3357745527106i</v>
      </c>
      <c r="AF12" s="230">
        <f t="shared" si="10"/>
        <v>57.434025943880435</v>
      </c>
      <c r="AG12" s="233">
        <f t="shared" si="11"/>
        <v>173.33820772298213</v>
      </c>
      <c r="AI12" s="233" t="str">
        <f t="shared" si="12"/>
        <v>0.002-748.461810202249i</v>
      </c>
      <c r="AJ12" s="233">
        <f t="shared" si="13"/>
        <v>0.33750000000000002</v>
      </c>
      <c r="AK12" s="233" t="str">
        <f t="shared" si="14"/>
        <v>0.15-738731.806669621i</v>
      </c>
      <c r="AL12" s="233" t="str">
        <f t="shared" si="15"/>
        <v>0.337499930829239-0.000152341283781929i</v>
      </c>
      <c r="AM12" s="233" t="str">
        <f t="shared" si="16"/>
        <v>0.366666666665183-7.37592188245101E-07i</v>
      </c>
      <c r="AN12" s="233" t="str">
        <f t="shared" si="17"/>
        <v>0.005+0.0000135367123896863i</v>
      </c>
      <c r="AO12" s="233" t="str">
        <f t="shared" si="26"/>
        <v>2.79200923925271-0.000716496688268233i</v>
      </c>
      <c r="AP12" s="233">
        <f t="shared" si="27"/>
        <v>8.9183373082246113</v>
      </c>
      <c r="AQ12" s="233">
        <f t="shared" si="28"/>
        <v>-1.4703474041038944E-2</v>
      </c>
      <c r="AS12" s="233" t="str">
        <f t="shared" si="18"/>
        <v>0.378068739769241-7.84178601028084E-07i</v>
      </c>
      <c r="AT12" s="233" t="str">
        <f t="shared" si="29"/>
        <v>2.83327732726676-0.000735902877137311i</v>
      </c>
      <c r="AU12" s="233">
        <f t="shared" si="30"/>
        <v>9.0457820185300868</v>
      </c>
      <c r="AV12" s="233">
        <f t="shared" si="31"/>
        <v>-1.4881751121769288E-2</v>
      </c>
    </row>
    <row r="13" spans="1:48" x14ac:dyDescent="0.25">
      <c r="A13" s="139" t="s">
        <v>17</v>
      </c>
      <c r="B13" s="204">
        <f t="shared" si="32"/>
        <v>5.0000000000000001E-3</v>
      </c>
      <c r="C13" s="181">
        <f>Rdc</f>
        <v>5.0000000000000001E-3</v>
      </c>
      <c r="D13" s="127" t="s">
        <v>120</v>
      </c>
      <c r="F13" s="233">
        <v>11</v>
      </c>
      <c r="G13" s="249">
        <f t="shared" si="0"/>
        <v>168.57970230808172</v>
      </c>
      <c r="H13" s="249">
        <f t="shared" si="1"/>
        <v>168.57881372500071</v>
      </c>
      <c r="I13" s="234">
        <f t="shared" si="2"/>
        <v>1</v>
      </c>
      <c r="J13" s="233">
        <f t="shared" si="19"/>
        <v>1</v>
      </c>
      <c r="K13" s="233">
        <f t="shared" si="20"/>
        <v>1</v>
      </c>
      <c r="L13" s="233">
        <f>10^('Small Signal'!F13/30)</f>
        <v>2.3263050671536263</v>
      </c>
      <c r="M13" s="233" t="str">
        <f t="shared" si="21"/>
        <v>14.6166058179571i</v>
      </c>
      <c r="N13" s="233">
        <f>IF(D$31=1, IF(AND('Small Signal'!$B$61&gt;=1,FCCM=0),V13+0,S13+0), 0)</f>
        <v>8.9183372723428356</v>
      </c>
      <c r="O13" s="233">
        <f>IF(D$31=1, IF(AND('Small Signal'!$B$61&gt;=1,FCCM=0),W13,T13), 0)</f>
        <v>-1.5876446032811301E-2</v>
      </c>
      <c r="P13" s="233">
        <f>IF(AND('Small Signal'!$B$61&gt;=1,FCCM=0),AF13+0,AC13+0)</f>
        <v>61.821946387736105</v>
      </c>
      <c r="Q13" s="233">
        <f>IF(AND('Small Signal'!$B$61&gt;=1,FCCM=0),AG13,AD13)</f>
        <v>172.81160745936768</v>
      </c>
      <c r="R13" s="233" t="str">
        <f>IMDIV(IMSUM('Small Signal'!$B$2*'Small Signal'!$B$38*'Small Signal'!$B$62,IMPRODUCT(M13,'Small Signal'!$B$2*'Small Signal'!$B$38*'Small Signal'!$B$62*'Small Signal'!$B$14*'Small Signal'!$B$15)),IMSUM(IMPRODUCT('Small Signal'!$B$12*'Small Signal'!$B$14*('Small Signal'!$B$15+'Small Signal'!$B$38),IMPOWER(M13,2)),IMSUM(IMPRODUCT(M13,('Small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2.37196754246486-0.000573512378993586i</v>
      </c>
      <c r="S13" s="233">
        <f t="shared" si="22"/>
        <v>8.9183372723428356</v>
      </c>
      <c r="T13" s="233">
        <f t="shared" si="23"/>
        <v>-1.5876446032811301E-2</v>
      </c>
      <c r="U13" s="233" t="str">
        <f>IMDIV(IMSUM('Small Signal'!$B$74,IMPRODUCT(M13,'Small Signal'!$B$75)),IMSUM(IMPRODUCT('Small Signal'!$B$78,IMPOWER(M13,2)),IMSUM(IMPRODUCT(M13,'Small Signal'!$B$77),'Small Signal'!$B$76)))</f>
        <v>1.68280853517986-0.000422775510575502i</v>
      </c>
      <c r="V13" s="233">
        <f t="shared" si="3"/>
        <v>4.5206943958300378</v>
      </c>
      <c r="W13" s="233">
        <f t="shared" si="4"/>
        <v>-1.4394538309872678E-2</v>
      </c>
      <c r="X13" s="233" t="str">
        <f>IMPRODUCT(IMDIV(IMSUM(IMPRODUCT(M13,'Small Signal'!$B$57*'Small Signal'!$B$6*'Small Signal'!$B$50*'Small Signal'!$B$7*'Small Signal'!$B$8),'Small Signal'!$B$57*'Small Signal'!$B$6*'Small Signal'!$B$50),IMSUM(IMSUM(IMPRODUCT(M13,('Small Signal'!$B$5+'Small Signal'!$B$6)*('Small Signal'!$B$56*'Small Signal'!$B$57)+'Small Signal'!$B$5*'Small Signal'!$B$57*('Small Signal'!$B$8+'Small Signal'!$B$9)+'Small Signal'!$B$6*'Small Signal'!$B$57*('Small Signal'!$B$8+'Small Signal'!$B$9)+'Small Signal'!$B$7*'Small Signal'!$B$8*('Small Signal'!$B$5+'Small Signal'!$B$6)),'Small Signal'!$B$6+'Small Signal'!$B$5),IMPRODUCT(IMPOWER(M13,2),'Small Signal'!$B$56*'Small Signal'!$B$57*'Small Signal'!$B$8*'Small Signal'!$B$7*('Small Signal'!$B$5+'Small Signal'!$B$6)+('Small Signal'!$B$5+'Small Signal'!$B$6)*('Small Signal'!$B$9*'Small Signal'!$B$8*'Small Signal'!$B$57*'Small Signal'!$B$7)))),-1)</f>
        <v>-438.296204733695+55.1634113044539i</v>
      </c>
      <c r="Y13" s="233">
        <f t="shared" si="5"/>
        <v>52.903609115393301</v>
      </c>
      <c r="Z13" s="233">
        <f t="shared" si="6"/>
        <v>172.8274839054005</v>
      </c>
      <c r="AA13" s="233" t="str">
        <f t="shared" si="7"/>
        <v>1.0000000002164+0.0000164193565696498i</v>
      </c>
      <c r="AB13" s="233" t="str">
        <f t="shared" si="8"/>
        <v>-1223.68689862683+154.33575066774i</v>
      </c>
      <c r="AC13" s="230">
        <f t="shared" si="24"/>
        <v>61.821946387736105</v>
      </c>
      <c r="AD13" s="233">
        <f t="shared" si="25"/>
        <v>172.81160745936768</v>
      </c>
      <c r="AE13" s="233" t="str">
        <f t="shared" si="9"/>
        <v>-737.545272523422+93.0147602745118i</v>
      </c>
      <c r="AF13" s="230">
        <f t="shared" si="10"/>
        <v>57.424303508172876</v>
      </c>
      <c r="AG13" s="233">
        <f t="shared" si="11"/>
        <v>172.81214860725714</v>
      </c>
      <c r="AI13" s="233" t="str">
        <f t="shared" si="12"/>
        <v>0.002-693.164499717477i</v>
      </c>
      <c r="AJ13" s="233">
        <f t="shared" si="13"/>
        <v>0.33750000000000002</v>
      </c>
      <c r="AK13" s="233" t="str">
        <f t="shared" si="14"/>
        <v>0.15-684153.361221152i</v>
      </c>
      <c r="AL13" s="233" t="str">
        <f t="shared" si="15"/>
        <v>0.337499919352816-0.000164494328798261i</v>
      </c>
      <c r="AM13" s="233" t="str">
        <f t="shared" si="16"/>
        <v>0.366666666664937-7.9643372479347E-07i</v>
      </c>
      <c r="AN13" s="233" t="str">
        <f t="shared" si="17"/>
        <v>0.005+0.0000146166058179571i</v>
      </c>
      <c r="AO13" s="233" t="str">
        <f t="shared" si="26"/>
        <v>2.79200921246544-0.000773655321492105i</v>
      </c>
      <c r="AP13" s="233">
        <f t="shared" si="27"/>
        <v>8.9183372723428356</v>
      </c>
      <c r="AQ13" s="233">
        <f t="shared" si="28"/>
        <v>-1.5876446032811301E-2</v>
      </c>
      <c r="AS13" s="233" t="str">
        <f t="shared" si="18"/>
        <v>0.378068739768971-8.46736576218412E-07i</v>
      </c>
      <c r="AT13" s="233" t="str">
        <f t="shared" si="29"/>
        <v>2.83327729926024-0.000794609641804966i</v>
      </c>
      <c r="AU13" s="233">
        <f t="shared" si="30"/>
        <v>9.0457819812819977</v>
      </c>
      <c r="AV13" s="233">
        <f t="shared" si="31"/>
        <v>-1.6068945194331209E-2</v>
      </c>
    </row>
    <row r="14" spans="1:48" x14ac:dyDescent="0.25">
      <c r="A14" s="139" t="s">
        <v>35</v>
      </c>
      <c r="B14" s="243">
        <f t="shared" si="32"/>
        <v>9.8699999999999987E-5</v>
      </c>
      <c r="C14" s="207">
        <f>Co</f>
        <v>9.8699999999999987E-5</v>
      </c>
      <c r="D14" s="180" t="s">
        <v>269</v>
      </c>
      <c r="F14" s="233">
        <v>12</v>
      </c>
      <c r="G14" s="249">
        <f t="shared" si="0"/>
        <v>168.5797731949412</v>
      </c>
      <c r="H14" s="249">
        <f t="shared" si="1"/>
        <v>168.57881372500071</v>
      </c>
      <c r="I14" s="234">
        <f t="shared" si="2"/>
        <v>1</v>
      </c>
      <c r="J14" s="233">
        <f t="shared" si="19"/>
        <v>1</v>
      </c>
      <c r="K14" s="233">
        <f t="shared" si="20"/>
        <v>1</v>
      </c>
      <c r="L14" s="233">
        <f>10^('Small Signal'!F14/30)</f>
        <v>2.5118864315095806</v>
      </c>
      <c r="M14" s="233" t="str">
        <f t="shared" si="21"/>
        <v>15.7826479197648i</v>
      </c>
      <c r="N14" s="233">
        <f>IF(D$31=1, IF(AND('Small Signal'!$B$61&gt;=1,FCCM=0),V14+0,S14+0), 0)</f>
        <v>8.9183372305077349</v>
      </c>
      <c r="O14" s="233">
        <f>IF(D$31=1, IF(AND('Small Signal'!$B$61&gt;=1,FCCM=0),W14,T14), 0)</f>
        <v>-1.7142992046147693E-2</v>
      </c>
      <c r="P14" s="233">
        <f>IF(AND('Small Signal'!$B$61&gt;=1,FCCM=0),AF14+0,AC14+0)</f>
        <v>61.81063825672905</v>
      </c>
      <c r="Q14" s="233">
        <f>IF(AND('Small Signal'!$B$61&gt;=1,FCCM=0),AG14,AD14)</f>
        <v>172.24491371703556</v>
      </c>
      <c r="R14" s="233" t="str">
        <f>IMDIV(IMSUM('Small Signal'!$B$2*'Small Signal'!$B$38*'Small Signal'!$B$62,IMPRODUCT(M14,'Small Signal'!$B$2*'Small Signal'!$B$38*'Small Signal'!$B$62*'Small Signal'!$B$14*'Small Signal'!$B$15)),IMSUM(IMPRODUCT('Small Signal'!$B$12*'Small Signal'!$B$14*('Small Signal'!$B$15+'Small Signal'!$B$38),IMPOWER(M14,2)),IMSUM(IMPRODUCT(M14,('Small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2.3719675237959-0.000619264418396817i</v>
      </c>
      <c r="S14" s="233">
        <f t="shared" si="22"/>
        <v>8.9183372305077349</v>
      </c>
      <c r="T14" s="233">
        <f t="shared" si="23"/>
        <v>-1.7142992046147693E-2</v>
      </c>
      <c r="U14" s="233" t="str">
        <f>IMDIV(IMSUM('Small Signal'!$B$74,IMPRODUCT(M14,'Small Signal'!$B$75)),IMSUM(IMPRODUCT('Small Signal'!$B$78,IMPOWER(M14,2)),IMSUM(IMPRODUCT(M14,'Small Signal'!$B$77),'Small Signal'!$B$76)))</f>
        <v>1.6828085217539-0.00045650249306923i</v>
      </c>
      <c r="V14" s="233">
        <f t="shared" si="3"/>
        <v>4.5206943720111674</v>
      </c>
      <c r="W14" s="233">
        <f t="shared" si="4"/>
        <v>-1.5542864925125712E-2</v>
      </c>
      <c r="X14" s="233" t="str">
        <f>IMPRODUCT(IMDIV(IMSUM(IMPRODUCT(M14,'Small Signal'!$B$57*'Small Signal'!$B$6*'Small Signal'!$B$50*'Small Signal'!$B$7*'Small Signal'!$B$8),'Small Signal'!$B$57*'Small Signal'!$B$6*'Small Signal'!$B$50),IMSUM(IMSUM(IMPRODUCT(M14,('Small Signal'!$B$5+'Small Signal'!$B$6)*('Small Signal'!$B$56*'Small Signal'!$B$57)+'Small Signal'!$B$5*'Small Signal'!$B$57*('Small Signal'!$B$8+'Small Signal'!$B$9)+'Small Signal'!$B$6*'Small Signal'!$B$57*('Small Signal'!$B$8+'Small Signal'!$B$9)+'Small Signal'!$B$7*'Small Signal'!$B$8*('Small Signal'!$B$5+'Small Signal'!$B$6)),'Small Signal'!$B$6+'Small Signal'!$B$5),IMPRODUCT(IMPOWER(M14,2),'Small Signal'!$B$56*'Small Signal'!$B$57*'Small Signal'!$B$8*'Small Signal'!$B$7*('Small Signal'!$B$5+'Small Signal'!$B$6)+('Small Signal'!$B$5+'Small Signal'!$B$6)*('Small Signal'!$B$9*'Small Signal'!$B$8*'Small Signal'!$B$57*'Small Signal'!$B$7)))),-1)</f>
        <v>-437.160902626512+59.4091887639787i</v>
      </c>
      <c r="Y14" s="233">
        <f t="shared" si="5"/>
        <v>52.892301026221304</v>
      </c>
      <c r="Z14" s="233">
        <f t="shared" si="6"/>
        <v>172.26205670908169</v>
      </c>
      <c r="AA14" s="233" t="str">
        <f t="shared" si="7"/>
        <v>1.0000000002523+0.0000177292134047992i</v>
      </c>
      <c r="AB14" s="233" t="str">
        <f t="shared" si="8"/>
        <v>-1220.51057247523+166.21455464155i</v>
      </c>
      <c r="AC14" s="230">
        <f t="shared" si="24"/>
        <v>61.81063825672905</v>
      </c>
      <c r="AD14" s="233">
        <f t="shared" si="25"/>
        <v>172.24491371703556</v>
      </c>
      <c r="AE14" s="233" t="str">
        <f t="shared" si="9"/>
        <v>-735.630971874739+100.173854164431i</v>
      </c>
      <c r="AF14" s="230">
        <f t="shared" si="10"/>
        <v>57.412995394675917</v>
      </c>
      <c r="AG14" s="233">
        <f t="shared" si="11"/>
        <v>172.24549803505474</v>
      </c>
      <c r="AI14" s="233" t="str">
        <f t="shared" si="12"/>
        <v>0.002-641.952624862381i</v>
      </c>
      <c r="AJ14" s="233">
        <f t="shared" si="13"/>
        <v>0.33750000000000002</v>
      </c>
      <c r="AK14" s="233" t="str">
        <f t="shared" si="14"/>
        <v>0.15-633607.240739172i</v>
      </c>
      <c r="AL14" s="233" t="str">
        <f t="shared" si="15"/>
        <v>0.33749990597229-0.000177616883496681i</v>
      </c>
      <c r="AM14" s="233" t="str">
        <f t="shared" si="16"/>
        <v>0.36666666666465-8.59969354471463E-07i</v>
      </c>
      <c r="AN14" s="233" t="str">
        <f t="shared" si="17"/>
        <v>0.005+0.0000157826479197648i</v>
      </c>
      <c r="AO14" s="233" t="str">
        <f t="shared" si="26"/>
        <v>2.79200918123377-0.000835373792305293i</v>
      </c>
      <c r="AP14" s="233">
        <f t="shared" si="27"/>
        <v>8.9183372305077349</v>
      </c>
      <c r="AQ14" s="233">
        <f t="shared" si="28"/>
        <v>-1.7142992046147693E-2</v>
      </c>
      <c r="AS14" s="233" t="str">
        <f t="shared" si="18"/>
        <v>0.378068739768656-9.14285124034287E-07i</v>
      </c>
      <c r="AT14" s="233" t="str">
        <f t="shared" si="29"/>
        <v>2.83327726660704-0.000857999746389544i</v>
      </c>
      <c r="AU14" s="233">
        <f t="shared" si="30"/>
        <v>9.0457819378539295</v>
      </c>
      <c r="AV14" s="233">
        <f t="shared" si="31"/>
        <v>-1.7350847856674373E-2</v>
      </c>
    </row>
    <row r="15" spans="1:48" x14ac:dyDescent="0.25">
      <c r="A15" s="139" t="s">
        <v>80</v>
      </c>
      <c r="B15" s="204">
        <f t="shared" si="32"/>
        <v>2E-3</v>
      </c>
      <c r="C15" s="181">
        <f>ESR</f>
        <v>2E-3</v>
      </c>
      <c r="D15" s="127" t="s">
        <v>120</v>
      </c>
      <c r="F15" s="233">
        <v>13</v>
      </c>
      <c r="G15" s="249">
        <f t="shared" si="0"/>
        <v>168.57984973681135</v>
      </c>
      <c r="H15" s="249">
        <f t="shared" si="1"/>
        <v>168.57881372500071</v>
      </c>
      <c r="I15" s="234">
        <f t="shared" si="2"/>
        <v>1</v>
      </c>
      <c r="J15" s="233">
        <f t="shared" si="19"/>
        <v>1</v>
      </c>
      <c r="K15" s="233">
        <f t="shared" si="20"/>
        <v>1</v>
      </c>
      <c r="L15" s="233">
        <f>10^('Small Signal'!F15/30)</f>
        <v>2.7122725793320286</v>
      </c>
      <c r="M15" s="233" t="str">
        <f t="shared" si="21"/>
        <v>17.0417112195251i</v>
      </c>
      <c r="N15" s="233">
        <f>IF(D$31=1, IF(AND('Small Signal'!$B$61&gt;=1,FCCM=0),V15+0,S15+0), 0)</f>
        <v>8.9183371817316335</v>
      </c>
      <c r="O15" s="233">
        <f>IF(D$31=1, IF(AND('Small Signal'!$B$61&gt;=1,FCCM=0),W15,T15), 0)</f>
        <v>-1.8510576961352408E-2</v>
      </c>
      <c r="P15" s="233">
        <f>IF(AND('Small Signal'!$B$61&gt;=1,FCCM=0),AF15+0,AC15+0)</f>
        <v>61.797491014736025</v>
      </c>
      <c r="Q15" s="233">
        <f>IF(AND('Small Signal'!$B$61&gt;=1,FCCM=0),AG15,AD15)</f>
        <v>171.63473385539896</v>
      </c>
      <c r="R15" s="233" t="str">
        <f>IMDIV(IMSUM('Small Signal'!$B$2*'Small Signal'!$B$38*'Small Signal'!$B$62,IMPRODUCT(M15,'Small Signal'!$B$2*'Small Signal'!$B$38*'Small Signal'!$B$62*'Small Signal'!$B$14*'Small Signal'!$B$15)),IMSUM(IMPRODUCT('Small Signal'!$B$12*'Small Signal'!$B$14*('Small Signal'!$B$15+'Small Signal'!$B$38),IMPOWER(M15,2)),IMSUM(IMPRODUCT(M15,('Small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2.37196750202948-0.000668666333205002i</v>
      </c>
      <c r="S15" s="233">
        <f t="shared" si="22"/>
        <v>8.9183371817316335</v>
      </c>
      <c r="T15" s="233">
        <f t="shared" si="23"/>
        <v>-1.8510576961352408E-2</v>
      </c>
      <c r="U15" s="233" t="str">
        <f>IMDIV(IMSUM('Small Signal'!$B$74,IMPRODUCT(M15,'Small Signal'!$B$75)),IMSUM(IMPRODUCT('Small Signal'!$B$78,IMPOWER(M15,2)),IMSUM(IMPRODUCT(M15,'Small Signal'!$B$77),'Small Signal'!$B$76)))</f>
        <v>1.68280850610038-0.000492920050421335i</v>
      </c>
      <c r="V15" s="233">
        <f t="shared" si="3"/>
        <v>4.5206943442404004</v>
      </c>
      <c r="W15" s="233">
        <f t="shared" si="4"/>
        <v>-1.6782799478619052E-2</v>
      </c>
      <c r="X15" s="233" t="str">
        <f>IMPRODUCT(IMDIV(IMSUM(IMPRODUCT(M15,'Small Signal'!$B$57*'Small Signal'!$B$6*'Small Signal'!$B$50*'Small Signal'!$B$7*'Small Signal'!$B$8),'Small Signal'!$B$57*'Small Signal'!$B$6*'Small Signal'!$B$50),IMSUM(IMSUM(IMPRODUCT(M15,('Small Signal'!$B$5+'Small Signal'!$B$6)*('Small Signal'!$B$56*'Small Signal'!$B$57)+'Small Signal'!$B$5*'Small Signal'!$B$57*('Small Signal'!$B$8+'Small Signal'!$B$9)+'Small Signal'!$B$6*'Small Signal'!$B$57*('Small Signal'!$B$8+'Small Signal'!$B$9)+'Small Signal'!$B$7*'Small Signal'!$B$8*('Small Signal'!$B$5+'Small Signal'!$B$6)),'Small Signal'!$B$6+'Small Signal'!$B$5),IMPRODUCT(IMPOWER(M15,2),'Small Signal'!$B$56*'Small Signal'!$B$57*'Small Signal'!$B$8*'Small Signal'!$B$7*('Small Signal'!$B$5+'Small Signal'!$B$6)+('Small Signal'!$B$5+'Small Signal'!$B$6)*('Small Signal'!$B$9*'Small Signal'!$B$8*'Small Signal'!$B$57*'Small Signal'!$B$7)))),-1)</f>
        <v>-435.844670326767+63.95466314488i</v>
      </c>
      <c r="Y15" s="233">
        <f t="shared" si="5"/>
        <v>52.879153833004416</v>
      </c>
      <c r="Z15" s="233">
        <f t="shared" si="6"/>
        <v>171.65324443236031</v>
      </c>
      <c r="AA15" s="233" t="str">
        <f t="shared" si="7"/>
        <v>1.00000000029416+0.0000191435642814665i</v>
      </c>
      <c r="AB15" s="233" t="str">
        <f t="shared" si="8"/>
        <v>-1216.82804335015+178.931848852803i</v>
      </c>
      <c r="AC15" s="230">
        <f t="shared" si="24"/>
        <v>61.797491014736025</v>
      </c>
      <c r="AD15" s="233">
        <f t="shared" si="25"/>
        <v>171.63473385539896</v>
      </c>
      <c r="AE15" s="233" t="str">
        <f t="shared" si="9"/>
        <v>-733.411594028617+107.838287721862i</v>
      </c>
      <c r="AF15" s="230">
        <f t="shared" si="10"/>
        <v>57.399848173098185</v>
      </c>
      <c r="AG15" s="233">
        <f t="shared" si="11"/>
        <v>171.63536478744399</v>
      </c>
      <c r="AI15" s="233" t="str">
        <f t="shared" si="12"/>
        <v>0.002-594.52434845649i</v>
      </c>
      <c r="AJ15" s="233">
        <f t="shared" si="13"/>
        <v>0.33750000000000002</v>
      </c>
      <c r="AK15" s="233" t="str">
        <f t="shared" si="14"/>
        <v>0.15-586795.531926557i</v>
      </c>
      <c r="AL15" s="233" t="str">
        <f t="shared" si="15"/>
        <v>0.337499890371744-0.000191786290292236i</v>
      </c>
      <c r="AM15" s="233" t="str">
        <f t="shared" si="16"/>
        <v>0.366666666664315-9.28573549320427E-07i</v>
      </c>
      <c r="AN15" s="233" t="str">
        <f t="shared" si="17"/>
        <v>0.005+0.0000170417112195251i</v>
      </c>
      <c r="AO15" s="233" t="str">
        <f t="shared" si="26"/>
        <v>2.79200914482033-0.000902015862063294i</v>
      </c>
      <c r="AP15" s="233">
        <f t="shared" si="27"/>
        <v>8.9183371817316335</v>
      </c>
      <c r="AQ15" s="233">
        <f t="shared" si="28"/>
        <v>-1.8510576961352408E-2</v>
      </c>
      <c r="AS15" s="233" t="str">
        <f t="shared" si="18"/>
        <v>0.378068739768289-9.87222368216969E-07i</v>
      </c>
      <c r="AT15" s="233" t="str">
        <f t="shared" si="29"/>
        <v>2.83327722853621-0.000926446804636367i</v>
      </c>
      <c r="AU15" s="233">
        <f t="shared" si="30"/>
        <v>9.0457818872205369</v>
      </c>
      <c r="AV15" s="233">
        <f t="shared" si="31"/>
        <v>-1.8735014499314601E-2</v>
      </c>
    </row>
    <row r="16" spans="1:48" x14ac:dyDescent="0.25">
      <c r="A16" s="139" t="s">
        <v>352</v>
      </c>
      <c r="B16" s="243">
        <f t="shared" si="32"/>
        <v>9.9999999999999995E-8</v>
      </c>
      <c r="C16" s="207">
        <f>Co_2</f>
        <v>9.9999999999999995E-8</v>
      </c>
      <c r="D16" s="180" t="s">
        <v>269</v>
      </c>
      <c r="F16" s="233">
        <v>14</v>
      </c>
      <c r="G16" s="249">
        <f t="shared" si="0"/>
        <v>168.5799323848216</v>
      </c>
      <c r="H16" s="249">
        <f t="shared" si="1"/>
        <v>168.57881372500071</v>
      </c>
      <c r="I16" s="234">
        <f t="shared" si="2"/>
        <v>1</v>
      </c>
      <c r="J16" s="233">
        <f t="shared" si="19"/>
        <v>1</v>
      </c>
      <c r="K16" s="233">
        <f t="shared" si="20"/>
        <v>1</v>
      </c>
      <c r="L16" s="233">
        <f>10^('Small Signal'!F16/30)</f>
        <v>2.9286445646252366</v>
      </c>
      <c r="M16" s="233" t="str">
        <f t="shared" si="21"/>
        <v>18.4012164984046i</v>
      </c>
      <c r="N16" s="233">
        <f>IF(D$31=1, IF(AND('Small Signal'!$B$61&gt;=1,FCCM=0),V16+0,S16+0), 0)</f>
        <v>8.9183371248629424</v>
      </c>
      <c r="O16" s="233">
        <f>IF(D$31=1, IF(AND('Small Signal'!$B$61&gt;=1,FCCM=0),W16,T16), 0)</f>
        <v>-1.9987261170130988E-2</v>
      </c>
      <c r="P16" s="233">
        <f>IF(AND('Small Signal'!$B$61&gt;=1,FCCM=0),AF16+0,AC16+0)</f>
        <v>61.782212541933802</v>
      </c>
      <c r="Q16" s="233">
        <f>IF(AND('Small Signal'!$B$61&gt;=1,FCCM=0),AG16,AD16)</f>
        <v>170.97803145225274</v>
      </c>
      <c r="R16" s="233" t="str">
        <f>IMDIV(IMSUM('Small Signal'!$B$2*'Small Signal'!$B$38*'Small Signal'!$B$62,IMPRODUCT(M16,'Small Signal'!$B$2*'Small Signal'!$B$38*'Small Signal'!$B$62*'Small Signal'!$B$14*'Small Signal'!$B$15)),IMSUM(IMPRODUCT('Small Signal'!$B$12*'Small Signal'!$B$14*('Small Signal'!$B$15+'Small Signal'!$B$38),IMPOWER(M16,2)),IMSUM(IMPRODUCT(M16,('Small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2.37196747665171-0.000722009292571118i</v>
      </c>
      <c r="S16" s="233">
        <f t="shared" si="22"/>
        <v>8.9183371248629424</v>
      </c>
      <c r="T16" s="233">
        <f t="shared" si="23"/>
        <v>-1.9987261170130988E-2</v>
      </c>
      <c r="U16" s="233" t="str">
        <f>IMDIV(IMSUM('Small Signal'!$B$74,IMPRODUCT(M16,'Small Signal'!$B$75)),IMSUM(IMPRODUCT('Small Signal'!$B$78,IMPOWER(M16,2)),IMSUM(IMPRODUCT(M16,'Small Signal'!$B$77),'Small Signal'!$B$76)))</f>
        <v>1.68280848784972-0.000532242823510924i</v>
      </c>
      <c r="V16" s="233">
        <f t="shared" si="3"/>
        <v>4.520694311862087</v>
      </c>
      <c r="W16" s="233">
        <f t="shared" si="4"/>
        <v>-1.8121650007487389E-2</v>
      </c>
      <c r="X16" s="233" t="str">
        <f>IMPRODUCT(IMDIV(IMSUM(IMPRODUCT(M16,'Small Signal'!$B$57*'Small Signal'!$B$6*'Small Signal'!$B$50*'Small Signal'!$B$7*'Small Signal'!$B$8),'Small Signal'!$B$57*'Small Signal'!$B$6*'Small Signal'!$B$50),IMSUM(IMSUM(IMPRODUCT(M16,('Small Signal'!$B$5+'Small Signal'!$B$6)*('Small Signal'!$B$56*'Small Signal'!$B$57)+'Small Signal'!$B$5*'Small Signal'!$B$57*('Small Signal'!$B$8+'Small Signal'!$B$9)+'Small Signal'!$B$6*'Small Signal'!$B$57*('Small Signal'!$B$8+'Small Signal'!$B$9)+'Small Signal'!$B$7*'Small Signal'!$B$8*('Small Signal'!$B$5+'Small Signal'!$B$6)),'Small Signal'!$B$6+'Small Signal'!$B$5),IMPRODUCT(IMPOWER(M16,2),'Small Signal'!$B$56*'Small Signal'!$B$57*'Small Signal'!$B$8*'Small Signal'!$B$7*('Small Signal'!$B$5+'Small Signal'!$B$6)+('Small Signal'!$B$5+'Small Signal'!$B$6)*('Small Signal'!$B$9*'Small Signal'!$B$8*'Small Signal'!$B$57*'Small Signal'!$B$7)))),-1)</f>
        <v>-434.320067906028+68.8141395557514i</v>
      </c>
      <c r="Y16" s="233">
        <f t="shared" si="5"/>
        <v>52.863875417070851</v>
      </c>
      <c r="Z16" s="233">
        <f t="shared" si="6"/>
        <v>170.99801871342285</v>
      </c>
      <c r="AA16" s="233" t="str">
        <f t="shared" si="7"/>
        <v>1.00000000034296+0.0000206707452287416i</v>
      </c>
      <c r="AB16" s="233" t="str">
        <f t="shared" si="8"/>
        <v>-1212.56254035351+192.527656177025i</v>
      </c>
      <c r="AC16" s="230">
        <f t="shared" si="24"/>
        <v>61.782212541933802</v>
      </c>
      <c r="AD16" s="233">
        <f t="shared" si="25"/>
        <v>170.97803145225274</v>
      </c>
      <c r="AE16" s="233" t="str">
        <f t="shared" si="9"/>
        <v>-730.840870883796+116.032181867743i</v>
      </c>
      <c r="AF16" s="230">
        <f t="shared" si="10"/>
        <v>57.384569724098363</v>
      </c>
      <c r="AG16" s="233">
        <f t="shared" si="11"/>
        <v>170.97871271695496</v>
      </c>
      <c r="AI16" s="233" t="str">
        <f t="shared" si="12"/>
        <v>0.002-550.600133434128i</v>
      </c>
      <c r="AJ16" s="233">
        <f t="shared" si="13"/>
        <v>0.33750000000000002</v>
      </c>
      <c r="AK16" s="233" t="str">
        <f t="shared" si="14"/>
        <v>0.15-543442.331699483i</v>
      </c>
      <c r="AL16" s="233" t="str">
        <f t="shared" si="15"/>
        <v>0.337499872182846-0.000207086061506019i</v>
      </c>
      <c r="AM16" s="233" t="str">
        <f t="shared" si="16"/>
        <v>0.366666666663925-1.00265065494961E-06i</v>
      </c>
      <c r="AN16" s="233" t="str">
        <f t="shared" si="17"/>
        <v>0.005+0.0000184012164984046i</v>
      </c>
      <c r="AO16" s="233" t="str">
        <f t="shared" si="26"/>
        <v>2.7920091023654-0.00097397431113182i</v>
      </c>
      <c r="AP16" s="233">
        <f t="shared" si="27"/>
        <v>8.9183371248629424</v>
      </c>
      <c r="AQ16" s="233">
        <f t="shared" si="28"/>
        <v>-1.9987261170130988E-2</v>
      </c>
      <c r="AS16" s="233" t="str">
        <f t="shared" si="18"/>
        <v>0.378068739767862-1.06597819289382E-06i</v>
      </c>
      <c r="AT16" s="233" t="str">
        <f t="shared" si="29"/>
        <v>2.8332771841489-0.00100035423526967i</v>
      </c>
      <c r="AU16" s="233">
        <f t="shared" si="30"/>
        <v>9.0457818281863904</v>
      </c>
      <c r="AV16" s="233">
        <f t="shared" si="31"/>
        <v>-2.0229603244597348E-2</v>
      </c>
    </row>
    <row r="17" spans="1:48" x14ac:dyDescent="0.25">
      <c r="A17" s="139" t="s">
        <v>353</v>
      </c>
      <c r="B17" s="204">
        <f t="shared" si="32"/>
        <v>0.15</v>
      </c>
      <c r="C17" s="181">
        <f>ESR_2</f>
        <v>0.15</v>
      </c>
      <c r="D17" s="127" t="s">
        <v>120</v>
      </c>
      <c r="F17" s="233">
        <v>15</v>
      </c>
      <c r="G17" s="249">
        <f t="shared" si="0"/>
        <v>168.58002162609029</v>
      </c>
      <c r="H17" s="249">
        <f t="shared" si="1"/>
        <v>168.57881372500071</v>
      </c>
      <c r="I17" s="234">
        <f t="shared" si="2"/>
        <v>1</v>
      </c>
      <c r="J17" s="233">
        <f t="shared" si="19"/>
        <v>1</v>
      </c>
      <c r="K17" s="233">
        <f t="shared" si="20"/>
        <v>1</v>
      </c>
      <c r="L17" s="233">
        <f>10^('Small Signal'!F17/30)</f>
        <v>3.1622776601683795</v>
      </c>
      <c r="M17" s="233" t="str">
        <f t="shared" si="21"/>
        <v>19.8691765315922i</v>
      </c>
      <c r="N17" s="233">
        <f>IF(D$31=1, IF(AND('Small Signal'!$B$61&gt;=1,FCCM=0),V17+0,S17+0), 0)</f>
        <v>8.9183370585587731</v>
      </c>
      <c r="O17" s="233">
        <f>IF(D$31=1, IF(AND('Small Signal'!$B$61&gt;=1,FCCM=0),W17,T17), 0)</f>
        <v>-2.158174808244669E-2</v>
      </c>
      <c r="P17" s="233">
        <f>IF(AND('Small Signal'!$B$61&gt;=1,FCCM=0),AF17+0,AC17+0)</f>
        <v>61.764466754255182</v>
      </c>
      <c r="Q17" s="233">
        <f>IF(AND('Small Signal'!$B$61&gt;=1,FCCM=0),AG17,AD17)</f>
        <v>170.27163391829404</v>
      </c>
      <c r="R17" s="233" t="str">
        <f>IMDIV(IMSUM('Small Signal'!$B$2*'Small Signal'!$B$38*'Small Signal'!$B$62,IMPRODUCT(M17,'Small Signal'!$B$2*'Small Signal'!$B$38*'Small Signal'!$B$62*'Small Signal'!$B$14*'Small Signal'!$B$15)),IMSUM(IMPRODUCT('Small Signal'!$B$12*'Small Signal'!$B$14*('Small Signal'!$B$15+'Small Signal'!$B$38),IMPOWER(M17,2)),IMSUM(IMPRODUCT(M17,('Small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2.37196744706339-0.000779607693649886i</v>
      </c>
      <c r="S17" s="233">
        <f t="shared" si="22"/>
        <v>8.9183370585587731</v>
      </c>
      <c r="T17" s="233">
        <f t="shared" si="23"/>
        <v>-2.158174808244669E-2</v>
      </c>
      <c r="U17" s="233" t="str">
        <f>IMDIV(IMSUM('Small Signal'!$B$74,IMPRODUCT(M17,'Small Signal'!$B$75)),IMSUM(IMPRODUCT('Small Signal'!$B$78,IMPOWER(M17,2)),IMSUM(IMPRODUCT(M17,'Small Signal'!$B$77),'Small Signal'!$B$76)))</f>
        <v>1.68280846657101-0.000574702576184847i</v>
      </c>
      <c r="V17" s="233">
        <f t="shared" si="3"/>
        <v>4.5206942741117304</v>
      </c>
      <c r="W17" s="233">
        <f t="shared" si="4"/>
        <v>-1.956730754845315E-2</v>
      </c>
      <c r="X17" s="233" t="str">
        <f>IMPRODUCT(IMDIV(IMSUM(IMPRODUCT(M17,'Small Signal'!$B$57*'Small Signal'!$B$6*'Small Signal'!$B$50*'Small Signal'!$B$7*'Small Signal'!$B$8),'Small Signal'!$B$57*'Small Signal'!$B$6*'Small Signal'!$B$50),IMSUM(IMSUM(IMPRODUCT(M17,('Small Signal'!$B$5+'Small Signal'!$B$6)*('Small Signal'!$B$56*'Small Signal'!$B$57)+'Small Signal'!$B$5*'Small Signal'!$B$57*('Small Signal'!$B$8+'Small Signal'!$B$9)+'Small Signal'!$B$6*'Small Signal'!$B$57*('Small Signal'!$B$8+'Small Signal'!$B$9)+'Small Signal'!$B$7*'Small Signal'!$B$8*('Small Signal'!$B$5+'Small Signal'!$B$6)),'Small Signal'!$B$6+'Small Signal'!$B$5),IMPRODUCT(IMPOWER(M17,2),'Small Signal'!$B$56*'Small Signal'!$B$57*'Small Signal'!$B$8*'Small Signal'!$B$7*('Small Signal'!$B$5+'Small Signal'!$B$6)+('Small Signal'!$B$5+'Small Signal'!$B$6)*('Small Signal'!$B$9*'Small Signal'!$B$8*'Small Signal'!$B$57*'Small Signal'!$B$7)))),-1)</f>
        <v>-432.55597763118+74.0008004587365i</v>
      </c>
      <c r="Y17" s="233">
        <f t="shared" si="5"/>
        <v>52.846129695696419</v>
      </c>
      <c r="Z17" s="233">
        <f t="shared" si="6"/>
        <v>170.29321566637648</v>
      </c>
      <c r="AA17" s="233" t="str">
        <f t="shared" si="7"/>
        <v>1.00000000039987+0.0000223197572837798i</v>
      </c>
      <c r="AB17" s="233" t="str">
        <f t="shared" si="8"/>
        <v>-1207.62700289675+207.038858597003i</v>
      </c>
      <c r="AC17" s="230">
        <f t="shared" si="24"/>
        <v>61.764466754255182</v>
      </c>
      <c r="AD17" s="233">
        <f t="shared" si="25"/>
        <v>170.27163391829404</v>
      </c>
      <c r="AE17" s="233" t="str">
        <f t="shared" si="9"/>
        <v>-727.866332972987+124.777764579682i</v>
      </c>
      <c r="AF17" s="230">
        <f t="shared" si="10"/>
        <v>57.366823964171388</v>
      </c>
      <c r="AG17" s="233">
        <f t="shared" si="11"/>
        <v>170.27236953093669</v>
      </c>
      <c r="AI17" s="233" t="str">
        <f t="shared" si="12"/>
        <v>0.002-509.921095283557i</v>
      </c>
      <c r="AJ17" s="233">
        <f t="shared" si="13"/>
        <v>0.33750000000000002</v>
      </c>
      <c r="AK17" s="233" t="str">
        <f t="shared" si="14"/>
        <v>0.15-503292.12104487i</v>
      </c>
      <c r="AL17" s="233" t="str">
        <f t="shared" si="15"/>
        <v>0.337499850976148-0.000223606371545133i</v>
      </c>
      <c r="AM17" s="233" t="str">
        <f t="shared" si="16"/>
        <v>0.36666666666347-1.08263727370486E-06i</v>
      </c>
      <c r="AN17" s="233" t="str">
        <f t="shared" si="17"/>
        <v>0.005+0.0000198691765315922i</v>
      </c>
      <c r="AO17" s="233" t="str">
        <f t="shared" si="26"/>
        <v>2.79200905286654-0.00105167325385442i</v>
      </c>
      <c r="AP17" s="233">
        <f t="shared" si="27"/>
        <v>8.9183370585587731</v>
      </c>
      <c r="AQ17" s="233">
        <f t="shared" si="28"/>
        <v>-2.158174808244669E-2</v>
      </c>
      <c r="AS17" s="233" t="str">
        <f t="shared" si="18"/>
        <v>0.378068739767363-0.0000011510167762682i</v>
      </c>
      <c r="AT17" s="233" t="str">
        <f t="shared" si="29"/>
        <v>2.83327713239706-0.00108015763965901i</v>
      </c>
      <c r="AU17" s="233">
        <f t="shared" si="30"/>
        <v>9.0457817593575154</v>
      </c>
      <c r="AV17" s="233">
        <f t="shared" si="31"/>
        <v>-2.1843423029553069E-2</v>
      </c>
    </row>
    <row r="18" spans="1:48" x14ac:dyDescent="0.25">
      <c r="A18" s="209"/>
      <c r="B18" s="208"/>
      <c r="C18" s="208"/>
      <c r="F18" s="233">
        <v>16</v>
      </c>
      <c r="G18" s="249">
        <f t="shared" si="0"/>
        <v>168.58011798659561</v>
      </c>
      <c r="H18" s="249">
        <f t="shared" si="1"/>
        <v>168.57881372500071</v>
      </c>
      <c r="I18" s="234">
        <f t="shared" si="2"/>
        <v>1</v>
      </c>
      <c r="J18" s="233">
        <f t="shared" si="19"/>
        <v>1</v>
      </c>
      <c r="K18" s="233">
        <f t="shared" si="20"/>
        <v>1</v>
      </c>
      <c r="L18" s="233">
        <f>10^('Small Signal'!F18/30)</f>
        <v>3.4145488738336023</v>
      </c>
      <c r="M18" s="233" t="str">
        <f t="shared" si="21"/>
        <v>21.4542433147179i</v>
      </c>
      <c r="N18" s="233">
        <f>IF(D$31=1, IF(AND('Small Signal'!$B$61&gt;=1,FCCM=0),V18+0,S18+0), 0)</f>
        <v>8.9183369812538889</v>
      </c>
      <c r="O18" s="233">
        <f>IF(D$31=1, IF(AND('Small Signal'!$B$61&gt;=1,FCCM=0),W18,T18), 0)</f>
        <v>-2.3303435423195646E-2</v>
      </c>
      <c r="P18" s="233">
        <f>IF(AND('Small Signal'!$B$61&gt;=1,FCCM=0),AF18+0,AC18+0)</f>
        <v>61.743867829050998</v>
      </c>
      <c r="Q18" s="233">
        <f>IF(AND('Small Signal'!$B$61&gt;=1,FCCM=0),AG18,AD18)</f>
        <v>169.51224643510838</v>
      </c>
      <c r="R18" s="233" t="str">
        <f>IMDIV(IMSUM('Small Signal'!$B$2*'Small Signal'!$B$38*'Small Signal'!$B$62,IMPRODUCT(M18,'Small Signal'!$B$2*'Small Signal'!$B$38*'Small Signal'!$B$62*'Small Signal'!$B$14*'Small Signal'!$B$15)),IMSUM(IMPRODUCT('Small Signal'!$B$12*'Small Signal'!$B$14*('Small Signal'!$B$15+'Small Signal'!$B$38),IMPOWER(M18,2)),IMSUM(IMPRODUCT(M18,('Small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2.37196741256595-0.000841801014598581i</v>
      </c>
      <c r="S18" s="233">
        <f t="shared" si="22"/>
        <v>8.9183369812538889</v>
      </c>
      <c r="T18" s="233">
        <f t="shared" si="23"/>
        <v>-2.3303435423195646E-2</v>
      </c>
      <c r="U18" s="233" t="str">
        <f>IMDIV(IMSUM('Small Signal'!$B$74,IMPRODUCT(M18,'Small Signal'!$B$75)),IMSUM(IMPRODUCT('Small Signal'!$B$78,IMPOWER(M18,2)),IMSUM(IMPRODUCT(M18,'Small Signal'!$B$77),'Small Signal'!$B$76)))</f>
        <v>1.68280844176185-0.00062054956123401i</v>
      </c>
      <c r="V18" s="233">
        <f t="shared" si="3"/>
        <v>4.5206942300980169</v>
      </c>
      <c r="W18" s="233">
        <f t="shared" si="4"/>
        <v>-2.1128292646644661E-2</v>
      </c>
      <c r="X18" s="233" t="str">
        <f>IMPRODUCT(IMDIV(IMSUM(IMPRODUCT(M18,'Small Signal'!$B$57*'Small Signal'!$B$6*'Small Signal'!$B$50*'Small Signal'!$B$7*'Small Signal'!$B$8),'Small Signal'!$B$57*'Small Signal'!$B$6*'Small Signal'!$B$50),IMSUM(IMSUM(IMPRODUCT(M18,('Small Signal'!$B$5+'Small Signal'!$B$6)*('Small Signal'!$B$56*'Small Signal'!$B$57)+'Small Signal'!$B$5*'Small Signal'!$B$57*('Small Signal'!$B$8+'Small Signal'!$B$9)+'Small Signal'!$B$6*'Small Signal'!$B$57*('Small Signal'!$B$8+'Small Signal'!$B$9)+'Small Signal'!$B$7*'Small Signal'!$B$8*('Small Signal'!$B$5+'Small Signal'!$B$6)),'Small Signal'!$B$6+'Small Signal'!$B$5),IMPRODUCT(IMPOWER(M18,2),'Small Signal'!$B$56*'Small Signal'!$B$57*'Small Signal'!$B$8*'Small Signal'!$B$7*('Small Signal'!$B$5+'Small Signal'!$B$6)+('Small Signal'!$B$5+'Small Signal'!$B$6)*('Small Signal'!$B$9*'Small Signal'!$B$8*'Small Signal'!$B$57*'Small Signal'!$B$7)))),-1)</f>
        <v>-430.517279359695+79.5261272628917i</v>
      </c>
      <c r="Y18" s="233">
        <f t="shared" si="5"/>
        <v>52.825530847797083</v>
      </c>
      <c r="Z18" s="233">
        <f t="shared" si="6"/>
        <v>169.53554987053153</v>
      </c>
      <c r="AA18" s="233" t="str">
        <f t="shared" si="7"/>
        <v>1.00000000046621+0.000024100319542925i</v>
      </c>
      <c r="AB18" s="233" t="str">
        <f t="shared" si="8"/>
        <v>-1201.9231725281+222.497578950003i</v>
      </c>
      <c r="AC18" s="230">
        <f t="shared" si="24"/>
        <v>61.743867829050998</v>
      </c>
      <c r="AD18" s="233">
        <f t="shared" si="25"/>
        <v>169.51224643510838</v>
      </c>
      <c r="AE18" s="233" t="str">
        <f t="shared" si="9"/>
        <v>-724.42876212746+134.094395607432i</v>
      </c>
      <c r="AF18" s="230">
        <f t="shared" si="10"/>
        <v>57.346225071323161</v>
      </c>
      <c r="AG18" s="233">
        <f t="shared" si="11"/>
        <v>169.51304073129108</v>
      </c>
      <c r="AI18" s="233" t="str">
        <f t="shared" si="12"/>
        <v>0.002-472.247476210048i</v>
      </c>
      <c r="AJ18" s="233">
        <f t="shared" si="13"/>
        <v>0.33750000000000002</v>
      </c>
      <c r="AK18" s="233" t="str">
        <f t="shared" si="14"/>
        <v>0.15-466108.259019318i</v>
      </c>
      <c r="AL18" s="233" t="str">
        <f t="shared" si="15"/>
        <v>0.337499826250957-0.000241444588339843i</v>
      </c>
      <c r="AM18" s="233" t="str">
        <f t="shared" si="16"/>
        <v>0.366666666662939-0.000001169004837955i</v>
      </c>
      <c r="AN18" s="233" t="str">
        <f t="shared" si="17"/>
        <v>0.005+0.0000214542433147179i</v>
      </c>
      <c r="AO18" s="233" t="str">
        <f t="shared" si="26"/>
        <v>2.79200899515514-0.0011355706381894i</v>
      </c>
      <c r="AP18" s="233">
        <f t="shared" si="27"/>
        <v>8.9183369812538889</v>
      </c>
      <c r="AQ18" s="233">
        <f t="shared" si="28"/>
        <v>-2.3303435423195646E-2</v>
      </c>
      <c r="AS18" s="233" t="str">
        <f t="shared" si="18"/>
        <v>0.378068739766782-1.24283932643501E-06i</v>
      </c>
      <c r="AT18" s="233" t="str">
        <f t="shared" si="29"/>
        <v>2.83327707205887-0.00116632736915643i</v>
      </c>
      <c r="AU18" s="233">
        <f t="shared" si="30"/>
        <v>9.0457816791090089</v>
      </c>
      <c r="AV18" s="233">
        <f t="shared" si="31"/>
        <v>-2.3585985524522176E-2</v>
      </c>
    </row>
    <row r="19" spans="1:48" x14ac:dyDescent="0.25">
      <c r="A19" s="209" t="s">
        <v>281</v>
      </c>
      <c r="B19" s="208"/>
      <c r="C19" s="210">
        <f>VLOOKUP(0,J2:P212,3,FALSE)</f>
        <v>42986.62347082288</v>
      </c>
      <c r="D19" s="208" t="s">
        <v>267</v>
      </c>
      <c r="F19" s="233">
        <v>17</v>
      </c>
      <c r="G19" s="249">
        <f t="shared" si="0"/>
        <v>168.58022203427583</v>
      </c>
      <c r="H19" s="249">
        <f t="shared" si="1"/>
        <v>168.57881372500071</v>
      </c>
      <c r="I19" s="234">
        <f t="shared" si="2"/>
        <v>1</v>
      </c>
      <c r="J19" s="233">
        <f t="shared" si="19"/>
        <v>1</v>
      </c>
      <c r="K19" s="233">
        <f t="shared" si="20"/>
        <v>1</v>
      </c>
      <c r="L19" s="233">
        <f>10^('Small Signal'!F19/30)</f>
        <v>3.6869450645195756</v>
      </c>
      <c r="M19" s="233" t="str">
        <f t="shared" si="21"/>
        <v>23.1657590577677i</v>
      </c>
      <c r="N19" s="233">
        <f>IF(D$31=1, IF(AND('Small Signal'!$B$61&gt;=1,FCCM=0),V19+0,S19+0), 0)</f>
        <v>8.9183368911229461</v>
      </c>
      <c r="O19" s="233">
        <f>IF(D$31=1, IF(AND('Small Signal'!$B$61&gt;=1,FCCM=0),W19,T19), 0)</f>
        <v>-2.5162470621035923E-2</v>
      </c>
      <c r="P19" s="233">
        <f>IF(AND('Small Signal'!$B$61&gt;=1,FCCM=0),AF19+0,AC19+0)</f>
        <v>61.719973964742337</v>
      </c>
      <c r="Q19" s="233">
        <f>IF(AND('Small Signal'!$B$61&gt;=1,FCCM=0),AG19,AD19)</f>
        <v>168.69647227012314</v>
      </c>
      <c r="R19" s="233" t="str">
        <f>IMDIV(IMSUM('Small Signal'!$B$2*'Small Signal'!$B$38*'Small Signal'!$B$62,IMPRODUCT(M19,'Small Signal'!$B$2*'Small Signal'!$B$38*'Small Signal'!$B$62*'Small Signal'!$B$14*'Small Signal'!$B$15)),IMSUM(IMPRODUCT('Small Signal'!$B$12*'Small Signal'!$B$14*('Small Signal'!$B$15+'Small Signal'!$B$38),IMPOWER(M19,2)),IMSUM(IMPRODUCT(M19,('Small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2.37196737234489-0.000908955815397043i</v>
      </c>
      <c r="S19" s="233">
        <f t="shared" si="22"/>
        <v>8.9183368911229461</v>
      </c>
      <c r="T19" s="233">
        <f t="shared" si="23"/>
        <v>-2.5162470621035923E-2</v>
      </c>
      <c r="U19" s="233" t="str">
        <f>IMDIV(IMSUM('Small Signal'!$B$74,IMPRODUCT(M19,'Small Signal'!$B$75)),IMSUM(IMPRODUCT('Small Signal'!$B$78,IMPOWER(M19,2)),IMSUM(IMPRODUCT(M19,'Small Signal'!$B$77),'Small Signal'!$B$76)))</f>
        <v>1.6828084128365-0.000670053995337837i</v>
      </c>
      <c r="V19" s="233">
        <f t="shared" si="3"/>
        <v>4.5206941787818247</v>
      </c>
      <c r="W19" s="233">
        <f t="shared" si="4"/>
        <v>-2.281380557464753E-2</v>
      </c>
      <c r="X19" s="233" t="str">
        <f>IMPRODUCT(IMDIV(IMSUM(IMPRODUCT(M19,'Small Signal'!$B$57*'Small Signal'!$B$6*'Small Signal'!$B$50*'Small Signal'!$B$7*'Small Signal'!$B$8),'Small Signal'!$B$57*'Small Signal'!$B$6*'Small Signal'!$B$50),IMSUM(IMSUM(IMPRODUCT(M19,('Small Signal'!$B$5+'Small Signal'!$B$6)*('Small Signal'!$B$56*'Small Signal'!$B$57)+'Small Signal'!$B$5*'Small Signal'!$B$57*('Small Signal'!$B$8+'Small Signal'!$B$9)+'Small Signal'!$B$6*'Small Signal'!$B$57*('Small Signal'!$B$8+'Small Signal'!$B$9)+'Small Signal'!$B$7*'Small Signal'!$B$8*('Small Signal'!$B$5+'Small Signal'!$B$6)),'Small Signal'!$B$6+'Small Signal'!$B$5),IMPRODUCT(IMPOWER(M19,2),'Small Signal'!$B$56*'Small Signal'!$B$57*'Small Signal'!$B$8*'Small Signal'!$B$7*('Small Signal'!$B$5+'Small Signal'!$B$6)+('Small Signal'!$B$5+'Small Signal'!$B$6)*('Small Signal'!$B$9*'Small Signal'!$B$8*'Small Signal'!$B$57*'Small Signal'!$B$7)))),-1)</f>
        <v>-428.164559121832+85.3991901482i</v>
      </c>
      <c r="Y19" s="233">
        <f t="shared" si="5"/>
        <v>52.801637073619389</v>
      </c>
      <c r="Z19" s="233">
        <f t="shared" si="6"/>
        <v>168.72163474074418</v>
      </c>
      <c r="AA19" s="233" t="str">
        <f t="shared" si="7"/>
        <v>1.00000000054356+0.0000260229264449959i</v>
      </c>
      <c r="AB19" s="233" t="str">
        <f t="shared" si="8"/>
        <v>-1195.34077760944+238.929194013436i</v>
      </c>
      <c r="AC19" s="230">
        <f t="shared" si="24"/>
        <v>61.719973964742337</v>
      </c>
      <c r="AD19" s="233">
        <f t="shared" si="25"/>
        <v>168.69647227012314</v>
      </c>
      <c r="AE19" s="233" t="str">
        <f t="shared" si="9"/>
        <v>-720.461700100092+143.997369004317i</v>
      </c>
      <c r="AF19" s="230">
        <f t="shared" si="10"/>
        <v>57.322331244738898</v>
      </c>
      <c r="AG19" s="233">
        <f t="shared" si="11"/>
        <v>168.69732993131475</v>
      </c>
      <c r="AI19" s="233" t="str">
        <f t="shared" si="12"/>
        <v>0.002-437.357232029683i</v>
      </c>
      <c r="AJ19" s="233">
        <f t="shared" si="13"/>
        <v>0.33750000000000002</v>
      </c>
      <c r="AK19" s="233" t="str">
        <f t="shared" si="14"/>
        <v>0.15-431671.588013297i</v>
      </c>
      <c r="AL19" s="233" t="str">
        <f t="shared" si="15"/>
        <v>0.337499797423506-0.000260705847167981i</v>
      </c>
      <c r="AM19" s="233" t="str">
        <f t="shared" si="16"/>
        <v>0.366666666662321-1.26226238866261E-06i</v>
      </c>
      <c r="AN19" s="233" t="str">
        <f t="shared" si="17"/>
        <v>0.005+0.0000231657590577677i</v>
      </c>
      <c r="AO19" s="233" t="str">
        <f t="shared" si="26"/>
        <v>2.79200892786857-0.00122616094474649i</v>
      </c>
      <c r="AP19" s="233">
        <f t="shared" si="27"/>
        <v>8.9183368911229461</v>
      </c>
      <c r="AQ19" s="233">
        <f t="shared" si="28"/>
        <v>-2.5162470621035923E-2</v>
      </c>
      <c r="AS19" s="233" t="str">
        <f t="shared" si="18"/>
        <v>0.378068739766104-1.34198703544621E-06i</v>
      </c>
      <c r="AT19" s="233" t="str">
        <f t="shared" si="29"/>
        <v>2.83327700170971-0.00125937129723345i</v>
      </c>
      <c r="AU19" s="233">
        <f t="shared" si="30"/>
        <v>9.0457815855461305</v>
      </c>
      <c r="AV19" s="233">
        <f t="shared" si="31"/>
        <v>-2.5467561193543879E-2</v>
      </c>
    </row>
    <row r="20" spans="1:48" x14ac:dyDescent="0.25">
      <c r="A20" s="209" t="s">
        <v>282</v>
      </c>
      <c r="B20" s="208"/>
      <c r="C20" s="211">
        <f>VLOOKUP(0,J2:Q212,8,FALSE)</f>
        <v>66.699911183451775</v>
      </c>
      <c r="D20" s="208" t="s">
        <v>284</v>
      </c>
      <c r="F20" s="233">
        <v>18</v>
      </c>
      <c r="G20" s="249">
        <f t="shared" si="0"/>
        <v>168.58033438237658</v>
      </c>
      <c r="H20" s="249">
        <f t="shared" si="1"/>
        <v>168.57881372500071</v>
      </c>
      <c r="I20" s="234">
        <f t="shared" si="2"/>
        <v>1</v>
      </c>
      <c r="J20" s="233">
        <f t="shared" si="19"/>
        <v>1</v>
      </c>
      <c r="K20" s="233">
        <f t="shared" si="20"/>
        <v>1</v>
      </c>
      <c r="L20" s="233">
        <f>10^('Small Signal'!F20/30)</f>
        <v>3.9810717055349727</v>
      </c>
      <c r="M20" s="233" t="str">
        <f t="shared" si="21"/>
        <v>25.0138112470457i</v>
      </c>
      <c r="N20" s="233">
        <f>IF(D$31=1, IF(AND('Small Signal'!$B$61&gt;=1,FCCM=0),V20+0,S20+0), 0)</f>
        <v>8.9183367860380098</v>
      </c>
      <c r="O20" s="233">
        <f>IF(D$31=1, IF(AND('Small Signal'!$B$61&gt;=1,FCCM=0),W20,T20), 0)</f>
        <v>-2.7169810615795414E-2</v>
      </c>
      <c r="P20" s="233">
        <f>IF(AND('Small Signal'!$B$61&gt;=1,FCCM=0),AF20+0,AC20+0)</f>
        <v>61.692280744838371</v>
      </c>
      <c r="Q20" s="233">
        <f>IF(AND('Small Signal'!$B$61&gt;=1,FCCM=0),AG20,AD20)</f>
        <v>167.82084085845028</v>
      </c>
      <c r="R20" s="233" t="str">
        <f>IMDIV(IMSUM('Small Signal'!$B$2*'Small Signal'!$B$38*'Small Signal'!$B$62,IMPRODUCT(M20,'Small Signal'!$B$2*'Small Signal'!$B$38*'Small Signal'!$B$62*'Small Signal'!$B$14*'Small Signal'!$B$15)),IMSUM(IMPRODUCT('Small Signal'!$B$12*'Small Signal'!$B$14*('Small Signal'!$B$15+'Small Signal'!$B$38),IMPOWER(M20,2)),IMSUM(IMPRODUCT(M20,('Small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2.37196732545058-0.00098146789827787i</v>
      </c>
      <c r="S20" s="233">
        <f t="shared" si="22"/>
        <v>8.9183367860380098</v>
      </c>
      <c r="T20" s="233">
        <f t="shared" si="23"/>
        <v>-2.7169810615795414E-2</v>
      </c>
      <c r="U20" s="233" t="str">
        <f>IMDIV(IMSUM('Small Signal'!$B$74,IMPRODUCT(M20,'Small Signal'!$B$75)),IMSUM(IMPRODUCT('Small Signal'!$B$78,IMPOWER(M20,2)),IMSUM(IMPRODUCT(M20,'Small Signal'!$B$77),'Small Signal'!$B$76)))</f>
        <v>1.68280837911202-0.000723507651668939i</v>
      </c>
      <c r="V20" s="233">
        <f t="shared" si="3"/>
        <v>4.5206941189515479</v>
      </c>
      <c r="W20" s="233">
        <f t="shared" si="4"/>
        <v>-2.4633780557764797E-2</v>
      </c>
      <c r="X20" s="233" t="str">
        <f>IMPRODUCT(IMDIV(IMSUM(IMPRODUCT(M20,'Small Signal'!$B$57*'Small Signal'!$B$6*'Small Signal'!$B$50*'Small Signal'!$B$7*'Small Signal'!$B$8),'Small Signal'!$B$57*'Small Signal'!$B$6*'Small Signal'!$B$50),IMSUM(IMSUM(IMPRODUCT(M20,('Small Signal'!$B$5+'Small Signal'!$B$6)*('Small Signal'!$B$56*'Small Signal'!$B$57)+'Small Signal'!$B$5*'Small Signal'!$B$57*('Small Signal'!$B$8+'Small Signal'!$B$9)+'Small Signal'!$B$6*'Small Signal'!$B$57*('Small Signal'!$B$8+'Small Signal'!$B$9)+'Small Signal'!$B$7*'Small Signal'!$B$8*('Small Signal'!$B$5+'Small Signal'!$B$6)),'Small Signal'!$B$6+'Small Signal'!$B$5),IMPRODUCT(IMPOWER(M20,2),'Small Signal'!$B$56*'Small Signal'!$B$57*'Small Signal'!$B$8*'Small Signal'!$B$7*('Small Signal'!$B$5+'Small Signal'!$B$6)+('Small Signal'!$B$5+'Small Signal'!$B$6)*('Small Signal'!$B$9*'Small Signal'!$B$8*'Small Signal'!$B$57*'Small Signal'!$B$7)))),-1)</f>
        <v>-425.453879546938+91.6257896164903i</v>
      </c>
      <c r="Y20" s="233">
        <f t="shared" si="5"/>
        <v>52.773943958800388</v>
      </c>
      <c r="Z20" s="233">
        <f t="shared" si="6"/>
        <v>167.8480106690661</v>
      </c>
      <c r="AA20" s="233" t="str">
        <f t="shared" si="7"/>
        <v>1.00000000063374+0.0000280989096243534i</v>
      </c>
      <c r="AB20" s="233" t="str">
        <f t="shared" si="8"/>
        <v>-1187.7568910195+256.349932755123i</v>
      </c>
      <c r="AC20" s="230">
        <f t="shared" si="24"/>
        <v>61.692280744838371</v>
      </c>
      <c r="AD20" s="233">
        <f t="shared" si="25"/>
        <v>167.82084085845028</v>
      </c>
      <c r="AE20" s="233" t="str">
        <f t="shared" si="9"/>
        <v>-715.891061467426+154.496465646669i</v>
      </c>
      <c r="AF20" s="230">
        <f t="shared" si="10"/>
        <v>57.294638068818379</v>
      </c>
      <c r="AG20" s="233">
        <f t="shared" si="11"/>
        <v>167.82176693957942</v>
      </c>
      <c r="AI20" s="233" t="str">
        <f t="shared" si="12"/>
        <v>0.002-405.04472346526i</v>
      </c>
      <c r="AJ20" s="233">
        <f t="shared" si="13"/>
        <v>0.33750000000000002</v>
      </c>
      <c r="AK20" s="233" t="str">
        <f t="shared" si="14"/>
        <v>0.15-399779.142060212i</v>
      </c>
      <c r="AL20" s="233" t="str">
        <f t="shared" si="15"/>
        <v>0.337499763813172-0.000281503670245892i</v>
      </c>
      <c r="AM20" s="233" t="str">
        <f t="shared" si="16"/>
        <v>0.3666666666616-1.36295957561566E-06i</v>
      </c>
      <c r="AN20" s="233" t="str">
        <f t="shared" si="17"/>
        <v>0.005+0.0000250138112470457i</v>
      </c>
      <c r="AO20" s="233" t="str">
        <f t="shared" si="26"/>
        <v>2.7920088494182-0.00132397810112767i</v>
      </c>
      <c r="AP20" s="233">
        <f t="shared" si="27"/>
        <v>8.9183367860380098</v>
      </c>
      <c r="AQ20" s="233">
        <f t="shared" si="28"/>
        <v>-2.7169810615795414E-2</v>
      </c>
      <c r="AS20" s="233" t="str">
        <f t="shared" si="18"/>
        <v>0.378068739765314-1.44904426903759E-06i</v>
      </c>
      <c r="AT20" s="233" t="str">
        <f t="shared" si="29"/>
        <v>2.83327691968862-0.00135983781275317i</v>
      </c>
      <c r="AU20" s="233">
        <f t="shared" si="30"/>
        <v>9.0457814764598385</v>
      </c>
      <c r="AV20" s="233">
        <f t="shared" si="31"/>
        <v>-2.7499239826897771E-2</v>
      </c>
    </row>
    <row r="21" spans="1:48" x14ac:dyDescent="0.25">
      <c r="A21" s="209" t="s">
        <v>283</v>
      </c>
      <c r="B21" s="208"/>
      <c r="C21" s="211">
        <f>VLOOKUP(0,K2:Q212,6,FALSE)</f>
        <v>-22.834913629005342</v>
      </c>
      <c r="D21" s="208" t="s">
        <v>285</v>
      </c>
      <c r="F21" s="233">
        <v>19</v>
      </c>
      <c r="G21" s="249">
        <f t="shared" si="0"/>
        <v>168.58045569306526</v>
      </c>
      <c r="H21" s="249">
        <f t="shared" si="1"/>
        <v>168.57881372500071</v>
      </c>
      <c r="I21" s="234">
        <f t="shared" si="2"/>
        <v>1</v>
      </c>
      <c r="J21" s="233">
        <f t="shared" si="19"/>
        <v>1</v>
      </c>
      <c r="K21" s="233">
        <f t="shared" si="20"/>
        <v>1</v>
      </c>
      <c r="L21" s="233">
        <f>10^('Small Signal'!F21/30)</f>
        <v>4.2986623470822769</v>
      </c>
      <c r="M21" s="233" t="str">
        <f t="shared" si="21"/>
        <v>27.0092920997135i</v>
      </c>
      <c r="N21" s="233">
        <f>IF(D$31=1, IF(AND('Small Signal'!$B$61&gt;=1,FCCM=0),V21+0,S21+0), 0)</f>
        <v>8.9183366635179766</v>
      </c>
      <c r="O21" s="233">
        <f>IF(D$31=1, IF(AND('Small Signal'!$B$61&gt;=1,FCCM=0),W21,T21), 0)</f>
        <v>-2.9337286436944561E-2</v>
      </c>
      <c r="P21" s="233">
        <f>IF(AND('Small Signal'!$B$61&gt;=1,FCCM=0),AF21+0,AC21+0)</f>
        <v>61.660214226406687</v>
      </c>
      <c r="Q21" s="233">
        <f>IF(AND('Small Signal'!$B$61&gt;=1,FCCM=0),AG21,AD21)</f>
        <v>166.88184519309186</v>
      </c>
      <c r="R21" s="233" t="str">
        <f>IMDIV(IMSUM('Small Signal'!$B$2*'Small Signal'!$B$38*'Small Signal'!$B$62,IMPRODUCT(M21,'Small Signal'!$B$2*'Small Signal'!$B$38*'Small Signal'!$B$62*'Small Signal'!$B$14*'Small Signal'!$B$15)),IMSUM(IMPRODUCT('Small Signal'!$B$12*'Small Signal'!$B$14*('Small Signal'!$B$15+'Small Signal'!$B$38),IMPOWER(M21,2)),IMSUM(IMPRODUCT(M21,('Small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2.37196727077582-0.00105976464049848i</v>
      </c>
      <c r="S21" s="233">
        <f t="shared" si="22"/>
        <v>8.9183366635179766</v>
      </c>
      <c r="T21" s="233">
        <f t="shared" si="23"/>
        <v>-2.9337286436944561E-2</v>
      </c>
      <c r="U21" s="233" t="str">
        <f>IMDIV(IMSUM('Small Signal'!$B$74,IMPRODUCT(M21,'Small Signal'!$B$75)),IMSUM(IMPRODUCT('Small Signal'!$B$78,IMPOWER(M21,2)),IMSUM(IMPRODUCT(M21,'Small Signal'!$B$77),'Small Signal'!$B$76)))</f>
        <v>1.68280833979216-0.000781225579543541i</v>
      </c>
      <c r="V21" s="233">
        <f t="shared" si="3"/>
        <v>4.5206940491945424</v>
      </c>
      <c r="W21" s="233">
        <f t="shared" si="4"/>
        <v>-2.6598944325079692E-2</v>
      </c>
      <c r="X21" s="233" t="str">
        <f>IMPRODUCT(IMDIV(IMSUM(IMPRODUCT(M21,'Small Signal'!$B$57*'Small Signal'!$B$6*'Small Signal'!$B$50*'Small Signal'!$B$7*'Small Signal'!$B$8),'Small Signal'!$B$57*'Small Signal'!$B$6*'Small Signal'!$B$50),IMSUM(IMSUM(IMPRODUCT(M21,('Small Signal'!$B$5+'Small Signal'!$B$6)*('Small Signal'!$B$56*'Small Signal'!$B$57)+'Small Signal'!$B$5*'Small Signal'!$B$57*('Small Signal'!$B$8+'Small Signal'!$B$9)+'Small Signal'!$B$6*'Small Signal'!$B$57*('Small Signal'!$B$8+'Small Signal'!$B$9)+'Small Signal'!$B$7*'Small Signal'!$B$8*('Small Signal'!$B$5+'Small Signal'!$B$6)),'Small Signal'!$B$6+'Small Signal'!$B$5),IMPRODUCT(IMPOWER(M21,2),'Small Signal'!$B$56*'Small Signal'!$B$57*'Small Signal'!$B$8*'Small Signal'!$B$7*('Small Signal'!$B$5+'Small Signal'!$B$6)+('Small Signal'!$B$5+'Small Signal'!$B$6)*('Small Signal'!$B$9*'Small Signal'!$B$8*'Small Signal'!$B$57*'Small Signal'!$B$7)))),-1)</f>
        <v>-422.336649867346+98.2074361039807i</v>
      </c>
      <c r="Y21" s="233">
        <f t="shared" si="5"/>
        <v>52.741877562888725</v>
      </c>
      <c r="Z21" s="233">
        <f t="shared" si="6"/>
        <v>166.91118247952883</v>
      </c>
      <c r="AA21" s="233" t="str">
        <f t="shared" si="7"/>
        <v>1.00000000073889+0.0000303405046983071i</v>
      </c>
      <c r="AB21" s="233" t="str">
        <f t="shared" si="8"/>
        <v>-1179.03556645326+274.76402151572i</v>
      </c>
      <c r="AC21" s="230">
        <f t="shared" si="24"/>
        <v>61.660214226406687</v>
      </c>
      <c r="AD21" s="233">
        <f t="shared" si="25"/>
        <v>166.88184519309186</v>
      </c>
      <c r="AE21" s="233" t="str">
        <f t="shared" si="9"/>
        <v>-710.634914435466+165.594232699439i</v>
      </c>
      <c r="AF21" s="230">
        <f t="shared" si="10"/>
        <v>57.262571601667467</v>
      </c>
      <c r="AG21" s="233">
        <f t="shared" si="11"/>
        <v>166.88284515233812</v>
      </c>
      <c r="AI21" s="233" t="str">
        <f t="shared" si="12"/>
        <v>0.002-375.119504130925i</v>
      </c>
      <c r="AJ21" s="233">
        <f t="shared" si="13"/>
        <v>0.33750000000000002</v>
      </c>
      <c r="AK21" s="233" t="str">
        <f t="shared" si="14"/>
        <v>0.15-370242.950577223i</v>
      </c>
      <c r="AL21" s="233" t="str">
        <f t="shared" si="15"/>
        <v>0.337499724626408-0.000303960635734295i</v>
      </c>
      <c r="AM21" s="233" t="str">
        <f t="shared" si="16"/>
        <v>0.366666666660759-1.47168989700313E-06i</v>
      </c>
      <c r="AN21" s="233" t="str">
        <f t="shared" si="17"/>
        <v>0.005+0.0000270092920997135i</v>
      </c>
      <c r="AO21" s="233" t="str">
        <f t="shared" si="26"/>
        <v>2.79200875795179-0.00142959862874526i</v>
      </c>
      <c r="AP21" s="233">
        <f t="shared" si="27"/>
        <v>8.9183366635179766</v>
      </c>
      <c r="AQ21" s="233">
        <f t="shared" si="28"/>
        <v>-2.9337286436944561E-2</v>
      </c>
      <c r="AS21" s="233" t="str">
        <f t="shared" si="18"/>
        <v>0.378068739764392-1.56464201081629E-06i</v>
      </c>
      <c r="AT21" s="233" t="str">
        <f t="shared" si="29"/>
        <v>2.83327682405904-0.00146831905201519i</v>
      </c>
      <c r="AU21" s="233">
        <f t="shared" si="30"/>
        <v>9.0457813492745203</v>
      </c>
      <c r="AV21" s="233">
        <f t="shared" si="31"/>
        <v>-2.9692995902546999E-2</v>
      </c>
    </row>
    <row r="22" spans="1:48" x14ac:dyDescent="0.25">
      <c r="A22" s="209"/>
      <c r="B22" s="208"/>
      <c r="C22" s="208"/>
      <c r="F22" s="233">
        <v>20</v>
      </c>
      <c r="G22" s="249">
        <f t="shared" si="0"/>
        <v>168.58058668133373</v>
      </c>
      <c r="H22" s="249">
        <f t="shared" si="1"/>
        <v>168.57881372500071</v>
      </c>
      <c r="I22" s="234">
        <f t="shared" si="2"/>
        <v>1</v>
      </c>
      <c r="J22" s="233">
        <f t="shared" si="19"/>
        <v>1</v>
      </c>
      <c r="K22" s="233">
        <f t="shared" si="20"/>
        <v>1</v>
      </c>
      <c r="L22" s="233">
        <f>10^('Small Signal'!F22/30)</f>
        <v>4.6415888336127793</v>
      </c>
      <c r="M22" s="233" t="str">
        <f t="shared" si="21"/>
        <v>29.1639627613246i</v>
      </c>
      <c r="N22" s="233">
        <f>IF(D$31=1, IF(AND('Small Signal'!$B$61&gt;=1,FCCM=0),V22+0,S22+0), 0)</f>
        <v>8.9183365206701364</v>
      </c>
      <c r="O22" s="233">
        <f>IF(D$31=1, IF(AND('Small Signal'!$B$61&gt;=1,FCCM=0),W22,T22), 0)</f>
        <v>-3.1677672933719855E-2</v>
      </c>
      <c r="P22" s="233">
        <f>IF(AND('Small Signal'!$B$61&gt;=1,FCCM=0),AF22+0,AC22+0)</f>
        <v>61.623123937444824</v>
      </c>
      <c r="Q22" s="233">
        <f>IF(AND('Small Signal'!$B$61&gt;=1,FCCM=0),AG22,AD22)</f>
        <v>165.87599017496802</v>
      </c>
      <c r="R22" s="233" t="str">
        <f>IMDIV(IMSUM('Small Signal'!$B$2*'Small Signal'!$B$38*'Small Signal'!$B$62,IMPRODUCT(M22,'Small Signal'!$B$2*'Small Signal'!$B$38*'Small Signal'!$B$62*'Small Signal'!$B$14*'Small Signal'!$B$15)),IMSUM(IMPRODUCT('Small Signal'!$B$12*'Small Signal'!$B$14*('Small Signal'!$B$15+'Small Signal'!$B$38),IMPOWER(M22,2)),IMSUM(IMPRODUCT(M22,('Small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2.37196720702975-0.00114430751320173i</v>
      </c>
      <c r="S22" s="233">
        <f t="shared" si="22"/>
        <v>8.9183365206701364</v>
      </c>
      <c r="T22" s="233">
        <f t="shared" si="23"/>
        <v>-3.1677672933719855E-2</v>
      </c>
      <c r="U22" s="233" t="str">
        <f>IMDIV(IMSUM('Small Signal'!$B$74,IMPRODUCT(M22,'Small Signal'!$B$75)),IMSUM(IMPRODUCT('Small Signal'!$B$78,IMPOWER(M22,2)),IMSUM(IMPRODUCT(M22,'Small Signal'!$B$77),'Small Signal'!$B$76)))</f>
        <v>1.68280829394858-0.000843547961251492i</v>
      </c>
      <c r="V22" s="233">
        <f t="shared" si="3"/>
        <v>4.5206939678638962</v>
      </c>
      <c r="W22" s="233">
        <f t="shared" si="4"/>
        <v>-2.8720879331402903E-2</v>
      </c>
      <c r="X22" s="233" t="str">
        <f>IMPRODUCT(IMDIV(IMSUM(IMPRODUCT(M22,'Small Signal'!$B$57*'Small Signal'!$B$6*'Small Signal'!$B$50*'Small Signal'!$B$7*'Small Signal'!$B$8),'Small Signal'!$B$57*'Small Signal'!$B$6*'Small Signal'!$B$50),IMSUM(IMSUM(IMPRODUCT(M22,('Small Signal'!$B$5+'Small Signal'!$B$6)*('Small Signal'!$B$56*'Small Signal'!$B$57)+'Small Signal'!$B$5*'Small Signal'!$B$57*('Small Signal'!$B$8+'Small Signal'!$B$9)+'Small Signal'!$B$6*'Small Signal'!$B$57*('Small Signal'!$B$8+'Small Signal'!$B$9)+'Small Signal'!$B$7*'Small Signal'!$B$8*('Small Signal'!$B$5+'Small Signal'!$B$6)),'Small Signal'!$B$6+'Small Signal'!$B$5),IMPRODUCT(IMPOWER(M22,2),'Small Signal'!$B$56*'Small Signal'!$B$57*'Small Signal'!$B$8*'Small Signal'!$B$7*('Small Signal'!$B$5+'Small Signal'!$B$6)+('Small Signal'!$B$5+'Small Signal'!$B$6)*('Small Signal'!$B$9*'Small Signal'!$B$8*'Small Signal'!$B$57*'Small Signal'!$B$7)))),-1)</f>
        <v>-418.75964358706+105.140159701568i</v>
      </c>
      <c r="Y22" s="233">
        <f t="shared" si="5"/>
        <v>52.704787416774664</v>
      </c>
      <c r="Z22" s="233">
        <f t="shared" si="6"/>
        <v>165.90766784790176</v>
      </c>
      <c r="AA22" s="233" t="str">
        <f t="shared" si="7"/>
        <v>1.00000000086148+0.0000327609233824955i</v>
      </c>
      <c r="AB22" s="233" t="str">
        <f t="shared" si="8"/>
        <v>-1169.02788785496+294.160353870094i</v>
      </c>
      <c r="AC22" s="230">
        <f t="shared" si="24"/>
        <v>61.623123937444824</v>
      </c>
      <c r="AD22" s="233">
        <f t="shared" si="25"/>
        <v>165.87599017496802</v>
      </c>
      <c r="AE22" s="233" t="str">
        <f t="shared" si="9"/>
        <v>-704.603510631894+177.283976616479i</v>
      </c>
      <c r="AF22" s="230">
        <f t="shared" si="10"/>
        <v>57.225481372494656</v>
      </c>
      <c r="AG22" s="233">
        <f t="shared" si="11"/>
        <v>165.87706990592986</v>
      </c>
      <c r="AI22" s="233" t="str">
        <f t="shared" si="12"/>
        <v>0.002-347.405198062036i</v>
      </c>
      <c r="AJ22" s="233">
        <f t="shared" si="13"/>
        <v>0.33750000000000002</v>
      </c>
      <c r="AK22" s="233" t="str">
        <f t="shared" si="14"/>
        <v>0.15-342888.93048723i</v>
      </c>
      <c r="AL22" s="233" t="str">
        <f t="shared" si="15"/>
        <v>0.337499678938007-0.000328209100097744i</v>
      </c>
      <c r="AM22" s="233" t="str">
        <f t="shared" si="16"/>
        <v>0.36666666665978-1.58909419742836E-06i</v>
      </c>
      <c r="AN22" s="233" t="str">
        <f t="shared" si="17"/>
        <v>0.005+0.0000291639627613246i</v>
      </c>
      <c r="AO22" s="233" t="str">
        <f t="shared" si="26"/>
        <v>2.7920086513098-0.0015436450406593i</v>
      </c>
      <c r="AP22" s="233">
        <f t="shared" si="27"/>
        <v>8.9183365206701364</v>
      </c>
      <c r="AQ22" s="233">
        <f t="shared" si="28"/>
        <v>-3.1677672933719855E-2</v>
      </c>
      <c r="AS22" s="233" t="str">
        <f t="shared" si="18"/>
        <v>0.378068739763318-1.68946158120911E-06i</v>
      </c>
      <c r="AT22" s="233" t="str">
        <f t="shared" si="29"/>
        <v>2.83327671256314-0.00158545438861774i</v>
      </c>
      <c r="AU22" s="233">
        <f t="shared" si="30"/>
        <v>9.0457812009873191</v>
      </c>
      <c r="AV22" s="233">
        <f t="shared" si="31"/>
        <v>-3.206175916169085E-2</v>
      </c>
    </row>
    <row r="23" spans="1:48" x14ac:dyDescent="0.25">
      <c r="A23" s="209" t="s">
        <v>272</v>
      </c>
      <c r="B23" s="208"/>
      <c r="C23" s="210">
        <f>(B4)/(2*PI()*B3*B14)</f>
        <v>4777.8135942630597</v>
      </c>
      <c r="D23" s="208" t="s">
        <v>267</v>
      </c>
      <c r="F23" s="233">
        <v>21</v>
      </c>
      <c r="G23" s="249">
        <f t="shared" si="0"/>
        <v>168.58072811921244</v>
      </c>
      <c r="H23" s="249">
        <f t="shared" si="1"/>
        <v>168.57881372500071</v>
      </c>
      <c r="I23" s="234">
        <f t="shared" si="2"/>
        <v>1</v>
      </c>
      <c r="J23" s="233">
        <f t="shared" si="19"/>
        <v>1</v>
      </c>
      <c r="K23" s="233">
        <f t="shared" si="20"/>
        <v>1</v>
      </c>
      <c r="L23" s="233">
        <f>10^('Small Signal'!F23/30)</f>
        <v>5.0118723362727229</v>
      </c>
      <c r="M23" s="233" t="str">
        <f t="shared" si="21"/>
        <v>31.4905226247286i</v>
      </c>
      <c r="N23" s="233">
        <f>IF(D$31=1, IF(AND('Small Signal'!$B$61&gt;=1,FCCM=0),V23+0,S23+0), 0)</f>
        <v>8.9183363541217364</v>
      </c>
      <c r="O23" s="233">
        <f>IF(D$31=1, IF(AND('Small Signal'!$B$61&gt;=1,FCCM=0),W23,T23), 0)</f>
        <v>-3.4204764067841599E-2</v>
      </c>
      <c r="P23" s="233">
        <f>IF(AND('Small Signal'!$B$61&gt;=1,FCCM=0),AF23+0,AC23+0)</f>
        <v>61.580276048181574</v>
      </c>
      <c r="Q23" s="233">
        <f>IF(AND('Small Signal'!$B$61&gt;=1,FCCM=0),AG23,AD23)</f>
        <v>164.79985360902393</v>
      </c>
      <c r="R23" s="233" t="str">
        <f>IMDIV(IMSUM('Small Signal'!$B$2*'Small Signal'!$B$38*'Small Signal'!$B$62,IMPRODUCT(M23,'Small Signal'!$B$2*'Small Signal'!$B$38*'Small Signal'!$B$62*'Small Signal'!$B$14*'Small Signal'!$B$15)),IMSUM(IMPRODUCT('Small Signal'!$B$12*'Small Signal'!$B$14*('Small Signal'!$B$15+'Small Signal'!$B$38),IMPOWER(M23,2)),IMSUM(IMPRODUCT(M23,('Small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2.37196713270728-0.00123559480120816i</v>
      </c>
      <c r="S23" s="233">
        <f t="shared" si="22"/>
        <v>8.9183363541217364</v>
      </c>
      <c r="T23" s="233">
        <f t="shared" si="23"/>
        <v>-3.4204764067841599E-2</v>
      </c>
      <c r="U23" s="233" t="str">
        <f>IMDIV(IMSUM('Small Signal'!$B$74,IMPRODUCT(M23,'Small Signal'!$B$75)),IMSUM(IMPRODUCT('Small Signal'!$B$78,IMPOWER(M23,2)),IMSUM(IMPRODUCT(M23,'Small Signal'!$B$77),'Small Signal'!$B$76)))</f>
        <v>1.68280824049888-0.000910842117007902i</v>
      </c>
      <c r="V23" s="233">
        <f t="shared" si="3"/>
        <v>4.520693873039269</v>
      </c>
      <c r="W23" s="233">
        <f t="shared" si="4"/>
        <v>-3.1012092022717836E-2</v>
      </c>
      <c r="X23" s="233" t="str">
        <f>IMPRODUCT(IMDIV(IMSUM(IMPRODUCT(M23,'Small Signal'!$B$57*'Small Signal'!$B$6*'Small Signal'!$B$50*'Small Signal'!$B$7*'Small Signal'!$B$8),'Small Signal'!$B$57*'Small Signal'!$B$6*'Small Signal'!$B$50),IMSUM(IMSUM(IMPRODUCT(M23,('Small Signal'!$B$5+'Small Signal'!$B$6)*('Small Signal'!$B$56*'Small Signal'!$B$57)+'Small Signal'!$B$5*'Small Signal'!$B$57*('Small Signal'!$B$8+'Small Signal'!$B$9)+'Small Signal'!$B$6*'Small Signal'!$B$57*('Small Signal'!$B$8+'Small Signal'!$B$9)+'Small Signal'!$B$7*'Small Signal'!$B$8*('Small Signal'!$B$5+'Small Signal'!$B$6)),'Small Signal'!$B$6+'Small Signal'!$B$5),IMPRODUCT(IMPOWER(M23,2),'Small Signal'!$B$56*'Small Signal'!$B$57*'Small Signal'!$B$8*'Small Signal'!$B$7*('Small Signal'!$B$5+'Small Signal'!$B$6)+('Small Signal'!$B$5+'Small Signal'!$B$6)*('Small Signal'!$B$9*'Small Signal'!$B$8*'Small Signal'!$B$57*'Small Signal'!$B$7)))),-1)</f>
        <v>-414.665223007475+112.413151672435i</v>
      </c>
      <c r="Y23" s="233">
        <f t="shared" si="5"/>
        <v>52.661939694059868</v>
      </c>
      <c r="Z23" s="233">
        <f t="shared" si="6"/>
        <v>164.83405837309184</v>
      </c>
      <c r="AA23" s="233" t="str">
        <f t="shared" si="7"/>
        <v>1.00000000100442+0.0000353744313592814i</v>
      </c>
      <c r="AB23" s="233" t="str">
        <f t="shared" si="8"/>
        <v>-1157.57259759179+314.508689894756i</v>
      </c>
      <c r="AC23" s="230">
        <f t="shared" si="24"/>
        <v>61.580276048181574</v>
      </c>
      <c r="AD23" s="233">
        <f t="shared" si="25"/>
        <v>164.79985360902393</v>
      </c>
      <c r="AE23" s="233" t="str">
        <f t="shared" si="9"/>
        <v>-697.699663692236+189.547472524398i</v>
      </c>
      <c r="AF23" s="230">
        <f t="shared" si="10"/>
        <v>57.18263355294031</v>
      </c>
      <c r="AG23" s="233">
        <f t="shared" si="11"/>
        <v>164.80101947545239</v>
      </c>
      <c r="AI23" s="233" t="str">
        <f t="shared" si="12"/>
        <v>0.002-321.738460174545i</v>
      </c>
      <c r="AJ23" s="233">
        <f t="shared" si="13"/>
        <v>0.33750000000000002</v>
      </c>
      <c r="AK23" s="233" t="str">
        <f t="shared" si="14"/>
        <v>0.15-317555.860192275i</v>
      </c>
      <c r="AL23" s="233" t="str">
        <f t="shared" si="15"/>
        <v>0.337499625669259-0.000354391978069723i</v>
      </c>
      <c r="AM23" s="233" t="str">
        <f t="shared" si="16"/>
        <v>0.366666666658637-1.71586444497688E-06i</v>
      </c>
      <c r="AN23" s="233" t="str">
        <f t="shared" si="17"/>
        <v>0.005+0.0000314905226247286i</v>
      </c>
      <c r="AO23" s="233" t="str">
        <f t="shared" si="26"/>
        <v>2.79200852697436-0.00166678951045426i</v>
      </c>
      <c r="AP23" s="233">
        <f t="shared" si="27"/>
        <v>8.9183363541217364</v>
      </c>
      <c r="AQ23" s="233">
        <f t="shared" si="28"/>
        <v>-3.4204764067841599E-2</v>
      </c>
      <c r="AS23" s="233" t="str">
        <f t="shared" si="18"/>
        <v>0.378068739762065-1.82423865309045E-06i</v>
      </c>
      <c r="AT23" s="233" t="str">
        <f t="shared" si="29"/>
        <v>2.83327658256849-0.00171193420169879i</v>
      </c>
      <c r="AU23" s="233">
        <f t="shared" si="30"/>
        <v>9.0457810280971938</v>
      </c>
      <c r="AV23" s="233">
        <f t="shared" si="31"/>
        <v>-3.4619490814345906E-2</v>
      </c>
    </row>
    <row r="24" spans="1:48" x14ac:dyDescent="0.25">
      <c r="A24" s="209" t="s">
        <v>298</v>
      </c>
      <c r="B24" s="208"/>
      <c r="C24" s="210">
        <f>1/(2*PI()*B14*B15)</f>
        <v>806256.04403189139</v>
      </c>
      <c r="D24" s="208" t="s">
        <v>267</v>
      </c>
      <c r="F24" s="233">
        <v>22</v>
      </c>
      <c r="G24" s="249">
        <f t="shared" si="0"/>
        <v>168.58088084032079</v>
      </c>
      <c r="H24" s="249">
        <f t="shared" si="1"/>
        <v>168.57881372500071</v>
      </c>
      <c r="I24" s="234">
        <f t="shared" si="2"/>
        <v>1</v>
      </c>
      <c r="J24" s="233">
        <f t="shared" si="19"/>
        <v>1</v>
      </c>
      <c r="K24" s="233">
        <f t="shared" si="20"/>
        <v>1</v>
      </c>
      <c r="L24" s="233">
        <f>10^('Small Signal'!F24/30)</f>
        <v>5.4116952654646369</v>
      </c>
      <c r="M24" s="233" t="str">
        <f t="shared" si="21"/>
        <v>34.0026841789007i</v>
      </c>
      <c r="N24" s="233">
        <f>IF(D$31=1, IF(AND('Small Signal'!$B$61&gt;=1,FCCM=0),V24+0,S24+0), 0)</f>
        <v>8.918336159940619</v>
      </c>
      <c r="O24" s="233">
        <f>IF(D$31=1, IF(AND('Small Signal'!$B$61&gt;=1,FCCM=0),W24,T24), 0)</f>
        <v>-3.6933454212551974E-2</v>
      </c>
      <c r="P24" s="233">
        <f>IF(AND('Small Signal'!$B$61&gt;=1,FCCM=0),AF24+0,AC24+0)</f>
        <v>61.53084707856739</v>
      </c>
      <c r="Q24" s="233">
        <f>IF(AND('Small Signal'!$B$61&gt;=1,FCCM=0),AG24,AD24)</f>
        <v>163.65016144759642</v>
      </c>
      <c r="R24" s="233" t="str">
        <f>IMDIV(IMSUM('Small Signal'!$B$2*'Small Signal'!$B$38*'Small Signal'!$B$62,IMPRODUCT(M24,'Small Signal'!$B$2*'Small Signal'!$B$38*'Small Signal'!$B$62*'Small Signal'!$B$14*'Small Signal'!$B$15)),IMSUM(IMPRODUCT('Small Signal'!$B$12*'Small Signal'!$B$14*('Small Signal'!$B$15+'Small Signal'!$B$38),IMPOWER(M24,2)),IMSUM(IMPRODUCT(M24,('Small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2.37196704605364-0.00133416453976645i</v>
      </c>
      <c r="S24" s="233">
        <f t="shared" si="22"/>
        <v>8.918336159940619</v>
      </c>
      <c r="T24" s="233">
        <f t="shared" si="23"/>
        <v>-3.6933454212551974E-2</v>
      </c>
      <c r="U24" s="233" t="str">
        <f>IMDIV(IMSUM('Small Signal'!$B$74,IMPRODUCT(M24,'Small Signal'!$B$75)),IMSUM(IMPRODUCT('Small Signal'!$B$78,IMPOWER(M24,2)),IMSUM(IMPRODUCT(M24,'Small Signal'!$B$77),'Small Signal'!$B$76)))</f>
        <v>1.68280817818112-0.00098350466984101i</v>
      </c>
      <c r="V24" s="233">
        <f t="shared" si="3"/>
        <v>4.5206937624819341</v>
      </c>
      <c r="W24" s="233">
        <f t="shared" si="4"/>
        <v>-3.3486086547457272E-2</v>
      </c>
      <c r="X24" s="233" t="str">
        <f>IMPRODUCT(IMDIV(IMSUM(IMPRODUCT(M24,'Small Signal'!$B$57*'Small Signal'!$B$6*'Small Signal'!$B$50*'Small Signal'!$B$7*'Small Signal'!$B$8),'Small Signal'!$B$57*'Small Signal'!$B$6*'Small Signal'!$B$50),IMSUM(IMSUM(IMPRODUCT(M24,('Small Signal'!$B$5+'Small Signal'!$B$6)*('Small Signal'!$B$56*'Small Signal'!$B$57)+'Small Signal'!$B$5*'Small Signal'!$B$57*('Small Signal'!$B$8+'Small Signal'!$B$9)+'Small Signal'!$B$6*'Small Signal'!$B$57*('Small Signal'!$B$8+'Small Signal'!$B$9)+'Small Signal'!$B$7*'Small Signal'!$B$8*('Small Signal'!$B$5+'Small Signal'!$B$6)),'Small Signal'!$B$6+'Small Signal'!$B$5),IMPRODUCT(IMPOWER(M24,2),'Small Signal'!$B$56*'Small Signal'!$B$57*'Small Signal'!$B$8*'Small Signal'!$B$7*('Small Signal'!$B$5+'Small Signal'!$B$6)+('Small Signal'!$B$5+'Small Signal'!$B$6)*('Small Signal'!$B$9*'Small Signal'!$B$8*'Small Signal'!$B$57*'Small Signal'!$B$7)))),-1)</f>
        <v>-409.991840641399+120.007254191129i</v>
      </c>
      <c r="Y24" s="233">
        <f t="shared" si="5"/>
        <v>52.612510918626768</v>
      </c>
      <c r="Z24" s="233">
        <f t="shared" si="6"/>
        <v>163.68709490180893</v>
      </c>
      <c r="AA24" s="233" t="str">
        <f t="shared" si="7"/>
        <v>1.00000000117106+0.0000381964323581092i</v>
      </c>
      <c r="AB24" s="233" t="str">
        <f t="shared" si="8"/>
        <v>-1144.49749930023+335.755430792499i</v>
      </c>
      <c r="AC24" s="230">
        <f t="shared" si="24"/>
        <v>61.53084707856739</v>
      </c>
      <c r="AD24" s="233">
        <f t="shared" si="25"/>
        <v>163.65016144759642</v>
      </c>
      <c r="AE24" s="233" t="str">
        <f t="shared" si="9"/>
        <v>-689.819594723965+202.35241768376i</v>
      </c>
      <c r="AF24" s="230">
        <f t="shared" si="10"/>
        <v>57.13320466460079</v>
      </c>
      <c r="AG24" s="233">
        <f t="shared" si="11"/>
        <v>163.65142032089855</v>
      </c>
      <c r="AI24" s="233" t="str">
        <f t="shared" si="12"/>
        <v>0.002-297.968013526966i</v>
      </c>
      <c r="AJ24" s="233">
        <f t="shared" si="13"/>
        <v>0.33750000000000002</v>
      </c>
      <c r="AK24" s="233" t="str">
        <f t="shared" si="14"/>
        <v>0.15-294094.429351115i</v>
      </c>
      <c r="AL24" s="233" t="str">
        <f t="shared" si="15"/>
        <v>0.337499563562479-0.000382663584813513i</v>
      </c>
      <c r="AM24" s="233" t="str">
        <f t="shared" si="16"/>
        <v>0.366666666657305-1.85274780960051E-06i</v>
      </c>
      <c r="AN24" s="233" t="str">
        <f t="shared" si="17"/>
        <v>0.005+0.0000340026841789007i</v>
      </c>
      <c r="AO24" s="233" t="str">
        <f t="shared" si="26"/>
        <v>2.79200838200991-0.00179975783377152i</v>
      </c>
      <c r="AP24" s="233">
        <f t="shared" si="27"/>
        <v>8.918336159940619</v>
      </c>
      <c r="AQ24" s="233">
        <f t="shared" si="28"/>
        <v>-3.6933454212551974E-2</v>
      </c>
      <c r="AS24" s="233" t="str">
        <f t="shared" si="18"/>
        <v>0.378068739760604-0.0000019697675877576i</v>
      </c>
      <c r="AT24" s="233" t="str">
        <f t="shared" si="29"/>
        <v>2.83327643100585-0.00184850394475794i</v>
      </c>
      <c r="AU24" s="233">
        <f t="shared" si="30"/>
        <v>9.0457808265220585</v>
      </c>
      <c r="AV24" s="233">
        <f t="shared" si="31"/>
        <v>-3.7381265824066028E-2</v>
      </c>
    </row>
    <row r="25" spans="1:48" x14ac:dyDescent="0.25">
      <c r="A25" s="209"/>
      <c r="B25" s="208"/>
      <c r="C25" s="208"/>
      <c r="F25" s="233">
        <v>23</v>
      </c>
      <c r="G25" s="249">
        <f t="shared" si="0"/>
        <v>168.58104574478011</v>
      </c>
      <c r="H25" s="249">
        <f t="shared" si="1"/>
        <v>168.57881372500071</v>
      </c>
      <c r="I25" s="234">
        <f t="shared" si="2"/>
        <v>1</v>
      </c>
      <c r="J25" s="233">
        <f t="shared" si="19"/>
        <v>1</v>
      </c>
      <c r="K25" s="233">
        <f t="shared" si="20"/>
        <v>1</v>
      </c>
      <c r="L25" s="233">
        <f>10^('Small Signal'!F25/30)</f>
        <v>5.8434141337351777</v>
      </c>
      <c r="M25" s="233" t="str">
        <f t="shared" si="21"/>
        <v>36.7152538288504i</v>
      </c>
      <c r="N25" s="233">
        <f>IF(D$31=1, IF(AND('Small Signal'!$B$61&gt;=1,FCCM=0),V25+0,S25+0), 0)</f>
        <v>8.9183359335420214</v>
      </c>
      <c r="O25" s="233">
        <f>IF(D$31=1, IF(AND('Small Signal'!$B$61&gt;=1,FCCM=0),W25,T25), 0)</f>
        <v>-3.9879825937087145E-2</v>
      </c>
      <c r="P25" s="233">
        <f>IF(AND('Small Signal'!$B$61&gt;=1,FCCM=0),AF25+0,AC25+0)</f>
        <v>61.473918616538143</v>
      </c>
      <c r="Q25" s="233">
        <f>IF(AND('Small Signal'!$B$61&gt;=1,FCCM=0),AG25,AD25)</f>
        <v>162.42387862117607</v>
      </c>
      <c r="R25" s="233" t="str">
        <f>IMDIV(IMSUM('Small Signal'!$B$2*'Small Signal'!$B$38*'Small Signal'!$B$62,IMPRODUCT(M25,'Small Signal'!$B$2*'Small Signal'!$B$38*'Small Signal'!$B$62*'Small Signal'!$B$14*'Small Signal'!$B$15)),IMSUM(IMPRODUCT('Small Signal'!$B$12*'Small Signal'!$B$14*('Small Signal'!$B$15+'Small Signal'!$B$38),IMPOWER(M25,2)),IMSUM(IMPRODUCT(M25,('Small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2.37196694502293-0.00144059768556626i</v>
      </c>
      <c r="S25" s="233">
        <f t="shared" si="22"/>
        <v>8.9183359335420214</v>
      </c>
      <c r="T25" s="233">
        <f t="shared" si="23"/>
        <v>-3.9879825937087145E-2</v>
      </c>
      <c r="U25" s="233" t="str">
        <f>IMDIV(IMSUM('Small Signal'!$B$74,IMPRODUCT(M25,'Small Signal'!$B$75)),IMSUM(IMPRODUCT('Small Signal'!$B$78,IMPOWER(M25,2)),IMSUM(IMPRODUCT(M25,'Small Signal'!$B$77),'Small Signal'!$B$76)))</f>
        <v>1.68280810552394-0.0010619638831727i</v>
      </c>
      <c r="V25" s="233">
        <f t="shared" si="3"/>
        <v>4.5206936335814971</v>
      </c>
      <c r="W25" s="233">
        <f t="shared" si="4"/>
        <v>-3.6157444348038921E-2</v>
      </c>
      <c r="X25" s="233" t="str">
        <f>IMPRODUCT(IMDIV(IMSUM(IMPRODUCT(M25,'Small Signal'!$B$57*'Small Signal'!$B$6*'Small Signal'!$B$50*'Small Signal'!$B$7*'Small Signal'!$B$8),'Small Signal'!$B$57*'Small Signal'!$B$6*'Small Signal'!$B$50),IMSUM(IMSUM(IMPRODUCT(M25,('Small Signal'!$B$5+'Small Signal'!$B$6)*('Small Signal'!$B$56*'Small Signal'!$B$57)+'Small Signal'!$B$5*'Small Signal'!$B$57*('Small Signal'!$B$8+'Small Signal'!$B$9)+'Small Signal'!$B$6*'Small Signal'!$B$57*('Small Signal'!$B$8+'Small Signal'!$B$9)+'Small Signal'!$B$7*'Small Signal'!$B$8*('Small Signal'!$B$5+'Small Signal'!$B$6)),'Small Signal'!$B$6+'Small Signal'!$B$5),IMPRODUCT(IMPOWER(M25,2),'Small Signal'!$B$56*'Small Signal'!$B$57*'Small Signal'!$B$8*'Small Signal'!$B$7*('Small Signal'!$B$5+'Small Signal'!$B$6)+('Small Signal'!$B$5+'Small Signal'!$B$6)*('Small Signal'!$B$9*'Small Signal'!$B$8*'Small Signal'!$B$57*'Small Signal'!$B$7)))),-1)</f>
        <v>-404.674896435898+127.893335653706i</v>
      </c>
      <c r="Y25" s="233">
        <f t="shared" si="5"/>
        <v>52.555582682996139</v>
      </c>
      <c r="Z25" s="233">
        <f t="shared" si="6"/>
        <v>162.46375844711321</v>
      </c>
      <c r="AA25" s="233" t="str">
        <f t="shared" si="7"/>
        <v>1.00000000136536+0.0000412435589433848i</v>
      </c>
      <c r="AB25" s="233" t="str">
        <f t="shared" si="8"/>
        <v>-1129.62185620734+357.819073370275i</v>
      </c>
      <c r="AC25" s="230">
        <f t="shared" si="24"/>
        <v>61.473918616538143</v>
      </c>
      <c r="AD25" s="233">
        <f t="shared" si="25"/>
        <v>162.42387862117607</v>
      </c>
      <c r="AE25" s="233" t="str">
        <f t="shared" si="9"/>
        <v>-680.854377721027+215.649692004992i</v>
      </c>
      <c r="AF25" s="230">
        <f t="shared" si="10"/>
        <v>57.076276297330786</v>
      </c>
      <c r="AG25" s="233">
        <f t="shared" si="11"/>
        <v>162.42523792091015</v>
      </c>
      <c r="AI25" s="233" t="str">
        <f t="shared" si="12"/>
        <v>0.002-275.953757710657i</v>
      </c>
      <c r="AJ25" s="233">
        <f t="shared" si="13"/>
        <v>0.33750000000000002</v>
      </c>
      <c r="AK25" s="233" t="str">
        <f t="shared" si="14"/>
        <v>0.15-272366.358860418i</v>
      </c>
      <c r="AL25" s="233" t="str">
        <f t="shared" si="15"/>
        <v>0.337499491151319-0.000413190545233775i</v>
      </c>
      <c r="AM25" s="233" t="str">
        <f t="shared" si="16"/>
        <v>0.366666666655751-2.00055106685524E-06i</v>
      </c>
      <c r="AN25" s="233" t="str">
        <f t="shared" si="17"/>
        <v>0.005+0.0000367152538288504i</v>
      </c>
      <c r="AO25" s="233" t="str">
        <f t="shared" si="26"/>
        <v>2.79200821299377-0.00194333370583653i</v>
      </c>
      <c r="AP25" s="233">
        <f t="shared" si="27"/>
        <v>8.9183359335420214</v>
      </c>
      <c r="AQ25" s="233">
        <f t="shared" si="28"/>
        <v>-3.9879825937087145E-2</v>
      </c>
      <c r="AS25" s="233" t="str">
        <f t="shared" si="18"/>
        <v>0.378068739758902-2.12690611680926E-06i</v>
      </c>
      <c r="AT25" s="233" t="str">
        <f t="shared" si="29"/>
        <v>2.83327625429681-0.00199596853902918i</v>
      </c>
      <c r="AU25" s="233">
        <f t="shared" si="30"/>
        <v>9.0457805915027372</v>
      </c>
      <c r="AV25" s="233">
        <f t="shared" si="31"/>
        <v>-4.0363361756704082E-2</v>
      </c>
    </row>
    <row r="26" spans="1:48" x14ac:dyDescent="0.25">
      <c r="A26" s="209" t="s">
        <v>299</v>
      </c>
      <c r="B26" s="208"/>
      <c r="C26" s="210">
        <f>1/(2*PI()*B7*B8)</f>
        <v>4697.6075292767209</v>
      </c>
      <c r="D26" s="208" t="s">
        <v>267</v>
      </c>
      <c r="F26" s="233">
        <v>24</v>
      </c>
      <c r="G26" s="249">
        <f t="shared" si="0"/>
        <v>168.58122380451925</v>
      </c>
      <c r="H26" s="249">
        <f t="shared" si="1"/>
        <v>168.57881372500071</v>
      </c>
      <c r="I26" s="234">
        <f t="shared" si="2"/>
        <v>1</v>
      </c>
      <c r="J26" s="233">
        <f t="shared" si="19"/>
        <v>1</v>
      </c>
      <c r="K26" s="233">
        <f t="shared" si="20"/>
        <v>1</v>
      </c>
      <c r="L26" s="233">
        <f>10^('Small Signal'!F26/30)</f>
        <v>6.3095734448019343</v>
      </c>
      <c r="M26" s="233" t="str">
        <f t="shared" si="21"/>
        <v>39.64421916295i</v>
      </c>
      <c r="N26" s="233">
        <f>IF(D$31=1, IF(AND('Small Signal'!$B$61&gt;=1,FCCM=0),V26+0,S26+0), 0)</f>
        <v>8.9183356695807134</v>
      </c>
      <c r="O26" s="233">
        <f>IF(D$31=1, IF(AND('Small Signal'!$B$61&gt;=1,FCCM=0),W26,T26), 0)</f>
        <v>-4.306124479389456E-2</v>
      </c>
      <c r="P26" s="233">
        <f>IF(AND('Small Signal'!$B$61&gt;=1,FCCM=0),AF26+0,AC26+0)</f>
        <v>61.408473644334208</v>
      </c>
      <c r="Q26" s="233">
        <f>IF(AND('Small Signal'!$B$61&gt;=1,FCCM=0),AG26,AD26)</f>
        <v>161.11831629415701</v>
      </c>
      <c r="R26" s="233" t="str">
        <f>IMDIV(IMSUM('Small Signal'!$B$2*'Small Signal'!$B$38*'Small Signal'!$B$62,IMPRODUCT(M26,'Small Signal'!$B$2*'Small Signal'!$B$38*'Small Signal'!$B$62*'Small Signal'!$B$14*'Small Signal'!$B$15)),IMSUM(IMPRODUCT('Small Signal'!$B$12*'Small Signal'!$B$14*('Small Signal'!$B$15+'Small Signal'!$B$38),IMPOWER(M26,2)),IMSUM(IMPRODUCT(M26,('Small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2.37196682722978-0.00155552154069743i</v>
      </c>
      <c r="S26" s="233">
        <f t="shared" si="22"/>
        <v>8.9183356695807134</v>
      </c>
      <c r="T26" s="233">
        <f t="shared" si="23"/>
        <v>-4.306124479389456E-2</v>
      </c>
      <c r="U26" s="233" t="str">
        <f>IMDIV(IMSUM('Small Signal'!$B$74,IMPRODUCT(M26,'Small Signal'!$B$75)),IMSUM(IMPRODUCT('Small Signal'!$B$78,IMPOWER(M26,2)),IMSUM(IMPRODUCT(M26,'Small Signal'!$B$77),'Small Signal'!$B$76)))</f>
        <v>1.68280802081189-0.00114668218486544i</v>
      </c>
      <c r="V26" s="233">
        <f t="shared" si="3"/>
        <v>4.5206934832946155</v>
      </c>
      <c r="W26" s="233">
        <f t="shared" si="4"/>
        <v>-3.9041910101740955E-2</v>
      </c>
      <c r="X26" s="233" t="str">
        <f>IMPRODUCT(IMDIV(IMSUM(IMPRODUCT(M26,'Small Signal'!$B$57*'Small Signal'!$B$6*'Small Signal'!$B$50*'Small Signal'!$B$7*'Small Signal'!$B$8),'Small Signal'!$B$57*'Small Signal'!$B$6*'Small Signal'!$B$50),IMSUM(IMSUM(IMPRODUCT(M26,('Small Signal'!$B$5+'Small Signal'!$B$6)*('Small Signal'!$B$56*'Small Signal'!$B$57)+'Small Signal'!$B$5*'Small Signal'!$B$57*('Small Signal'!$B$8+'Small Signal'!$B$9)+'Small Signal'!$B$6*'Small Signal'!$B$57*('Small Signal'!$B$8+'Small Signal'!$B$9)+'Small Signal'!$B$7*'Small Signal'!$B$8*('Small Signal'!$B$5+'Small Signal'!$B$6)),'Small Signal'!$B$6+'Small Signal'!$B$5),IMPRODUCT(IMPOWER(M26,2),'Small Signal'!$B$56*'Small Signal'!$B$57*'Small Signal'!$B$8*'Small Signal'!$B$7*('Small Signal'!$B$5+'Small Signal'!$B$6)+('Small Signal'!$B$5+'Small Signal'!$B$6)*('Small Signal'!$B$9*'Small Signal'!$B$8*'Small Signal'!$B$57*'Small Signal'!$B$7)))),-1)</f>
        <v>-398.648034154537+136.03061678111i</v>
      </c>
      <c r="Y26" s="233">
        <f t="shared" si="5"/>
        <v>52.490137974753516</v>
      </c>
      <c r="Z26" s="233">
        <f t="shared" si="6"/>
        <v>161.161377538951</v>
      </c>
      <c r="AA26" s="233" t="str">
        <f t="shared" si="7"/>
        <v>1.00000000159189+0.0000445337705449681i</v>
      </c>
      <c r="AB26" s="233" t="str">
        <f t="shared" si="8"/>
        <v>-1112.7600181237+380.585526847595i</v>
      </c>
      <c r="AC26" s="230">
        <f t="shared" si="24"/>
        <v>61.408473644334208</v>
      </c>
      <c r="AD26" s="233">
        <f t="shared" si="25"/>
        <v>161.11831629415701</v>
      </c>
      <c r="AE26" s="233" t="str">
        <f t="shared" si="9"/>
        <v>-670.692125471288+229.370535594037i</v>
      </c>
      <c r="AF26" s="230">
        <f t="shared" si="10"/>
        <v>57.010831435607976</v>
      </c>
      <c r="AG26" s="233">
        <f t="shared" si="11"/>
        <v>161.11978403175695</v>
      </c>
      <c r="AI26" s="233" t="str">
        <f t="shared" si="12"/>
        <v>0.002-255.565943113355i</v>
      </c>
      <c r="AJ26" s="233">
        <f t="shared" si="13"/>
        <v>0.33750000000000002</v>
      </c>
      <c r="AK26" s="233" t="str">
        <f t="shared" si="14"/>
        <v>0.15-252243.585852881i</v>
      </c>
      <c r="AL26" s="233" t="str">
        <f t="shared" si="15"/>
        <v>0.337499406726143-0.000446152775787276i</v>
      </c>
      <c r="AM26" s="233" t="str">
        <f t="shared" si="16"/>
        <v>0.366666666653941-2.16014535294782E-06i</v>
      </c>
      <c r="AN26" s="233" t="str">
        <f t="shared" si="17"/>
        <v>0.005+0.00003964421916295i</v>
      </c>
      <c r="AO26" s="233" t="str">
        <f t="shared" si="26"/>
        <v>2.79200801593546-0.00209836334017932i</v>
      </c>
      <c r="AP26" s="233">
        <f t="shared" si="27"/>
        <v>8.9183356695807134</v>
      </c>
      <c r="AQ26" s="233">
        <f t="shared" si="28"/>
        <v>-4.306124479389456E-2</v>
      </c>
      <c r="AS26" s="233" t="str">
        <f t="shared" si="18"/>
        <v>0.378068739756916-2.29658039752146E-06i</v>
      </c>
      <c r="AT26" s="233" t="str">
        <f t="shared" si="29"/>
        <v>2.83327604826922-0.00215519711728587i</v>
      </c>
      <c r="AU26" s="233">
        <f t="shared" si="30"/>
        <v>9.0457803174903475</v>
      </c>
      <c r="AV26" s="233">
        <f t="shared" si="31"/>
        <v>-4.3583354716819275E-2</v>
      </c>
    </row>
    <row r="27" spans="1:48" x14ac:dyDescent="0.25">
      <c r="A27" s="209" t="s">
        <v>300</v>
      </c>
      <c r="B27" s="208"/>
      <c r="C27" s="210">
        <f>1/(2*PI()*B7*(B9+0.00000000001))</f>
        <v>240342.71080020437</v>
      </c>
      <c r="D27" s="208" t="s">
        <v>267</v>
      </c>
      <c r="F27" s="233">
        <v>25</v>
      </c>
      <c r="G27" s="249">
        <f t="shared" si="0"/>
        <v>168.58141606900273</v>
      </c>
      <c r="H27" s="249">
        <f t="shared" si="1"/>
        <v>168.57881372500071</v>
      </c>
      <c r="I27" s="234">
        <f t="shared" si="2"/>
        <v>1</v>
      </c>
      <c r="J27" s="233">
        <f t="shared" si="19"/>
        <v>1</v>
      </c>
      <c r="K27" s="233">
        <f t="shared" si="20"/>
        <v>1</v>
      </c>
      <c r="L27" s="233">
        <f>10^('Small Signal'!F27/30)</f>
        <v>6.812920690579614</v>
      </c>
      <c r="M27" s="233" t="str">
        <f t="shared" si="21"/>
        <v>42.8068431820296i</v>
      </c>
      <c r="N27" s="233">
        <f>IF(D$31=1, IF(AND('Small Signal'!$B$61&gt;=1,FCCM=0),V27+0,S27+0), 0)</f>
        <v>8.918335361824413</v>
      </c>
      <c r="O27" s="233">
        <f>IF(D$31=1, IF(AND('Small Signal'!$B$61&gt;=1,FCCM=0),W27,T27), 0)</f>
        <v>-4.6496461667180904E-2</v>
      </c>
      <c r="P27" s="233">
        <f>IF(AND('Small Signal'!$B$61&gt;=1,FCCM=0),AF27+0,AC27+0)</f>
        <v>61.333395194088268</v>
      </c>
      <c r="Q27" s="233">
        <f>IF(AND('Small Signal'!$B$61&gt;=1,FCCM=0),AG27,AD27)</f>
        <v>159.73125556943967</v>
      </c>
      <c r="R27" s="233" t="str">
        <f>IMDIV(IMSUM('Small Signal'!$B$2*'Small Signal'!$B$38*'Small Signal'!$B$62,IMPRODUCT(M27,'Small Signal'!$B$2*'Small Signal'!$B$38*'Small Signal'!$B$62*'Small Signal'!$B$14*'Small Signal'!$B$15)),IMSUM(IMPRODUCT('Small Signal'!$B$12*'Small Signal'!$B$14*('Small Signal'!$B$15+'Small Signal'!$B$38),IMPOWER(M27,2)),IMSUM(IMPRODUCT(M27,('Small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2.37196668989305-0.00167961344972872i</v>
      </c>
      <c r="S27" s="233">
        <f t="shared" si="22"/>
        <v>8.918335361824413</v>
      </c>
      <c r="T27" s="233">
        <f t="shared" si="23"/>
        <v>-4.6496461667180904E-2</v>
      </c>
      <c r="U27" s="233" t="str">
        <f>IMDIV(IMSUM('Small Signal'!$B$74,IMPRODUCT(M27,'Small Signal'!$B$75)),IMSUM(IMPRODUCT('Small Signal'!$B$78,IMPOWER(M27,2)),IMSUM(IMPRODUCT(M27,'Small Signal'!$B$77),'Small Signal'!$B$76)))</f>
        <v>1.6828079220449-0.00123815889260716i</v>
      </c>
      <c r="V27" s="233">
        <f t="shared" si="3"/>
        <v>4.5206933080729907</v>
      </c>
      <c r="W27" s="233">
        <f t="shared" si="4"/>
        <v>-4.215648451741523E-2</v>
      </c>
      <c r="X27" s="233" t="str">
        <f>IMPRODUCT(IMDIV(IMSUM(IMPRODUCT(M27,'Small Signal'!$B$57*'Small Signal'!$B$6*'Small Signal'!$B$50*'Small Signal'!$B$7*'Small Signal'!$B$8),'Small Signal'!$B$57*'Small Signal'!$B$6*'Small Signal'!$B$50),IMSUM(IMSUM(IMPRODUCT(M27,('Small Signal'!$B$5+'Small Signal'!$B$6)*('Small Signal'!$B$56*'Small Signal'!$B$57)+'Small Signal'!$B$5*'Small Signal'!$B$57*('Small Signal'!$B$8+'Small Signal'!$B$9)+'Small Signal'!$B$6*'Small Signal'!$B$57*('Small Signal'!$B$8+'Small Signal'!$B$9)+'Small Signal'!$B$7*'Small Signal'!$B$8*('Small Signal'!$B$5+'Small Signal'!$B$6)),'Small Signal'!$B$6+'Small Signal'!$B$5),IMPRODUCT(IMPOWER(M27,2),'Small Signal'!$B$56*'Small Signal'!$B$57*'Small Signal'!$B$8*'Small Signal'!$B$7*('Small Signal'!$B$5+'Small Signal'!$B$6)+('Small Signal'!$B$5+'Small Signal'!$B$6)*('Small Signal'!$B$9*'Small Signal'!$B$8*'Small Signal'!$B$57*'Small Signal'!$B$7)))),-1)</f>
        <v>-391.8449568321+144.365047535575i</v>
      </c>
      <c r="Y27" s="233">
        <f t="shared" si="5"/>
        <v>52.415059832263836</v>
      </c>
      <c r="Z27" s="233">
        <f t="shared" si="6"/>
        <v>159.77775203110679</v>
      </c>
      <c r="AA27" s="233" t="str">
        <f t="shared" si="7"/>
        <v>1.00000000185601+0.0000480864593090636i</v>
      </c>
      <c r="AB27" s="233" t="str">
        <f t="shared" si="8"/>
        <v>-1093.72650068717+403.903571828934i</v>
      </c>
      <c r="AC27" s="230">
        <f t="shared" si="24"/>
        <v>61.333395194088268</v>
      </c>
      <c r="AD27" s="233">
        <f t="shared" si="25"/>
        <v>159.73125556943967</v>
      </c>
      <c r="AE27" s="233" t="str">
        <f t="shared" si="9"/>
        <v>-659.221050703012+243.423811977079i</v>
      </c>
      <c r="AF27" s="230">
        <f t="shared" si="10"/>
        <v>56.935753114173515</v>
      </c>
      <c r="AG27" s="233">
        <f t="shared" si="11"/>
        <v>159.73284039542651</v>
      </c>
      <c r="AI27" s="233" t="str">
        <f t="shared" si="12"/>
        <v>0.002-236.684406189176i</v>
      </c>
      <c r="AJ27" s="233">
        <f t="shared" si="13"/>
        <v>0.33750000000000002</v>
      </c>
      <c r="AK27" s="233" t="str">
        <f t="shared" si="14"/>
        <v>0.15-233607.508908716i</v>
      </c>
      <c r="AL27" s="233" t="str">
        <f t="shared" si="15"/>
        <v>0.33749930829367-0.000481744544565736i</v>
      </c>
      <c r="AM27" s="233" t="str">
        <f t="shared" si="16"/>
        <v>0.366666666651829-2.33247129911724E-06i</v>
      </c>
      <c r="AN27" s="233" t="str">
        <f t="shared" si="17"/>
        <v>0.005+0.0000428068431820296i</v>
      </c>
      <c r="AO27" s="233" t="str">
        <f t="shared" si="26"/>
        <v>2.79200778618236-0.00226576045575513i</v>
      </c>
      <c r="AP27" s="233">
        <f t="shared" si="27"/>
        <v>8.918335361824413</v>
      </c>
      <c r="AQ27" s="233">
        <f t="shared" si="28"/>
        <v>-4.6496461667180904E-2</v>
      </c>
      <c r="AS27" s="233" t="str">
        <f t="shared" si="18"/>
        <v>0.378068739754603-2.47979047151719E-06i</v>
      </c>
      <c r="AT27" s="233" t="str">
        <f t="shared" si="29"/>
        <v>2.83327580805871-0.00232712814602053i</v>
      </c>
      <c r="AU27" s="233">
        <f t="shared" si="30"/>
        <v>9.0457799980153517</v>
      </c>
      <c r="AV27" s="233">
        <f t="shared" si="31"/>
        <v>-4.7060222937065667E-2</v>
      </c>
    </row>
    <row r="28" spans="1:48" x14ac:dyDescent="0.25">
      <c r="A28" s="209" t="s">
        <v>276</v>
      </c>
      <c r="B28" s="208"/>
      <c r="C28" s="210">
        <f>1/(2*PI()*Cff_ss*Rhs_ss)</f>
        <v>78595.033625627329</v>
      </c>
      <c r="D28" s="208" t="s">
        <v>267</v>
      </c>
      <c r="F28" s="233">
        <v>26</v>
      </c>
      <c r="G28" s="249">
        <f t="shared" si="0"/>
        <v>168.5816236714162</v>
      </c>
      <c r="H28" s="249">
        <f t="shared" si="1"/>
        <v>168.57881372500071</v>
      </c>
      <c r="I28" s="234">
        <f t="shared" si="2"/>
        <v>1</v>
      </c>
      <c r="J28" s="233">
        <f t="shared" si="19"/>
        <v>1</v>
      </c>
      <c r="K28" s="233">
        <f t="shared" si="20"/>
        <v>1</v>
      </c>
      <c r="L28" s="233">
        <f>10^('Small Signal'!F28/30)</f>
        <v>7.3564225445964153</v>
      </c>
      <c r="M28" s="233" t="str">
        <f t="shared" si="21"/>
        <v>46.2217660456129i</v>
      </c>
      <c r="N28" s="233">
        <f>IF(D$31=1, IF(AND('Small Signal'!$B$61&gt;=1,FCCM=0),V28+0,S28+0), 0)</f>
        <v>8.9183350030069022</v>
      </c>
      <c r="O28" s="233">
        <f>IF(D$31=1, IF(AND('Small Signal'!$B$61&gt;=1,FCCM=0),W28,T28), 0)</f>
        <v>-5.0205723285907319E-2</v>
      </c>
      <c r="P28" s="233">
        <f>IF(AND('Small Signal'!$B$61&gt;=1,FCCM=0),AF28+0,AC28+0)</f>
        <v>61.247468164149993</v>
      </c>
      <c r="Q28" s="233">
        <f>IF(AND('Small Signal'!$B$61&gt;=1,FCCM=0),AG28,AD28)</f>
        <v>158.26108647773532</v>
      </c>
      <c r="R28" s="233" t="str">
        <f>IMDIV(IMSUM('Small Signal'!$B$2*'Small Signal'!$B$38*'Small Signal'!$B$62,IMPRODUCT(M28,'Small Signal'!$B$2*'Small Signal'!$B$38*'Small Signal'!$B$62*'Small Signal'!$B$14*'Small Signal'!$B$15)),IMSUM(IMPRODUCT('Small Signal'!$B$12*'Small Signal'!$B$14*('Small Signal'!$B$15+'Small Signal'!$B$38),IMPOWER(M28,2)),IMSUM(IMPRODUCT(M28,('Small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2.3719665297702-0.00181360479168714i</v>
      </c>
      <c r="S28" s="233">
        <f t="shared" si="22"/>
        <v>8.9183350030069022</v>
      </c>
      <c r="T28" s="233">
        <f t="shared" si="23"/>
        <v>-5.0205723285907319E-2</v>
      </c>
      <c r="U28" s="233" t="str">
        <f>IMDIV(IMSUM('Small Signal'!$B$74,IMPRODUCT(M28,'Small Signal'!$B$75)),IMSUM(IMPRODUCT('Small Signal'!$B$78,IMPOWER(M28,2)),IMSUM(IMPRODUCT(M28,'Small Signal'!$B$77),'Small Signal'!$B$76)))</f>
        <v>1.68280780689105-0.00133693315669107i</v>
      </c>
      <c r="V28" s="233">
        <f t="shared" si="3"/>
        <v>4.5206931037795677</v>
      </c>
      <c r="W28" s="233">
        <f t="shared" si="4"/>
        <v>-4.5519524534931986E-2</v>
      </c>
      <c r="X28" s="233" t="str">
        <f>IMPRODUCT(IMDIV(IMSUM(IMPRODUCT(M28,'Small Signal'!$B$57*'Small Signal'!$B$6*'Small Signal'!$B$50*'Small Signal'!$B$7*'Small Signal'!$B$8),'Small Signal'!$B$57*'Small Signal'!$B$6*'Small Signal'!$B$50),IMSUM(IMSUM(IMPRODUCT(M28,('Small Signal'!$B$5+'Small Signal'!$B$6)*('Small Signal'!$B$56*'Small Signal'!$B$57)+'Small Signal'!$B$5*'Small Signal'!$B$57*('Small Signal'!$B$8+'Small Signal'!$B$9)+'Small Signal'!$B$6*'Small Signal'!$B$57*('Small Signal'!$B$8+'Small Signal'!$B$9)+'Small Signal'!$B$7*'Small Signal'!$B$8*('Small Signal'!$B$5+'Small Signal'!$B$6)),'Small Signal'!$B$6+'Small Signal'!$B$5),IMPRODUCT(IMPOWER(M28,2),'Small Signal'!$B$56*'Small Signal'!$B$57*'Small Signal'!$B$8*'Small Signal'!$B$7*('Small Signal'!$B$5+'Small Signal'!$B$6)+('Small Signal'!$B$5+'Small Signal'!$B$6)*('Small Signal'!$B$9*'Small Signal'!$B$8*'Small Signal'!$B$57*'Small Signal'!$B$7)))),-1)</f>
        <v>-384.201825711412+152.827875198261i</v>
      </c>
      <c r="Y28" s="233">
        <f t="shared" si="5"/>
        <v>52.329133161143069</v>
      </c>
      <c r="Z28" s="233">
        <f t="shared" si="6"/>
        <v>158.31129220102116</v>
      </c>
      <c r="AA28" s="233" t="str">
        <f t="shared" si="7"/>
        <v>1.00000000216395+0.0000519225643933751i</v>
      </c>
      <c r="AB28" s="233" t="str">
        <f t="shared" si="8"/>
        <v>-1072.3426970615+427.580854103633i</v>
      </c>
      <c r="AC28" s="230">
        <f t="shared" si="24"/>
        <v>61.247468164149993</v>
      </c>
      <c r="AD28" s="233">
        <f t="shared" si="25"/>
        <v>158.26108647773532</v>
      </c>
      <c r="AE28" s="233" t="str">
        <f t="shared" si="9"/>
        <v>-646.333511075339+257.69359365386i</v>
      </c>
      <c r="AF28" s="230">
        <f t="shared" si="10"/>
        <v>56.84982623441843</v>
      </c>
      <c r="AG28" s="233">
        <f t="shared" si="11"/>
        <v>158.26279773269405</v>
      </c>
      <c r="AI28" s="233" t="str">
        <f t="shared" si="12"/>
        <v>0.002-219.197861227838i</v>
      </c>
      <c r="AJ28" s="233">
        <f t="shared" si="13"/>
        <v>0.33750000000000002</v>
      </c>
      <c r="AK28" s="233" t="str">
        <f t="shared" si="14"/>
        <v>0.15-216348.289031876i</v>
      </c>
      <c r="AL28" s="233" t="str">
        <f t="shared" si="15"/>
        <v>0.337499193529905-0.000520175615881458i</v>
      </c>
      <c r="AM28" s="233" t="str">
        <f t="shared" si="16"/>
        <v>0.366666666649368-2.51854457561215E-06i</v>
      </c>
      <c r="AN28" s="233" t="str">
        <f t="shared" si="17"/>
        <v>0.005+0.0000462217660456129i</v>
      </c>
      <c r="AO28" s="233" t="str">
        <f t="shared" si="26"/>
        <v>2.79200751830994-0.00244651166183925i</v>
      </c>
      <c r="AP28" s="233">
        <f t="shared" si="27"/>
        <v>8.9183350030069022</v>
      </c>
      <c r="AQ28" s="233">
        <f t="shared" si="28"/>
        <v>-5.0205723285907319E-2</v>
      </c>
      <c r="AS28" s="233" t="str">
        <f t="shared" si="18"/>
        <v>0.378068739751901-2.67761615890206E-06i</v>
      </c>
      <c r="AT28" s="233" t="str">
        <f t="shared" si="29"/>
        <v>2.83327552799387-0.0025127749561679i</v>
      </c>
      <c r="AU28" s="233">
        <f t="shared" si="30"/>
        <v>9.045779625534907</v>
      </c>
      <c r="AV28" s="233">
        <f t="shared" si="31"/>
        <v>-5.0814458630984868E-2</v>
      </c>
    </row>
    <row r="29" spans="1:48" x14ac:dyDescent="0.25">
      <c r="A29" s="209" t="s">
        <v>277</v>
      </c>
      <c r="B29" s="208"/>
      <c r="C29" s="210">
        <f>1/(2*PI()*Cff_ss*Rhs_ss*Rls_ss/(Rhs_ss+Rls_ss))</f>
        <v>176512.43432200688</v>
      </c>
      <c r="D29" s="208" t="s">
        <v>267</v>
      </c>
      <c r="F29" s="233">
        <v>27</v>
      </c>
      <c r="G29" s="249">
        <f t="shared" si="0"/>
        <v>168.58184783534549</v>
      </c>
      <c r="H29" s="249">
        <f t="shared" si="1"/>
        <v>168.57881372500071</v>
      </c>
      <c r="I29" s="234">
        <f t="shared" si="2"/>
        <v>1</v>
      </c>
      <c r="J29" s="233">
        <f t="shared" si="19"/>
        <v>1</v>
      </c>
      <c r="K29" s="233">
        <f t="shared" si="20"/>
        <v>1</v>
      </c>
      <c r="L29" s="233">
        <f>10^('Small Signal'!F29/30)</f>
        <v>7.9432823472428176</v>
      </c>
      <c r="M29" s="233" t="str">
        <f t="shared" si="21"/>
        <v>49.9091149349751i</v>
      </c>
      <c r="N29" s="233">
        <f>IF(D$31=1, IF(AND('Small Signal'!$B$61&gt;=1,FCCM=0),V29+0,S29+0), 0)</f>
        <v>8.9183345846563924</v>
      </c>
      <c r="O29" s="233">
        <f>IF(D$31=1, IF(AND('Small Signal'!$B$61&gt;=1,FCCM=0),W29,T29), 0)</f>
        <v>-5.4210891552435858E-2</v>
      </c>
      <c r="P29" s="233">
        <f>IF(AND('Small Signal'!$B$61&gt;=1,FCCM=0),AF29+0,AC29+0)</f>
        <v>61.149385202647352</v>
      </c>
      <c r="Q29" s="233">
        <f>IF(AND('Small Signal'!$B$61&gt;=1,FCCM=0),AG29,AD29)</f>
        <v>156.70695948539188</v>
      </c>
      <c r="R29" s="233" t="str">
        <f>IMDIV(IMSUM('Small Signal'!$B$2*'Small Signal'!$B$38*'Small Signal'!$B$62,IMPRODUCT(M29,'Small Signal'!$B$2*'Small Signal'!$B$38*'Small Signal'!$B$62*'Small Signal'!$B$14*'Small Signal'!$B$15)),IMSUM(IMPRODUCT('Small Signal'!$B$12*'Small Signal'!$B$14*('Small Signal'!$B$15+'Small Signal'!$B$38),IMPOWER(M29,2)),IMSUM(IMPRODUCT(M29,('Small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2.37196634308067-0.00195828529045464i</v>
      </c>
      <c r="S29" s="233">
        <f t="shared" si="22"/>
        <v>8.9183345846563924</v>
      </c>
      <c r="T29" s="233">
        <f t="shared" si="23"/>
        <v>-5.4210891552435858E-2</v>
      </c>
      <c r="U29" s="233" t="str">
        <f>IMDIV(IMSUM('Small Signal'!$B$74,IMPRODUCT(M29,'Small Signal'!$B$75)),IMSUM(IMPRODUCT('Small Signal'!$B$78,IMPOWER(M29,2)),IMSUM(IMPRODUCT(M29,'Small Signal'!$B$77),'Small Signal'!$B$76)))</f>
        <v>1.68280767263154-0.00144358713752738i</v>
      </c>
      <c r="V29" s="233">
        <f t="shared" si="3"/>
        <v>4.5206928655909859</v>
      </c>
      <c r="W29" s="233">
        <f t="shared" si="4"/>
        <v>-4.9150851517880532E-2</v>
      </c>
      <c r="X29" s="233" t="str">
        <f>IMPRODUCT(IMDIV(IMSUM(IMPRODUCT(M29,'Small Signal'!$B$57*'Small Signal'!$B$6*'Small Signal'!$B$50*'Small Signal'!$B$7*'Small Signal'!$B$8),'Small Signal'!$B$57*'Small Signal'!$B$6*'Small Signal'!$B$50),IMSUM(IMSUM(IMPRODUCT(M29,('Small Signal'!$B$5+'Small Signal'!$B$6)*('Small Signal'!$B$56*'Small Signal'!$B$57)+'Small Signal'!$B$5*'Small Signal'!$B$57*('Small Signal'!$B$8+'Small Signal'!$B$9)+'Small Signal'!$B$6*'Small Signal'!$B$57*('Small Signal'!$B$8+'Small Signal'!$B$9)+'Small Signal'!$B$7*'Small Signal'!$B$8*('Small Signal'!$B$5+'Small Signal'!$B$6)),'Small Signal'!$B$6+'Small Signal'!$B$5),IMPRODUCT(IMPOWER(M29,2),'Small Signal'!$B$56*'Small Signal'!$B$57*'Small Signal'!$B$8*'Small Signal'!$B$7*('Small Signal'!$B$5+'Small Signal'!$B$6)+('Small Signal'!$B$5+'Small Signal'!$B$6)*('Small Signal'!$B$9*'Small Signal'!$B$8*'Small Signal'!$B$57*'Small Signal'!$B$7)))),-1)</f>
        <v>-375.660274948565+161.334586356389i</v>
      </c>
      <c r="Y29" s="233">
        <f t="shared" si="5"/>
        <v>52.231050617990981</v>
      </c>
      <c r="Z29" s="233">
        <f t="shared" si="6"/>
        <v>156.76117037694442</v>
      </c>
      <c r="AA29" s="233" t="str">
        <f t="shared" si="7"/>
        <v>1.00000000252298+0.0000560646953801712i</v>
      </c>
      <c r="AB29" s="233" t="str">
        <f t="shared" si="8"/>
        <v>-1048.44531241981+451.380924562872i</v>
      </c>
      <c r="AC29" s="230">
        <f t="shared" si="24"/>
        <v>61.149385202647352</v>
      </c>
      <c r="AD29" s="233">
        <f t="shared" si="25"/>
        <v>156.70695948539188</v>
      </c>
      <c r="AE29" s="233" t="str">
        <f t="shared" si="9"/>
        <v>-631.931092452617+272.037378122363i</v>
      </c>
      <c r="AF29" s="230">
        <f t="shared" si="10"/>
        <v>56.751743448016683</v>
      </c>
      <c r="AG29" s="233">
        <f t="shared" si="11"/>
        <v>156.70880725501303</v>
      </c>
      <c r="AI29" s="233" t="str">
        <f t="shared" si="12"/>
        <v>0.002-203.003244448877i</v>
      </c>
      <c r="AJ29" s="233">
        <f t="shared" si="13"/>
        <v>0.33750000000000002</v>
      </c>
      <c r="AK29" s="233" t="str">
        <f t="shared" si="14"/>
        <v>0.15-200364.202271041i</v>
      </c>
      <c r="AL29" s="233" t="str">
        <f t="shared" si="15"/>
        <v>0.337499059725276-0.00056167248608003i</v>
      </c>
      <c r="AM29" s="233" t="str">
        <f t="shared" si="16"/>
        <v>0.366666666646498-2.71946187793989E-06i</v>
      </c>
      <c r="AN29" s="233" t="str">
        <f t="shared" si="17"/>
        <v>0.005+0.0000499091149349751i</v>
      </c>
      <c r="AO29" s="233" t="str">
        <f t="shared" si="26"/>
        <v>2.79200720599367-0.00264168227240882i</v>
      </c>
      <c r="AP29" s="233">
        <f t="shared" si="27"/>
        <v>8.9183345846563924</v>
      </c>
      <c r="AQ29" s="233">
        <f t="shared" si="28"/>
        <v>-5.4210891552435858E-2</v>
      </c>
      <c r="AS29" s="233" t="str">
        <f t="shared" si="18"/>
        <v>0.378068739748758-2.89122342260572E-06i</v>
      </c>
      <c r="AT29" s="233" t="str">
        <f t="shared" si="29"/>
        <v>2.83327520146231-0.00271323171494271i</v>
      </c>
      <c r="AU29" s="233">
        <f t="shared" si="30"/>
        <v>9.0457791912546668</v>
      </c>
      <c r="AV29" s="233">
        <f t="shared" si="31"/>
        <v>-5.4868188768308679E-2</v>
      </c>
    </row>
    <row r="30" spans="1:48" x14ac:dyDescent="0.25">
      <c r="A30" s="209"/>
      <c r="B30" s="208"/>
      <c r="C30" s="208"/>
      <c r="F30" s="233">
        <v>28</v>
      </c>
      <c r="G30" s="249">
        <f t="shared" si="0"/>
        <v>168.58208988198805</v>
      </c>
      <c r="H30" s="249">
        <f t="shared" si="1"/>
        <v>168.57881372500071</v>
      </c>
      <c r="I30" s="234">
        <f t="shared" si="2"/>
        <v>1</v>
      </c>
      <c r="J30" s="233">
        <f t="shared" si="19"/>
        <v>1</v>
      </c>
      <c r="K30" s="233">
        <f t="shared" si="20"/>
        <v>1</v>
      </c>
      <c r="L30" s="233">
        <f>10^('Small Signal'!F30/30)</f>
        <v>8.5769589859089415</v>
      </c>
      <c r="M30" s="233" t="str">
        <f t="shared" si="21"/>
        <v>53.890622680545i</v>
      </c>
      <c r="N30" s="233">
        <f>IF(D$31=1, IF(AND('Small Signal'!$B$61&gt;=1,FCCM=0),V30+0,S30+0), 0)</f>
        <v>8.918334096895693</v>
      </c>
      <c r="O30" s="233">
        <f>IF(D$31=1, IF(AND('Small Signal'!$B$61&gt;=1,FCCM=0),W30,T30), 0)</f>
        <v>-5.8535572389961286E-2</v>
      </c>
      <c r="P30" s="233">
        <f>IF(AND('Small Signal'!$B$61&gt;=1,FCCM=0),AF30+0,AC30+0)</f>
        <v>61.037757576441209</v>
      </c>
      <c r="Q30" s="233">
        <f>IF(AND('Small Signal'!$B$61&gt;=1,FCCM=0),AG30,AD30)</f>
        <v>155.06894474612926</v>
      </c>
      <c r="R30" s="233" t="str">
        <f>IMDIV(IMSUM('Small Signal'!$B$2*'Small Signal'!$B$38*'Small Signal'!$B$62,IMPRODUCT(M30,'Small Signal'!$B$2*'Small Signal'!$B$38*'Small Signal'!$B$62*'Small Signal'!$B$14*'Small Signal'!$B$15)),IMSUM(IMPRODUCT('Small Signal'!$B$12*'Small Signal'!$B$14*('Small Signal'!$B$15+'Small Signal'!$B$38),IMPOWER(M30,2)),IMSUM(IMPRODUCT(M30,('Small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2.3719661254167-0.00211450766897288i</v>
      </c>
      <c r="S30" s="233">
        <f t="shared" si="22"/>
        <v>8.918334096895693</v>
      </c>
      <c r="T30" s="233">
        <f t="shared" si="23"/>
        <v>-5.8535572389961286E-2</v>
      </c>
      <c r="U30" s="233" t="str">
        <f>IMDIV(IMSUM('Small Signal'!$B$74,IMPRODUCT(M30,'Small Signal'!$B$75)),IMSUM(IMPRODUCT('Small Signal'!$B$78,IMPOWER(M30,2)),IMSUM(IMPRODUCT(M30,'Small Signal'!$B$77),'Small Signal'!$B$76)))</f>
        <v>1.68280751609645-0.00155874943660484i</v>
      </c>
      <c r="V30" s="233">
        <f t="shared" si="3"/>
        <v>4.5206925878834472</v>
      </c>
      <c r="W30" s="233">
        <f t="shared" si="4"/>
        <v>-5.3071868077134939E-2</v>
      </c>
      <c r="X30" s="233" t="str">
        <f>IMPRODUCT(IMDIV(IMSUM(IMPRODUCT(M30,'Small Signal'!$B$57*'Small Signal'!$B$6*'Small Signal'!$B$50*'Small Signal'!$B$7*'Small Signal'!$B$8),'Small Signal'!$B$57*'Small Signal'!$B$6*'Small Signal'!$B$50),IMSUM(IMSUM(IMPRODUCT(M30,('Small Signal'!$B$5+'Small Signal'!$B$6)*('Small Signal'!$B$56*'Small Signal'!$B$57)+'Small Signal'!$B$5*'Small Signal'!$B$57*('Small Signal'!$B$8+'Small Signal'!$B$9)+'Small Signal'!$B$6*'Small Signal'!$B$57*('Small Signal'!$B$8+'Small Signal'!$B$9)+'Small Signal'!$B$7*'Small Signal'!$B$8*('Small Signal'!$B$5+'Small Signal'!$B$6)),'Small Signal'!$B$6+'Small Signal'!$B$5),IMPRODUCT(IMPOWER(M30,2),'Small Signal'!$B$56*'Small Signal'!$B$57*'Small Signal'!$B$8*'Small Signal'!$B$7*('Small Signal'!$B$5+'Small Signal'!$B$6)+('Small Signal'!$B$5+'Small Signal'!$B$6)*('Small Signal'!$B$9*'Small Signal'!$B$8*'Small Signal'!$B$57*'Small Signal'!$B$7)))),-1)</f>
        <v>-366.171021615868+169.784443849389i</v>
      </c>
      <c r="Y30" s="233">
        <f t="shared" si="5"/>
        <v>52.119423479545503</v>
      </c>
      <c r="Z30" s="233">
        <f t="shared" si="6"/>
        <v>155.12748031851925</v>
      </c>
      <c r="AA30" s="233" t="str">
        <f t="shared" si="7"/>
        <v>1.00000000294158+0.0000605372655346376i</v>
      </c>
      <c r="AB30" s="233" t="str">
        <f t="shared" si="8"/>
        <v>-1021.89646394045+475.021943681763i</v>
      </c>
      <c r="AC30" s="230">
        <f t="shared" si="24"/>
        <v>61.037757576441209</v>
      </c>
      <c r="AD30" s="233">
        <f t="shared" si="25"/>
        <v>155.06894474612926</v>
      </c>
      <c r="AE30" s="233" t="str">
        <f t="shared" si="9"/>
        <v>-615.930695945704+286.285307099652i</v>
      </c>
      <c r="AF30" s="230">
        <f t="shared" si="10"/>
        <v>56.640116025962854</v>
      </c>
      <c r="AG30" s="233">
        <f t="shared" si="11"/>
        <v>155.07093992063815</v>
      </c>
      <c r="AI30" s="233" t="str">
        <f t="shared" si="12"/>
        <v>0.002-188.005106555013i</v>
      </c>
      <c r="AJ30" s="233">
        <f t="shared" si="13"/>
        <v>0.33750000000000002</v>
      </c>
      <c r="AK30" s="233" t="str">
        <f t="shared" si="14"/>
        <v>0.15-185561.040169797i</v>
      </c>
      <c r="AL30" s="233" t="str">
        <f t="shared" si="15"/>
        <v>0.337498903720668-0.000606479717836436i</v>
      </c>
      <c r="AM30" s="233" t="str">
        <f t="shared" si="16"/>
        <v>0.366666666643152-2.93640739066976E-06i</v>
      </c>
      <c r="AN30" s="233" t="str">
        <f t="shared" si="17"/>
        <v>0.005+0.000053890622680545i</v>
      </c>
      <c r="AO30" s="233" t="str">
        <f t="shared" si="26"/>
        <v>2.79200684185975-0.00285242258425005i</v>
      </c>
      <c r="AP30" s="233">
        <f t="shared" si="27"/>
        <v>8.918334096895693</v>
      </c>
      <c r="AQ30" s="233">
        <f t="shared" si="28"/>
        <v>-5.8535572389961286E-2</v>
      </c>
      <c r="AS30" s="233" t="str">
        <f t="shared" si="18"/>
        <v>0.378068739745088-3.12187124043946E-06i</v>
      </c>
      <c r="AT30" s="233" t="str">
        <f t="shared" si="29"/>
        <v>2.83327482075453-0.00292967987395588i</v>
      </c>
      <c r="AU30" s="233">
        <f t="shared" si="30"/>
        <v>9.0457786849210926</v>
      </c>
      <c r="AV30" s="233">
        <f t="shared" si="31"/>
        <v>-5.9245305484408768E-2</v>
      </c>
    </row>
    <row r="31" spans="1:48" x14ac:dyDescent="0.25">
      <c r="A31" s="209" t="s">
        <v>301</v>
      </c>
      <c r="B31" s="208"/>
      <c r="C31" s="222" t="s">
        <v>304</v>
      </c>
      <c r="D31" s="233">
        <f>VLOOKUP(C31,B34:C35,2,FALSE)</f>
        <v>1</v>
      </c>
      <c r="F31" s="233">
        <v>29</v>
      </c>
      <c r="G31" s="249">
        <f t="shared" si="0"/>
        <v>168.58235123794014</v>
      </c>
      <c r="H31" s="249">
        <f t="shared" si="1"/>
        <v>168.57881372500071</v>
      </c>
      <c r="I31" s="234">
        <f t="shared" si="2"/>
        <v>1</v>
      </c>
      <c r="J31" s="233">
        <f t="shared" si="19"/>
        <v>1</v>
      </c>
      <c r="K31" s="233">
        <f t="shared" si="20"/>
        <v>1</v>
      </c>
      <c r="L31" s="233">
        <f>10^('Small Signal'!F31/30)</f>
        <v>9.2611872812879383</v>
      </c>
      <c r="M31" s="233" t="str">
        <f t="shared" si="21"/>
        <v>58.1897558528268i</v>
      </c>
      <c r="N31" s="233">
        <f>IF(D$31=1, IF(AND('Small Signal'!$B$61&gt;=1,FCCM=0),V31+0,S31+0), 0)</f>
        <v>8.9183335282084073</v>
      </c>
      <c r="O31" s="233">
        <f>IF(D$31=1, IF(AND('Small Signal'!$B$61&gt;=1,FCCM=0),W31,T31), 0)</f>
        <v>-6.3205254867930827E-2</v>
      </c>
      <c r="P31" s="233">
        <f>IF(AND('Small Signal'!$B$61&gt;=1,FCCM=0),AF31+0,AC31+0)</f>
        <v>60.911131859022419</v>
      </c>
      <c r="Q31" s="233">
        <f>IF(AND('Small Signal'!$B$61&gt;=1,FCCM=0),AG31,AD31)</f>
        <v>153.34819199102026</v>
      </c>
      <c r="R31" s="233" t="str">
        <f>IMDIV(IMSUM('Small Signal'!$B$2*'Small Signal'!$B$38*'Small Signal'!$B$62,IMPRODUCT(M31,'Small Signal'!$B$2*'Small Signal'!$B$38*'Small Signal'!$B$62*'Small Signal'!$B$14*'Small Signal'!$B$15)),IMSUM(IMPRODUCT('Small Signal'!$B$12*'Small Signal'!$B$14*('Small Signal'!$B$15+'Small Signal'!$B$38),IMPOWER(M31,2)),IMSUM(IMPRODUCT(M31,('Small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2.37196587163917-0.0022831926746691i</v>
      </c>
      <c r="S31" s="233">
        <f t="shared" si="22"/>
        <v>8.9183335282084073</v>
      </c>
      <c r="T31" s="233">
        <f t="shared" si="23"/>
        <v>-6.3205254867930827E-2</v>
      </c>
      <c r="U31" s="233" t="str">
        <f>IMDIV(IMSUM('Small Signal'!$B$74,IMPRODUCT(M31,'Small Signal'!$B$75)),IMSUM(IMPRODUCT('Small Signal'!$B$78,IMPOWER(M31,2)),IMSUM(IMPRODUCT(M31,'Small Signal'!$B$77),'Small Signal'!$B$76)))</f>
        <v>1.68280733358995-0.00168309880111199i</v>
      </c>
      <c r="V31" s="233">
        <f t="shared" si="3"/>
        <v>4.5206922641002141</v>
      </c>
      <c r="W31" s="233">
        <f t="shared" si="4"/>
        <v>-5.730568421376267E-2</v>
      </c>
      <c r="X31" s="233" t="str">
        <f>IMPRODUCT(IMDIV(IMSUM(IMPRODUCT(M31,'Small Signal'!$B$57*'Small Signal'!$B$6*'Small Signal'!$B$50*'Small Signal'!$B$7*'Small Signal'!$B$8),'Small Signal'!$B$57*'Small Signal'!$B$6*'Small Signal'!$B$50),IMSUM(IMSUM(IMPRODUCT(M31,('Small Signal'!$B$5+'Small Signal'!$B$6)*('Small Signal'!$B$56*'Small Signal'!$B$57)+'Small Signal'!$B$5*'Small Signal'!$B$57*('Small Signal'!$B$8+'Small Signal'!$B$9)+'Small Signal'!$B$6*'Small Signal'!$B$57*('Small Signal'!$B$8+'Small Signal'!$B$9)+'Small Signal'!$B$7*'Small Signal'!$B$8*('Small Signal'!$B$5+'Small Signal'!$B$6)),'Small Signal'!$B$6+'Small Signal'!$B$5),IMPRODUCT(IMPOWER(M31,2),'Small Signal'!$B$56*'Small Signal'!$B$57*'Small Signal'!$B$8*'Small Signal'!$B$7*('Small Signal'!$B$5+'Small Signal'!$B$6)+('Small Signal'!$B$5+'Small Signal'!$B$6)*('Small Signal'!$B$9*'Small Signal'!$B$8*'Small Signal'!$B$57*'Small Signal'!$B$7)))),-1)</f>
        <v>-355.697975119474+178.060864727279i</v>
      </c>
      <c r="Y31" s="233">
        <f t="shared" si="5"/>
        <v>51.992798330814011</v>
      </c>
      <c r="Z31" s="233">
        <f t="shared" si="6"/>
        <v>153.41139724588817</v>
      </c>
      <c r="AA31" s="233" t="str">
        <f t="shared" si="7"/>
        <v>1.00000000342963+0.0000653666356939314i</v>
      </c>
      <c r="AB31" s="233" t="str">
        <f t="shared" si="8"/>
        <v>-992.595178055301+498.177738969454i</v>
      </c>
      <c r="AC31" s="230">
        <f t="shared" si="24"/>
        <v>60.911131859022419</v>
      </c>
      <c r="AD31" s="233">
        <f t="shared" si="25"/>
        <v>153.34819199102026</v>
      </c>
      <c r="AE31" s="233" t="str">
        <f t="shared" si="9"/>
        <v>-598.271467046199+300.240803823915i</v>
      </c>
      <c r="AF31" s="230">
        <f t="shared" si="10"/>
        <v>56.51349054656832</v>
      </c>
      <c r="AG31" s="233">
        <f t="shared" si="11"/>
        <v>153.35034632934637</v>
      </c>
      <c r="AI31" s="233" t="str">
        <f t="shared" si="12"/>
        <v>0.002-174.115050164447i</v>
      </c>
      <c r="AJ31" s="233">
        <f t="shared" si="13"/>
        <v>0.33750000000000002</v>
      </c>
      <c r="AK31" s="233" t="str">
        <f t="shared" si="14"/>
        <v>0.15-171851.554512309i</v>
      </c>
      <c r="AL31" s="233" t="str">
        <f t="shared" si="15"/>
        <v>0.337498721832832-0.000654861380764189i</v>
      </c>
      <c r="AM31" s="233" t="str">
        <f t="shared" si="16"/>
        <v>0.36666666663925-3.17065976688699E-06i</v>
      </c>
      <c r="AN31" s="233" t="str">
        <f t="shared" si="17"/>
        <v>0.005+0.0000581897558528268i</v>
      </c>
      <c r="AO31" s="233" t="str">
        <f t="shared" si="26"/>
        <v>2.79200641731083-0.0030799746557545i</v>
      </c>
      <c r="AP31" s="233">
        <f t="shared" si="27"/>
        <v>8.9183335282084073</v>
      </c>
      <c r="AQ31" s="233">
        <f t="shared" si="28"/>
        <v>-6.3205254867930827E-2</v>
      </c>
      <c r="AS31" s="233" t="str">
        <f t="shared" si="18"/>
        <v>0.378068739740812-0.0000033709190253736i</v>
      </c>
      <c r="AT31" s="233" t="str">
        <f t="shared" si="29"/>
        <v>2.83327437688196-0.0031633951315724i</v>
      </c>
      <c r="AU31" s="233">
        <f t="shared" si="30"/>
        <v>9.0457780945795694</v>
      </c>
      <c r="AV31" s="233">
        <f t="shared" si="31"/>
        <v>-6.3971606892284191E-2</v>
      </c>
    </row>
    <row r="32" spans="1:48" x14ac:dyDescent="0.25">
      <c r="A32" s="209" t="s">
        <v>302</v>
      </c>
      <c r="B32" s="208"/>
      <c r="C32" s="222" t="s">
        <v>304</v>
      </c>
      <c r="D32" s="233">
        <f>VLOOKUP(C32,B34:C35,2,FALSE)</f>
        <v>1</v>
      </c>
      <c r="F32" s="233">
        <v>30</v>
      </c>
      <c r="G32" s="249">
        <f t="shared" si="0"/>
        <v>168.58263344360481</v>
      </c>
      <c r="H32" s="249">
        <f t="shared" si="1"/>
        <v>168.57881372500071</v>
      </c>
      <c r="I32" s="234">
        <f t="shared" si="2"/>
        <v>1</v>
      </c>
      <c r="J32" s="233">
        <f t="shared" si="19"/>
        <v>1</v>
      </c>
      <c r="K32" s="233">
        <f t="shared" si="20"/>
        <v>1</v>
      </c>
      <c r="L32" s="233">
        <f>10^('Small Signal'!F32/30)</f>
        <v>10</v>
      </c>
      <c r="M32" s="233" t="str">
        <f t="shared" si="21"/>
        <v>62.8318530717959i</v>
      </c>
      <c r="N32" s="233">
        <f>IF(D$31=1, IF(AND('Small Signal'!$B$61&gt;=1,FCCM=0),V32+0,S32+0), 0)</f>
        <v>8.9183328651678728</v>
      </c>
      <c r="O32" s="233">
        <f>IF(D$31=1, IF(AND('Small Signal'!$B$61&gt;=1,FCCM=0),W32,T32), 0)</f>
        <v>-6.8247461425122807E-2</v>
      </c>
      <c r="P32" s="233">
        <f>IF(AND('Small Signal'!$B$61&gt;=1,FCCM=0),AF32+0,AC32+0)</f>
        <v>60.768013056793464</v>
      </c>
      <c r="Q32" s="233">
        <f>IF(AND('Small Signal'!$B$61&gt;=1,FCCM=0),AG32,AD32)</f>
        <v>151.5470814860378</v>
      </c>
      <c r="R32" s="233" t="str">
        <f>IMDIV(IMSUM('Small Signal'!$B$2*'Small Signal'!$B$38*'Small Signal'!$B$62,IMPRODUCT(M32,'Small Signal'!$B$2*'Small Signal'!$B$38*'Small Signal'!$B$62*'Small Signal'!$B$14*'Small Signal'!$B$15)),IMSUM(IMPRODUCT('Small Signal'!$B$12*'Small Signal'!$B$14*('Small Signal'!$B$15+'Small Signal'!$B$38),IMPOWER(M32,2)),IMSUM(IMPRODUCT(M32,('Small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2.37196557575635-0.00246533450569957i</v>
      </c>
      <c r="S32" s="233">
        <f t="shared" si="22"/>
        <v>8.9183328651678728</v>
      </c>
      <c r="T32" s="233">
        <f t="shared" si="23"/>
        <v>-6.8247461425122807E-2</v>
      </c>
      <c r="U32" s="233" t="str">
        <f>IMDIV(IMSUM('Small Signal'!$B$74,IMPRODUCT(M32,'Small Signal'!$B$75)),IMSUM(IMPRODUCT('Small Signal'!$B$78,IMPOWER(M32,2)),IMSUM(IMPRODUCT(M32,'Small Signal'!$B$77),'Small Signal'!$B$76)))</f>
        <v>1.68280712080303-0.00181736812403742i</v>
      </c>
      <c r="V32" s="233">
        <f t="shared" si="3"/>
        <v>4.5206918865967314</v>
      </c>
      <c r="W32" s="233">
        <f t="shared" si="4"/>
        <v>-6.187725352465942E-2</v>
      </c>
      <c r="X32" s="233" t="str">
        <f>IMPRODUCT(IMDIV(IMSUM(IMPRODUCT(M32,'Small Signal'!$B$57*'Small Signal'!$B$6*'Small Signal'!$B$50*'Small Signal'!$B$7*'Small Signal'!$B$8),'Small Signal'!$B$57*'Small Signal'!$B$6*'Small Signal'!$B$50),IMSUM(IMSUM(IMPRODUCT(M32,('Small Signal'!$B$5+'Small Signal'!$B$6)*('Small Signal'!$B$56*'Small Signal'!$B$57)+'Small Signal'!$B$5*'Small Signal'!$B$57*('Small Signal'!$B$8+'Small Signal'!$B$9)+'Small Signal'!$B$6*'Small Signal'!$B$57*('Small Signal'!$B$8+'Small Signal'!$B$9)+'Small Signal'!$B$7*'Small Signal'!$B$8*('Small Signal'!$B$5+'Small Signal'!$B$6)),'Small Signal'!$B$6+'Small Signal'!$B$5),IMPRODUCT(IMPOWER(M32,2),'Small Signal'!$B$56*'Small Signal'!$B$57*'Small Signal'!$B$8*'Small Signal'!$B$7*('Small Signal'!$B$5+'Small Signal'!$B$6)+('Small Signal'!$B$5+'Small Signal'!$B$6)*('Small Signal'!$B$9*'Small Signal'!$B$8*'Small Signal'!$B$57*'Small Signal'!$B$7)))),-1)</f>
        <v>-344.22265398757+186.032885169178i</v>
      </c>
      <c r="Y32" s="233">
        <f t="shared" si="5"/>
        <v>51.849680191625573</v>
      </c>
      <c r="Z32" s="233">
        <f t="shared" si="6"/>
        <v>151.61532894746293</v>
      </c>
      <c r="AA32" s="233" t="str">
        <f t="shared" si="7"/>
        <v>1.00000000399866+0.0000705812696349945i</v>
      </c>
      <c r="AB32" s="233" t="str">
        <f t="shared" si="8"/>
        <v>-960.489747653759+520.481903495656i</v>
      </c>
      <c r="AC32" s="230">
        <f t="shared" si="24"/>
        <v>60.768013056793464</v>
      </c>
      <c r="AD32" s="233">
        <f t="shared" si="25"/>
        <v>151.5470814860378</v>
      </c>
      <c r="AE32" s="233" t="str">
        <f t="shared" si="9"/>
        <v>-578.922243036471+313.683043145154i</v>
      </c>
      <c r="AF32" s="230">
        <f t="shared" si="10"/>
        <v>56.370372021855076</v>
      </c>
      <c r="AG32" s="233">
        <f t="shared" si="11"/>
        <v>151.54940768509834</v>
      </c>
      <c r="AI32" s="233" t="str">
        <f t="shared" si="12"/>
        <v>0.002-161.251208806378i</v>
      </c>
      <c r="AJ32" s="233">
        <f t="shared" si="13"/>
        <v>0.33750000000000002</v>
      </c>
      <c r="AK32" s="233" t="str">
        <f t="shared" si="14"/>
        <v>0.15-159154.943091895i</v>
      </c>
      <c r="AL32" s="233" t="str">
        <f t="shared" si="15"/>
        <v>0.337498509767434-0.000707102606784817i</v>
      </c>
      <c r="AM32" s="233" t="str">
        <f t="shared" si="16"/>
        <v>0.366666666634701-3.42359966443387E-06i</v>
      </c>
      <c r="AN32" s="233" t="str">
        <f t="shared" si="17"/>
        <v>0.005+0.0000628318530717959i</v>
      </c>
      <c r="AO32" s="233" t="str">
        <f t="shared" si="26"/>
        <v>2.79200592232329-0.00332567962630747i</v>
      </c>
      <c r="AP32" s="233">
        <f t="shared" si="27"/>
        <v>8.9183328651678728</v>
      </c>
      <c r="AQ32" s="233">
        <f t="shared" si="28"/>
        <v>-6.8247461425122807E-2</v>
      </c>
      <c r="AS32" s="233" t="str">
        <f t="shared" si="18"/>
        <v>0.378068739735825-3.63983463776834E-06i</v>
      </c>
      <c r="AT32" s="233" t="str">
        <f t="shared" si="29"/>
        <v>2.83327385936469-0.00341575495049275i</v>
      </c>
      <c r="AU32" s="233">
        <f t="shared" si="30"/>
        <v>9.0457774062919878</v>
      </c>
      <c r="AV32" s="233">
        <f t="shared" si="31"/>
        <v>-6.9074949126702728E-2</v>
      </c>
    </row>
    <row r="33" spans="1:48" x14ac:dyDescent="0.25">
      <c r="A33" s="233"/>
      <c r="F33" s="233">
        <v>31</v>
      </c>
      <c r="G33" s="249">
        <f t="shared" si="0"/>
        <v>168.58293816227112</v>
      </c>
      <c r="H33" s="249">
        <f t="shared" si="1"/>
        <v>168.57881372500071</v>
      </c>
      <c r="I33" s="234">
        <f t="shared" si="2"/>
        <v>1</v>
      </c>
      <c r="J33" s="233">
        <f t="shared" si="19"/>
        <v>1</v>
      </c>
      <c r="K33" s="233">
        <f t="shared" si="20"/>
        <v>1</v>
      </c>
      <c r="L33" s="233">
        <f>10^('Small Signal'!F33/30)</f>
        <v>10.797751623277103</v>
      </c>
      <c r="M33" s="233" t="str">
        <f t="shared" si="21"/>
        <v>67.8442743499492i</v>
      </c>
      <c r="N33" s="233">
        <f>IF(D$31=1, IF(AND('Small Signal'!$B$61&gt;=1,FCCM=0),V33+0,S33+0), 0)</f>
        <v>8.9183320921194724</v>
      </c>
      <c r="O33" s="233">
        <f>IF(D$31=1, IF(AND('Small Signal'!$B$61&gt;=1,FCCM=0),W33,T33), 0)</f>
        <v>-7.3691910075469005E-2</v>
      </c>
      <c r="P33" s="233">
        <f>IF(AND('Small Signal'!$B$61&gt;=1,FCCM=0),AF33+0,AC33+0)</f>
        <v>60.606894423430859</v>
      </c>
      <c r="Q33" s="233">
        <f>IF(AND('Small Signal'!$B$61&gt;=1,FCCM=0),AG33,AD33)</f>
        <v>149.66935420025348</v>
      </c>
      <c r="R33" s="233" t="str">
        <f>IMDIV(IMSUM('Small Signal'!$B$2*'Small Signal'!$B$38*'Small Signal'!$B$62,IMPRODUCT(M33,'Small Signal'!$B$2*'Small Signal'!$B$38*'Small Signal'!$B$62*'Small Signal'!$B$14*'Small Signal'!$B$15)),IMSUM(IMPRODUCT('Small Signal'!$B$12*'Small Signal'!$B$14*('Small Signal'!$B$15+'Small Signal'!$B$38),IMPOWER(M33,2)),IMSUM(IMPRODUCT(M33,('Small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2.37196523078236-0.00266200666996364i</v>
      </c>
      <c r="S33" s="233">
        <f t="shared" si="22"/>
        <v>8.9183320921194724</v>
      </c>
      <c r="T33" s="233">
        <f t="shared" si="23"/>
        <v>-7.3691910075469005E-2</v>
      </c>
      <c r="U33" s="233" t="str">
        <f>IMDIV(IMSUM('Small Signal'!$B$74,IMPRODUCT(M33,'Small Signal'!$B$75)),IMSUM(IMPRODUCT('Small Signal'!$B$78,IMPOWER(M33,2)),IMSUM(IMPRODUCT(M33,'Small Signal'!$B$77),'Small Signal'!$B$76)))</f>
        <v>1.68280687271174-0.00196234876330558i</v>
      </c>
      <c r="V33" s="233">
        <f t="shared" si="3"/>
        <v>4.5206914464600363</v>
      </c>
      <c r="W33" s="233">
        <f t="shared" si="4"/>
        <v>-6.6813520273561078E-2</v>
      </c>
      <c r="X33" s="233" t="str">
        <f>IMPRODUCT(IMDIV(IMSUM(IMPRODUCT(M33,'Small Signal'!$B$57*'Small Signal'!$B$6*'Small Signal'!$B$50*'Small Signal'!$B$7*'Small Signal'!$B$8),'Small Signal'!$B$57*'Small Signal'!$B$6*'Small Signal'!$B$50),IMSUM(IMSUM(IMPRODUCT(M33,('Small Signal'!$B$5+'Small Signal'!$B$6)*('Small Signal'!$B$56*'Small Signal'!$B$57)+'Small Signal'!$B$5*'Small Signal'!$B$57*('Small Signal'!$B$8+'Small Signal'!$B$9)+'Small Signal'!$B$6*'Small Signal'!$B$57*('Small Signal'!$B$8+'Small Signal'!$B$9)+'Small Signal'!$B$7*'Small Signal'!$B$8*('Small Signal'!$B$5+'Small Signal'!$B$6)),'Small Signal'!$B$6+'Small Signal'!$B$5),IMPRODUCT(IMPOWER(M33,2),'Small Signal'!$B$56*'Small Signal'!$B$57*'Small Signal'!$B$8*'Small Signal'!$B$7*('Small Signal'!$B$5+'Small Signal'!$B$6)+('Small Signal'!$B$5+'Small Signal'!$B$6)*('Small Signal'!$B$9*'Small Signal'!$B$8*'Small Signal'!$B$57*'Small Signal'!$B$7)))),-1)</f>
        <v>-331.74860898544+193.557920268806i</v>
      </c>
      <c r="Y33" s="233">
        <f t="shared" si="5"/>
        <v>51.688562331311388</v>
      </c>
      <c r="Z33" s="233">
        <f t="shared" si="6"/>
        <v>149.74304611032898</v>
      </c>
      <c r="AA33" s="233" t="str">
        <f t="shared" si="7"/>
        <v>1.00000000466209+0.0000762119018368374i</v>
      </c>
      <c r="AB33" s="233" t="str">
        <f t="shared" si="8"/>
        <v>-925.590106987555+541.53551717117i</v>
      </c>
      <c r="AC33" s="230">
        <f t="shared" si="24"/>
        <v>60.606894423430859</v>
      </c>
      <c r="AD33" s="233">
        <f t="shared" si="25"/>
        <v>149.66935420025348</v>
      </c>
      <c r="AE33" s="233" t="str">
        <f t="shared" si="9"/>
        <v>-557.889011067791+326.371604968709i</v>
      </c>
      <c r="AF33" s="230">
        <f t="shared" si="10"/>
        <v>56.209253712052103</v>
      </c>
      <c r="AG33" s="233">
        <f t="shared" si="11"/>
        <v>149.67186596976029</v>
      </c>
      <c r="AI33" s="233" t="str">
        <f t="shared" si="12"/>
        <v>0.002-149.337764408993i</v>
      </c>
      <c r="AJ33" s="233">
        <f t="shared" si="13"/>
        <v>0.33750000000000002</v>
      </c>
      <c r="AK33" s="233" t="str">
        <f t="shared" si="14"/>
        <v>0.15-147396.373471677i</v>
      </c>
      <c r="AL33" s="233" t="str">
        <f t="shared" si="15"/>
        <v>0.33749826251767-0.000763511269370161i</v>
      </c>
      <c r="AM33" s="233" t="str">
        <f t="shared" si="16"/>
        <v>0.366666666629398-3.69671788335571E-06i</v>
      </c>
      <c r="AN33" s="233" t="str">
        <f t="shared" si="17"/>
        <v>0.005+0.0000678442743499492i</v>
      </c>
      <c r="AO33" s="233" t="str">
        <f t="shared" si="26"/>
        <v>2.79200534521037-0.00359098561934718i</v>
      </c>
      <c r="AP33" s="233">
        <f t="shared" si="27"/>
        <v>8.9183320921194724</v>
      </c>
      <c r="AQ33" s="233">
        <f t="shared" si="28"/>
        <v>-7.3691910075469005E-2</v>
      </c>
      <c r="AS33" s="233" t="str">
        <f t="shared" si="18"/>
        <v>0.378068739730011-3.93020303678189E-06i</v>
      </c>
      <c r="AT33" s="233" t="str">
        <f t="shared" si="29"/>
        <v>2.83327325598406-0.00368824667480029i</v>
      </c>
      <c r="AU33" s="233">
        <f t="shared" si="30"/>
        <v>9.0457766038077327</v>
      </c>
      <c r="AV33" s="233">
        <f t="shared" si="31"/>
        <v>-7.4585410516264092E-2</v>
      </c>
    </row>
    <row r="34" spans="1:48" x14ac:dyDescent="0.25">
      <c r="A34" s="233"/>
      <c r="B34" s="235" t="s">
        <v>304</v>
      </c>
      <c r="C34" s="233">
        <v>1</v>
      </c>
      <c r="F34" s="233">
        <v>32</v>
      </c>
      <c r="G34" s="249">
        <f t="shared" si="0"/>
        <v>168.58326718991708</v>
      </c>
      <c r="H34" s="249">
        <f t="shared" si="1"/>
        <v>168.57881372500071</v>
      </c>
      <c r="I34" s="234">
        <f t="shared" si="2"/>
        <v>1</v>
      </c>
      <c r="J34" s="233">
        <f t="shared" si="19"/>
        <v>1</v>
      </c>
      <c r="K34" s="233">
        <f t="shared" si="20"/>
        <v>1</v>
      </c>
      <c r="L34" s="233">
        <f>10^('Small Signal'!F34/30)</f>
        <v>11.659144011798322</v>
      </c>
      <c r="M34" s="233" t="str">
        <f t="shared" si="21"/>
        <v>73.2565623492221i</v>
      </c>
      <c r="N34" s="233">
        <f>IF(D$31=1, IF(AND('Small Signal'!$B$61&gt;=1,FCCM=0),V34+0,S34+0), 0)</f>
        <v>8.9183311908113758</v>
      </c>
      <c r="O34" s="233">
        <f>IF(D$31=1, IF(AND('Small Signal'!$B$61&gt;=1,FCCM=0),W34,T34), 0)</f>
        <v>-7.9570689552159748E-2</v>
      </c>
      <c r="P34" s="233">
        <f>IF(AND('Small Signal'!$B$61&gt;=1,FCCM=0),AF34+0,AC34+0)</f>
        <v>60.426293677987758</v>
      </c>
      <c r="Q34" s="233">
        <f>IF(AND('Small Signal'!$B$61&gt;=1,FCCM=0),AG34,AD34)</f>
        <v>147.7202076531315</v>
      </c>
      <c r="R34" s="233" t="str">
        <f>IMDIV(IMSUM('Small Signal'!$B$2*'Small Signal'!$B$38*'Small Signal'!$B$62,IMPRODUCT(M34,'Small Signal'!$B$2*'Small Signal'!$B$38*'Small Signal'!$B$62*'Small Signal'!$B$14*'Small Signal'!$B$15)),IMSUM(IMPRODUCT('Small Signal'!$B$12*'Small Signal'!$B$14*('Small Signal'!$B$15+'Small Signal'!$B$38),IMPOWER(M34,2)),IMSUM(IMPRODUCT(M34,('Small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2.37196482857232-0.00287436831138426i</v>
      </c>
      <c r="S34" s="233">
        <f t="shared" si="22"/>
        <v>8.9183311908113758</v>
      </c>
      <c r="T34" s="233">
        <f t="shared" si="23"/>
        <v>-7.9570689552159748E-2</v>
      </c>
      <c r="U34" s="233" t="str">
        <f>IMDIV(IMSUM('Small Signal'!$B$74,IMPRODUCT(M34,'Small Signal'!$B$75)),IMSUM(IMPRODUCT('Small Signal'!$B$78,IMPOWER(M34,2)),IMSUM(IMPRODUCT(M34,'Small Signal'!$B$77),'Small Signal'!$B$76)))</f>
        <v>1.68280658345858-0.00211889520538095i</v>
      </c>
      <c r="V34" s="233">
        <f t="shared" si="3"/>
        <v>4.5206909332983249</v>
      </c>
      <c r="W34" s="233">
        <f t="shared" si="4"/>
        <v>-7.2143578194123995E-2</v>
      </c>
      <c r="X34" s="233" t="str">
        <f>IMPRODUCT(IMDIV(IMSUM(IMPRODUCT(M34,'Small Signal'!$B$57*'Small Signal'!$B$6*'Small Signal'!$B$50*'Small Signal'!$B$7*'Small Signal'!$B$8),'Small Signal'!$B$57*'Small Signal'!$B$6*'Small Signal'!$B$50),IMSUM(IMSUM(IMPRODUCT(M34,('Small Signal'!$B$5+'Small Signal'!$B$6)*('Small Signal'!$B$56*'Small Signal'!$B$57)+'Small Signal'!$B$5*'Small Signal'!$B$57*('Small Signal'!$B$8+'Small Signal'!$B$9)+'Small Signal'!$B$6*'Small Signal'!$B$57*('Small Signal'!$B$8+'Small Signal'!$B$9)+'Small Signal'!$B$7*'Small Signal'!$B$8*('Small Signal'!$B$5+'Small Signal'!$B$6)),'Small Signal'!$B$6+'Small Signal'!$B$5),IMPRODUCT(IMPOWER(M34,2),'Small Signal'!$B$56*'Small Signal'!$B$57*'Small Signal'!$B$8*'Small Signal'!$B$7*('Small Signal'!$B$5+'Small Signal'!$B$6)+('Small Signal'!$B$5+'Small Signal'!$B$6)*('Small Signal'!$B$9*'Small Signal'!$B$8*'Small Signal'!$B$57*'Small Signal'!$B$7)))),-1)</f>
        <v>-318.30544508291+200.485939862715i</v>
      </c>
      <c r="Y34" s="233">
        <f t="shared" si="5"/>
        <v>51.507962487176385</v>
      </c>
      <c r="Z34" s="233">
        <f t="shared" si="6"/>
        <v>147.79977834268362</v>
      </c>
      <c r="AA34" s="233" t="str">
        <f t="shared" si="7"/>
        <v>1.0000000054356+0.0000822917186260827i</v>
      </c>
      <c r="AB34" s="233" t="str">
        <f t="shared" si="8"/>
        <v>-887.979084252812+560.918829805818i</v>
      </c>
      <c r="AC34" s="230">
        <f t="shared" si="24"/>
        <v>60.426293677987758</v>
      </c>
      <c r="AD34" s="233">
        <f t="shared" si="25"/>
        <v>147.7202076531315</v>
      </c>
      <c r="AE34" s="233" t="str">
        <f t="shared" si="9"/>
        <v>-535.221689839513+338.053515373291i</v>
      </c>
      <c r="AF34" s="230">
        <f t="shared" si="10"/>
        <v>56.028653343851587</v>
      </c>
      <c r="AG34" s="233">
        <f t="shared" si="11"/>
        <v>147.72291979635958</v>
      </c>
      <c r="AI34" s="233" t="str">
        <f t="shared" si="12"/>
        <v>0.002-138.304500436054i</v>
      </c>
      <c r="AJ34" s="233">
        <f t="shared" si="13"/>
        <v>0.33750000000000002</v>
      </c>
      <c r="AK34" s="233" t="str">
        <f t="shared" si="14"/>
        <v>0.15-136506.541930386i</v>
      </c>
      <c r="AL34" s="233" t="str">
        <f t="shared" si="15"/>
        <v>0.33749797424607-0.000824419796485832i</v>
      </c>
      <c r="AM34" s="233" t="str">
        <f t="shared" si="16"/>
        <v>0.366666666623214-3.99162415251283E-06i</v>
      </c>
      <c r="AN34" s="233" t="str">
        <f t="shared" si="17"/>
        <v>0.005+0.0000732565623492221i</v>
      </c>
      <c r="AO34" s="233" t="str">
        <f t="shared" si="26"/>
        <v>2.79200467234636-0.00387745627559529i</v>
      </c>
      <c r="AP34" s="233">
        <f t="shared" si="27"/>
        <v>8.9183311908113758</v>
      </c>
      <c r="AQ34" s="233">
        <f t="shared" si="28"/>
        <v>-7.9570689552159748E-2</v>
      </c>
      <c r="AS34" s="233" t="str">
        <f t="shared" si="18"/>
        <v>0.378068739723232-4.24373562194593E-06i</v>
      </c>
      <c r="AT34" s="233" t="str">
        <f t="shared" si="29"/>
        <v>2.83327255249415-0.00398247629423159i</v>
      </c>
      <c r="AU34" s="233">
        <f t="shared" si="30"/>
        <v>9.0457756681799033</v>
      </c>
      <c r="AV34" s="233">
        <f t="shared" si="31"/>
        <v>-8.0535468850511938E-2</v>
      </c>
    </row>
    <row r="35" spans="1:48" x14ac:dyDescent="0.25">
      <c r="A35" s="233"/>
      <c r="B35" s="233" t="s">
        <v>303</v>
      </c>
      <c r="C35" s="233">
        <v>0</v>
      </c>
      <c r="F35" s="233">
        <v>33</v>
      </c>
      <c r="G35" s="249">
        <f t="shared" si="0"/>
        <v>168.58362246579514</v>
      </c>
      <c r="H35" s="249">
        <f t="shared" si="1"/>
        <v>168.57881372500071</v>
      </c>
      <c r="I35" s="234">
        <f t="shared" si="2"/>
        <v>1</v>
      </c>
      <c r="J35" s="233">
        <f t="shared" si="19"/>
        <v>1</v>
      </c>
      <c r="K35" s="233">
        <f t="shared" si="20"/>
        <v>1</v>
      </c>
      <c r="L35" s="233">
        <f>10^('Small Signal'!F35/30)</f>
        <v>12.58925411794168</v>
      </c>
      <c r="M35" s="233" t="str">
        <f t="shared" si="21"/>
        <v>79.1006165022013i</v>
      </c>
      <c r="N35" s="233">
        <f>IF(D$31=1, IF(AND('Small Signal'!$B$61&gt;=1,FCCM=0),V35+0,S35+0), 0)</f>
        <v>8.9183301399634924</v>
      </c>
      <c r="O35" s="233">
        <f>IF(D$31=1, IF(AND('Small Signal'!$B$61&gt;=1,FCCM=0),W35,T35), 0)</f>
        <v>-8.591844842177844E-2</v>
      </c>
      <c r="P35" s="233">
        <f>IF(AND('Small Signal'!$B$61&gt;=1,FCCM=0),AF35+0,AC35+0)</f>
        <v>60.22479466416479</v>
      </c>
      <c r="Q35" s="233">
        <f>IF(AND('Small Signal'!$B$61&gt;=1,FCCM=0),AG35,AD35)</f>
        <v>145.70634335755534</v>
      </c>
      <c r="R35" s="233" t="str">
        <f>IMDIV(IMSUM('Small Signal'!$B$2*'Small Signal'!$B$38*'Small Signal'!$B$62,IMPRODUCT(M35,'Small Signal'!$B$2*'Small Signal'!$B$38*'Small Signal'!$B$62*'Small Signal'!$B$14*'Small Signal'!$B$15)),IMSUM(IMPRODUCT('Small Signal'!$B$12*'Small Signal'!$B$14*('Small Signal'!$B$15+'Small Signal'!$B$38),IMPOWER(M35,2)),IMSUM(IMPRODUCT(M35,('Small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2.37196435962996-0.00310367104069587i</v>
      </c>
      <c r="S35" s="233">
        <f t="shared" si="22"/>
        <v>8.9183301399634924</v>
      </c>
      <c r="T35" s="233">
        <f t="shared" si="23"/>
        <v>-8.591844842177844E-2</v>
      </c>
      <c r="U35" s="233" t="str">
        <f>IMDIV(IMSUM('Small Signal'!$B$74,IMPRODUCT(M35,'Small Signal'!$B$75)),IMSUM(IMPRODUCT('Small Signal'!$B$78,IMPOWER(M35,2)),IMSUM(IMPRODUCT(M35,'Small Signal'!$B$77),'Small Signal'!$B$76)))</f>
        <v>1.68280624621423-0.00228793010079658i</v>
      </c>
      <c r="V35" s="233">
        <f t="shared" si="3"/>
        <v>4.5206903349957477</v>
      </c>
      <c r="W35" s="233">
        <f t="shared" si="4"/>
        <v>-7.7898841960847467E-2</v>
      </c>
      <c r="X35" s="233" t="str">
        <f>IMPRODUCT(IMDIV(IMSUM(IMPRODUCT(M35,'Small Signal'!$B$57*'Small Signal'!$B$6*'Small Signal'!$B$50*'Small Signal'!$B$7*'Small Signal'!$B$8),'Small Signal'!$B$57*'Small Signal'!$B$6*'Small Signal'!$B$50),IMSUM(IMSUM(IMPRODUCT(M35,('Small Signal'!$B$5+'Small Signal'!$B$6)*('Small Signal'!$B$56*'Small Signal'!$B$57)+'Small Signal'!$B$5*'Small Signal'!$B$57*('Small Signal'!$B$8+'Small Signal'!$B$9)+'Small Signal'!$B$6*'Small Signal'!$B$57*('Small Signal'!$B$8+'Small Signal'!$B$9)+'Small Signal'!$B$7*'Small Signal'!$B$8*('Small Signal'!$B$5+'Small Signal'!$B$6)),'Small Signal'!$B$6+'Small Signal'!$B$5),IMPRODUCT(IMPOWER(M35,2),'Small Signal'!$B$56*'Small Signal'!$B$57*'Small Signal'!$B$8*'Small Signal'!$B$7*('Small Signal'!$B$5+'Small Signal'!$B$6)+('Small Signal'!$B$5+'Small Signal'!$B$6)*('Small Signal'!$B$9*'Small Signal'!$B$8*'Small Signal'!$B$57*'Small Signal'!$B$7)))),-1)</f>
        <v>-303.951953697619+206.665041902437i</v>
      </c>
      <c r="Y35" s="233">
        <f t="shared" si="5"/>
        <v>51.30646452420131</v>
      </c>
      <c r="Z35" s="233">
        <f t="shared" si="6"/>
        <v>145.79226180597712</v>
      </c>
      <c r="AA35" s="233" t="str">
        <f t="shared" si="7"/>
        <v>1.00000000633744+0.0000888565537733832i</v>
      </c>
      <c r="AB35" s="233" t="str">
        <f t="shared" si="8"/>
        <v>-847.821164918899+578.206854187986i</v>
      </c>
      <c r="AC35" s="230">
        <f t="shared" si="24"/>
        <v>60.22479466416479</v>
      </c>
      <c r="AD35" s="233">
        <f t="shared" si="25"/>
        <v>145.70634335755534</v>
      </c>
      <c r="AE35" s="233" t="str">
        <f t="shared" si="9"/>
        <v>-511.019411061221+348.472644211607i</v>
      </c>
      <c r="AF35" s="230">
        <f t="shared" si="10"/>
        <v>55.827154769861089</v>
      </c>
      <c r="AG35" s="233">
        <f t="shared" si="11"/>
        <v>145.70927185854865</v>
      </c>
      <c r="AI35" s="233" t="str">
        <f t="shared" si="12"/>
        <v>0.002-128.086388038327i</v>
      </c>
      <c r="AJ35" s="233">
        <f t="shared" si="13"/>
        <v>0.33750000000000002</v>
      </c>
      <c r="AK35" s="233" t="str">
        <f t="shared" si="14"/>
        <v>0.15-126421.264993829i</v>
      </c>
      <c r="AL35" s="233" t="str">
        <f t="shared" si="15"/>
        <v>0.337497638146686-0.000890187127834424i</v>
      </c>
      <c r="AM35" s="233" t="str">
        <f t="shared" si="16"/>
        <v>0.366666666616004-4.31005661714599E-06i</v>
      </c>
      <c r="AN35" s="233" t="str">
        <f t="shared" si="17"/>
        <v>0.005+0.0000791006165022013i</v>
      </c>
      <c r="AO35" s="233" t="str">
        <f t="shared" si="26"/>
        <v>2.79200388784486-0.00418677996665523i</v>
      </c>
      <c r="AP35" s="233">
        <f t="shared" si="27"/>
        <v>8.9183301399634924</v>
      </c>
      <c r="AQ35" s="233">
        <f t="shared" si="28"/>
        <v>-8.591844842177844E-2</v>
      </c>
      <c r="AS35" s="233" t="str">
        <f t="shared" si="18"/>
        <v>0.37806873971533-4.58228031996677E-06i</v>
      </c>
      <c r="AT35" s="233" t="str">
        <f t="shared" si="29"/>
        <v>2.83327173228552-0.00430017790722049i</v>
      </c>
      <c r="AU35" s="233">
        <f t="shared" si="30"/>
        <v>9.0457745773182214</v>
      </c>
      <c r="AV35" s="233">
        <f t="shared" si="31"/>
        <v>-8.6960192786287305E-2</v>
      </c>
    </row>
    <row r="36" spans="1:48" x14ac:dyDescent="0.25">
      <c r="A36" s="233"/>
      <c r="F36" s="233">
        <v>34</v>
      </c>
      <c r="G36" s="249">
        <f t="shared" si="0"/>
        <v>168.58400608386188</v>
      </c>
      <c r="H36" s="249">
        <f t="shared" si="1"/>
        <v>168.57881372500071</v>
      </c>
      <c r="I36" s="234">
        <f t="shared" si="2"/>
        <v>1</v>
      </c>
      <c r="J36" s="233">
        <f t="shared" si="19"/>
        <v>1</v>
      </c>
      <c r="K36" s="233">
        <f t="shared" si="20"/>
        <v>1</v>
      </c>
      <c r="L36" s="233">
        <f>10^('Small Signal'!F36/30)</f>
        <v>13.593563908785256</v>
      </c>
      <c r="M36" s="233" t="str">
        <f t="shared" si="21"/>
        <v>85.4108810238862i</v>
      </c>
      <c r="N36" s="233">
        <f>IF(D$31=1, IF(AND('Small Signal'!$B$61&gt;=1,FCCM=0),V36+0,S36+0), 0)</f>
        <v>8.9183289147650786</v>
      </c>
      <c r="O36" s="233">
        <f>IF(D$31=1, IF(AND('Small Signal'!$B$61&gt;=1,FCCM=0),W36,T36), 0)</f>
        <v>-9.2772599282336943E-2</v>
      </c>
      <c r="P36" s="233">
        <f>IF(AND('Small Signal'!$B$61&gt;=1,FCCM=0),AF36+0,AC36+0)</f>
        <v>60.001092724093972</v>
      </c>
      <c r="Q36" s="233">
        <f>IF(AND('Small Signal'!$B$61&gt;=1,FCCM=0),AG36,AD36)</f>
        <v>143.63595284711459</v>
      </c>
      <c r="R36" s="233" t="str">
        <f>IMDIV(IMSUM('Small Signal'!$B$2*'Small Signal'!$B$38*'Small Signal'!$B$62,IMPRODUCT(M36,'Small Signal'!$B$2*'Small Signal'!$B$38*'Small Signal'!$B$62*'Small Signal'!$B$14*'Small Signal'!$B$15)),IMSUM(IMPRODUCT('Small Signal'!$B$12*'Small Signal'!$B$14*('Small Signal'!$B$15+'Small Signal'!$B$38),IMPOWER(M36,2)),IMSUM(IMPRODUCT(M36,('Small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2.37196381288348-0.00335126631094214i</v>
      </c>
      <c r="S36" s="233">
        <f t="shared" si="22"/>
        <v>8.9183289147650786</v>
      </c>
      <c r="T36" s="233">
        <f t="shared" si="23"/>
        <v>-9.2772599282336943E-2</v>
      </c>
      <c r="U36" s="233" t="str">
        <f>IMDIV(IMSUM('Small Signal'!$B$74,IMPRODUCT(M36,'Small Signal'!$B$75)),IMSUM(IMPRODUCT('Small Signal'!$B$78,IMPOWER(M36,2)),IMSUM(IMPRODUCT(M36,'Small Signal'!$B$77),'Small Signal'!$B$76)))</f>
        <v>1.68280585301629-0.00247044970124733i</v>
      </c>
      <c r="V36" s="233">
        <f t="shared" si="3"/>
        <v>4.5206896374262415</v>
      </c>
      <c r="W36" s="233">
        <f t="shared" si="4"/>
        <v>-8.4113232338236713E-2</v>
      </c>
      <c r="X36" s="233" t="str">
        <f>IMPRODUCT(IMDIV(IMSUM(IMPRODUCT(M36,'Small Signal'!$B$57*'Small Signal'!$B$6*'Small Signal'!$B$50*'Small Signal'!$B$7*'Small Signal'!$B$8),'Small Signal'!$B$57*'Small Signal'!$B$6*'Small Signal'!$B$50),IMSUM(IMSUM(IMPRODUCT(M36,('Small Signal'!$B$5+'Small Signal'!$B$6)*('Small Signal'!$B$56*'Small Signal'!$B$57)+'Small Signal'!$B$5*'Small Signal'!$B$57*('Small Signal'!$B$8+'Small Signal'!$B$9)+'Small Signal'!$B$6*'Small Signal'!$B$57*('Small Signal'!$B$8+'Small Signal'!$B$9)+'Small Signal'!$B$7*'Small Signal'!$B$8*('Small Signal'!$B$5+'Small Signal'!$B$6)),'Small Signal'!$B$6+'Small Signal'!$B$5),IMPRODUCT(IMPOWER(M36,2),'Small Signal'!$B$56*'Small Signal'!$B$57*'Small Signal'!$B$8*'Small Signal'!$B$7*('Small Signal'!$B$5+'Small Signal'!$B$6)+('Small Signal'!$B$5+'Small Signal'!$B$6)*('Small Signal'!$B$9*'Small Signal'!$B$8*'Small Signal'!$B$57*'Small Signal'!$B$7)))),-1)</f>
        <v>-288.777838106677+211.948219369332i</v>
      </c>
      <c r="Y36" s="233">
        <f t="shared" si="5"/>
        <v>51.082763809328895</v>
      </c>
      <c r="Z36" s="233">
        <f t="shared" si="6"/>
        <v>143.72872544639696</v>
      </c>
      <c r="AA36" s="233" t="str">
        <f t="shared" si="7"/>
        <v>1.00000000738892+0.0000959450996935596i</v>
      </c>
      <c r="AB36" s="233" t="str">
        <f t="shared" si="8"/>
        <v>-805.367319051305+592.988298435367i</v>
      </c>
      <c r="AC36" s="230">
        <f t="shared" si="24"/>
        <v>60.001092724093972</v>
      </c>
      <c r="AD36" s="233">
        <f t="shared" si="25"/>
        <v>143.63595284711459</v>
      </c>
      <c r="AE36" s="233" t="str">
        <f t="shared" si="9"/>
        <v>-485.433428772086+357.38111521497i</v>
      </c>
      <c r="AF36" s="230">
        <f t="shared" si="10"/>
        <v>55.603453342596978</v>
      </c>
      <c r="AG36" s="233">
        <f t="shared" si="11"/>
        <v>143.63911496483883</v>
      </c>
      <c r="AI36" s="233" t="str">
        <f t="shared" si="12"/>
        <v>0.002-118.623202780666i</v>
      </c>
      <c r="AJ36" s="233">
        <f t="shared" si="13"/>
        <v>0.33750000000000002</v>
      </c>
      <c r="AK36" s="233" t="str">
        <f t="shared" si="14"/>
        <v>0.15-117081.101144518i</v>
      </c>
      <c r="AL36" s="233" t="str">
        <f t="shared" si="15"/>
        <v>0.337497246284424-0.000961200827824917i</v>
      </c>
      <c r="AM36" s="233" t="str">
        <f t="shared" si="16"/>
        <v>0.366666666607596-4.65389208331371E-06i</v>
      </c>
      <c r="AN36" s="233" t="str">
        <f t="shared" si="17"/>
        <v>0.005+0.0000854108810238862i</v>
      </c>
      <c r="AO36" s="233" t="str">
        <f t="shared" si="26"/>
        <v>2.79200297318372-0.00452077974315669i</v>
      </c>
      <c r="AP36" s="233">
        <f t="shared" si="27"/>
        <v>8.9183289147650786</v>
      </c>
      <c r="AQ36" s="233">
        <f t="shared" si="28"/>
        <v>-9.2772599282336943E-2</v>
      </c>
      <c r="AS36" s="233" t="str">
        <f t="shared" si="18"/>
        <v>0.378068739706115-4.94783247620258E-06i</v>
      </c>
      <c r="AT36" s="233" t="str">
        <f t="shared" si="29"/>
        <v>2.83327077599297-0.00464322393835749i</v>
      </c>
      <c r="AU36" s="233">
        <f t="shared" si="30"/>
        <v>9.0457733054671881</v>
      </c>
      <c r="AV36" s="233">
        <f t="shared" si="31"/>
        <v>-9.389744852069877E-2</v>
      </c>
    </row>
    <row r="37" spans="1:48" x14ac:dyDescent="0.25">
      <c r="A37" s="233"/>
      <c r="F37" s="233">
        <v>35</v>
      </c>
      <c r="G37" s="249">
        <f t="shared" si="0"/>
        <v>168.58442030511935</v>
      </c>
      <c r="H37" s="249">
        <f t="shared" si="1"/>
        <v>168.57881372500071</v>
      </c>
      <c r="I37" s="234">
        <f t="shared" si="2"/>
        <v>1</v>
      </c>
      <c r="J37" s="233">
        <f t="shared" si="19"/>
        <v>1</v>
      </c>
      <c r="K37" s="233">
        <f t="shared" si="20"/>
        <v>1</v>
      </c>
      <c r="L37" s="233">
        <f>10^('Small Signal'!F37/30)</f>
        <v>14.677992676220699</v>
      </c>
      <c r="M37" s="233" t="str">
        <f t="shared" si="21"/>
        <v>92.2245479221195i</v>
      </c>
      <c r="N37" s="233">
        <f>IF(D$31=1, IF(AND('Small Signal'!$B$61&gt;=1,FCCM=0),V37+0,S37+0), 0)</f>
        <v>8.9183274862890141</v>
      </c>
      <c r="O37" s="233">
        <f>IF(D$31=1, IF(AND('Small Signal'!$B$61&gt;=1,FCCM=0),W37,T37), 0)</f>
        <v>-0.1001735392478723</v>
      </c>
      <c r="P37" s="233">
        <f>IF(AND('Small Signal'!$B$61&gt;=1,FCCM=0),AF37+0,AC37+0)</f>
        <v>59.754041308949482</v>
      </c>
      <c r="Q37" s="233">
        <f>IF(AND('Small Signal'!$B$61&gt;=1,FCCM=0),AG37,AD37)</f>
        <v>141.51863233003925</v>
      </c>
      <c r="R37" s="233" t="str">
        <f>IMDIV(IMSUM('Small Signal'!$B$2*'Small Signal'!$B$38*'Small Signal'!$B$62,IMPRODUCT(M37,'Small Signal'!$B$2*'Small Signal'!$B$38*'Small Signal'!$B$62*'Small Signal'!$B$14*'Small Signal'!$B$15)),IMSUM(IMPRODUCT('Small Signal'!$B$12*'Small Signal'!$B$14*('Small Signal'!$B$15+'Small Signal'!$B$38),IMPOWER(M37,2)),IMSUM(IMPRODUCT(M37,('Small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2.3719631754241-0.00361861338108141i</v>
      </c>
      <c r="S37" s="233">
        <f t="shared" si="22"/>
        <v>8.9183274862890141</v>
      </c>
      <c r="T37" s="233">
        <f t="shared" si="23"/>
        <v>-0.1001735392478723</v>
      </c>
      <c r="U37" s="233" t="str">
        <f>IMDIV(IMSUM('Small Signal'!$B$74,IMPRODUCT(M37,'Small Signal'!$B$75)),IMSUM(IMPRODUCT('Small Signal'!$B$78,IMPOWER(M37,2)),IMSUM(IMPRODUCT(M37,'Small Signal'!$B$77),'Small Signal'!$B$76)))</f>
        <v>1.68280539458127-0.00266752973024529i</v>
      </c>
      <c r="V37" s="233">
        <f t="shared" si="3"/>
        <v>4.5206888241199152</v>
      </c>
      <c r="W37" s="233">
        <f t="shared" si="4"/>
        <v>-9.0823376099167422E-2</v>
      </c>
      <c r="X37" s="233" t="str">
        <f>IMPRODUCT(IMDIV(IMSUM(IMPRODUCT(M37,'Small Signal'!$B$57*'Small Signal'!$B$6*'Small Signal'!$B$50*'Small Signal'!$B$7*'Small Signal'!$B$8),'Small Signal'!$B$57*'Small Signal'!$B$6*'Small Signal'!$B$50),IMSUM(IMSUM(IMPRODUCT(M37,('Small Signal'!$B$5+'Small Signal'!$B$6)*('Small Signal'!$B$56*'Small Signal'!$B$57)+'Small Signal'!$B$5*'Small Signal'!$B$57*('Small Signal'!$B$8+'Small Signal'!$B$9)+'Small Signal'!$B$6*'Small Signal'!$B$57*('Small Signal'!$B$8+'Small Signal'!$B$9)+'Small Signal'!$B$7*'Small Signal'!$B$8*('Small Signal'!$B$5+'Small Signal'!$B$6)),'Small Signal'!$B$6+'Small Signal'!$B$5),IMPRODUCT(IMPOWER(M37,2),'Small Signal'!$B$56*'Small Signal'!$B$57*'Small Signal'!$B$8*'Small Signal'!$B$7*('Small Signal'!$B$5+'Small Signal'!$B$6)+('Small Signal'!$B$5+'Small Signal'!$B$6)*('Small Signal'!$B$9*'Small Signal'!$B$8*'Small Signal'!$B$57*'Small Signal'!$B$7)))),-1)</f>
        <v>-272.903564523911+216.200907400007i</v>
      </c>
      <c r="Y37" s="233">
        <f t="shared" si="5"/>
        <v>50.835713822660459</v>
      </c>
      <c r="Z37" s="233">
        <f t="shared" si="6"/>
        <v>141.61880586928714</v>
      </c>
      <c r="AA37" s="233" t="str">
        <f t="shared" si="7"/>
        <v>1.00000000861485+0.000103599135494219i</v>
      </c>
      <c r="AB37" s="233" t="str">
        <f t="shared" si="8"/>
        <v>-760.954584658019+604.88668120422i</v>
      </c>
      <c r="AC37" s="230">
        <f t="shared" si="24"/>
        <v>59.754041308949482</v>
      </c>
      <c r="AD37" s="233">
        <f t="shared" si="25"/>
        <v>141.51863233003925</v>
      </c>
      <c r="AE37" s="233" t="str">
        <f t="shared" si="9"/>
        <v>-458.6668682331+364.552031657955i</v>
      </c>
      <c r="AF37" s="230">
        <f t="shared" si="10"/>
        <v>55.356402525340876</v>
      </c>
      <c r="AG37" s="233">
        <f t="shared" si="11"/>
        <v>141.52204670003536</v>
      </c>
      <c r="AI37" s="233" t="str">
        <f t="shared" si="12"/>
        <v>0.002-109.859169685795i</v>
      </c>
      <c r="AJ37" s="233">
        <f t="shared" si="13"/>
        <v>0.33750000000000002</v>
      </c>
      <c r="AK37" s="233" t="str">
        <f t="shared" si="14"/>
        <v>0.15-108431.000479879i</v>
      </c>
      <c r="AL37" s="233" t="str">
        <f t="shared" si="15"/>
        <v>0.337496789407725-0.0010378793665846i</v>
      </c>
      <c r="AM37" s="233" t="str">
        <f t="shared" si="16"/>
        <v>0.366666666597797-5.02515707958142E-06i</v>
      </c>
      <c r="AN37" s="233" t="str">
        <f t="shared" si="17"/>
        <v>0.005+0.0000922245479221195i</v>
      </c>
      <c r="AO37" s="233" t="str">
        <f t="shared" si="26"/>
        <v>2.79200190676776-0.0048814240759251i</v>
      </c>
      <c r="AP37" s="233">
        <f t="shared" si="27"/>
        <v>8.9183274862890141</v>
      </c>
      <c r="AQ37" s="233">
        <f t="shared" si="28"/>
        <v>-0.1001735392478723</v>
      </c>
      <c r="AS37" s="233" t="str">
        <f t="shared" si="18"/>
        <v>0.37806873969537-5.34254661501013E-06i</v>
      </c>
      <c r="AT37" s="233" t="str">
        <f t="shared" si="29"/>
        <v>2.8332696610384-0.00501363617031934i</v>
      </c>
      <c r="AU37" s="233">
        <f t="shared" si="30"/>
        <v>9.0457718225981782</v>
      </c>
      <c r="AV37" s="233">
        <f t="shared" si="31"/>
        <v>-0.10138812294787299</v>
      </c>
    </row>
    <row r="38" spans="1:48" x14ac:dyDescent="0.25">
      <c r="A38" s="236" t="s">
        <v>328</v>
      </c>
      <c r="B38" s="237">
        <f>B3/B4</f>
        <v>0.33750000000000002</v>
      </c>
      <c r="C38" s="238"/>
      <c r="F38" s="233">
        <v>36</v>
      </c>
      <c r="G38" s="249">
        <f t="shared" si="0"/>
        <v>168.58486757094136</v>
      </c>
      <c r="H38" s="249">
        <f t="shared" si="1"/>
        <v>168.57881372500071</v>
      </c>
      <c r="I38" s="234">
        <f t="shared" si="2"/>
        <v>1</v>
      </c>
      <c r="J38" s="233">
        <f t="shared" si="19"/>
        <v>1</v>
      </c>
      <c r="K38" s="233">
        <f t="shared" si="20"/>
        <v>1</v>
      </c>
      <c r="L38" s="233">
        <f>10^('Small Signal'!F38/30)</f>
        <v>15.848931924611136</v>
      </c>
      <c r="M38" s="233" t="str">
        <f t="shared" si="21"/>
        <v>99.5817762032062i</v>
      </c>
      <c r="N38" s="233">
        <f>IF(D$31=1, IF(AND('Small Signal'!$B$61&gt;=1,FCCM=0),V38+0,S38+0), 0)</f>
        <v>8.9183258208088532</v>
      </c>
      <c r="O38" s="233">
        <f>IF(D$31=1, IF(AND('Small Signal'!$B$61&gt;=1,FCCM=0),W38,T38), 0)</f>
        <v>-0.10816488801796487</v>
      </c>
      <c r="P38" s="233">
        <f>IF(AND('Small Signal'!$B$61&gt;=1,FCCM=0),AF38+0,AC38+0)</f>
        <v>59.482696741473305</v>
      </c>
      <c r="Q38" s="233">
        <f>IF(AND('Small Signal'!$B$61&gt;=1,FCCM=0),AG38,AD38)</f>
        <v>139.36522111288355</v>
      </c>
      <c r="R38" s="233" t="str">
        <f>IMDIV(IMSUM('Small Signal'!$B$2*'Small Signal'!$B$38*'Small Signal'!$B$62,IMPRODUCT(M38,'Small Signal'!$B$2*'Small Signal'!$B$38*'Small Signal'!$B$62*'Small Signal'!$B$14*'Small Signal'!$B$15)),IMSUM(IMPRODUCT('Small Signal'!$B$12*'Small Signal'!$B$14*('Small Signal'!$B$15+'Small Signal'!$B$38),IMPOWER(M38,2)),IMSUM(IMPRODUCT(M38,('Small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2.37196243220134-0.00390728791454549i</v>
      </c>
      <c r="S38" s="233">
        <f t="shared" si="22"/>
        <v>8.9183258208088532</v>
      </c>
      <c r="T38" s="233">
        <f t="shared" si="23"/>
        <v>-0.10816488801796487</v>
      </c>
      <c r="U38" s="233" t="str">
        <f>IMDIV(IMSUM('Small Signal'!$B$74,IMPRODUCT(M38,'Small Signal'!$B$75)),IMSUM(IMPRODUCT('Small Signal'!$B$78,IMPOWER(M38,2)),IMSUM(IMPRODUCT(M38,'Small Signal'!$B$77),'Small Signal'!$B$76)))</f>
        <v>1.68280486008547-0.0028803317218775i</v>
      </c>
      <c r="V38" s="233">
        <f t="shared" si="3"/>
        <v>4.5206878758745059</v>
      </c>
      <c r="W38" s="233">
        <f t="shared" si="4"/>
        <v>-9.8068821890376662E-2</v>
      </c>
      <c r="X38" s="233" t="str">
        <f>IMPRODUCT(IMDIV(IMSUM(IMPRODUCT(M38,'Small Signal'!$B$57*'Small Signal'!$B$6*'Small Signal'!$B$50*'Small Signal'!$B$7*'Small Signal'!$B$8),'Small Signal'!$B$57*'Small Signal'!$B$6*'Small Signal'!$B$50),IMSUM(IMSUM(IMPRODUCT(M38,('Small Signal'!$B$5+'Small Signal'!$B$6)*('Small Signal'!$B$56*'Small Signal'!$B$57)+'Small Signal'!$B$5*'Small Signal'!$B$57*('Small Signal'!$B$8+'Small Signal'!$B$9)+'Small Signal'!$B$6*'Small Signal'!$B$57*('Small Signal'!$B$8+'Small Signal'!$B$9)+'Small Signal'!$B$7*'Small Signal'!$B$8*('Small Signal'!$B$5+'Small Signal'!$B$6)),'Small Signal'!$B$6+'Small Signal'!$B$5),IMPRODUCT(IMPOWER(M38,2),'Small Signal'!$B$56*'Small Signal'!$B$57*'Small Signal'!$B$8*'Small Signal'!$B$7*('Small Signal'!$B$5+'Small Signal'!$B$6)+('Small Signal'!$B$5+'Small Signal'!$B$6)*('Small Signal'!$B$9*'Small Signal'!$B$8*'Small Signal'!$B$57*'Small Signal'!$B$7)))),-1)</f>
        <v>-256.478014226417+219.308700865612i</v>
      </c>
      <c r="Y38" s="233">
        <f t="shared" si="5"/>
        <v>50.564370920664452</v>
      </c>
      <c r="Z38" s="233">
        <f t="shared" si="6"/>
        <v>139.47338600090148</v>
      </c>
      <c r="AA38" s="233" t="str">
        <f t="shared" si="7"/>
        <v>1.00000001004417+0.000111863773216942i</v>
      </c>
      <c r="AB38" s="233" t="str">
        <f t="shared" si="8"/>
        <v>-714.999498854524+613.581923791937i</v>
      </c>
      <c r="AC38" s="230">
        <f t="shared" si="24"/>
        <v>59.482696741473305</v>
      </c>
      <c r="AD38" s="233">
        <f t="shared" si="25"/>
        <v>139.36522111288355</v>
      </c>
      <c r="AE38" s="233" t="str">
        <f t="shared" si="9"/>
        <v>-430.970767037298+369.792489436023i</v>
      </c>
      <c r="AF38" s="230">
        <f t="shared" si="10"/>
        <v>55.085058654950956</v>
      </c>
      <c r="AG38" s="233">
        <f t="shared" si="11"/>
        <v>139.3689078570165</v>
      </c>
      <c r="AI38" s="233" t="str">
        <f t="shared" si="12"/>
        <v>0.002-101.742634502694i</v>
      </c>
      <c r="AJ38" s="233">
        <f t="shared" si="13"/>
        <v>0.33750000000000002</v>
      </c>
      <c r="AK38" s="233" t="str">
        <f t="shared" si="14"/>
        <v>0.15-100419.980254159i</v>
      </c>
      <c r="AL38" s="233" t="str">
        <f t="shared" si="15"/>
        <v>0.337496256730173-0.00112067458228437i</v>
      </c>
      <c r="AM38" s="233" t="str">
        <f t="shared" si="16"/>
        <v>0.366666666586371-5.42603980115821E-06i</v>
      </c>
      <c r="AN38" s="233" t="str">
        <f t="shared" si="17"/>
        <v>0.005+0.0000995817762032062i</v>
      </c>
      <c r="AO38" s="233" t="str">
        <f t="shared" si="26"/>
        <v>2.79200066341893-0.00527083845328552i</v>
      </c>
      <c r="AP38" s="233">
        <f t="shared" si="27"/>
        <v>8.9183258208088532</v>
      </c>
      <c r="AQ38" s="233">
        <f t="shared" si="28"/>
        <v>-0.10816488801796487</v>
      </c>
      <c r="AS38" s="233" t="str">
        <f t="shared" si="18"/>
        <v>0.378068739682845-5.76874913827483E-06i</v>
      </c>
      <c r="AT38" s="233" t="str">
        <f t="shared" si="29"/>
        <v>2.83326836109777-0.00541359765507918i</v>
      </c>
      <c r="AU38" s="233">
        <f t="shared" si="30"/>
        <v>9.0457700937005097</v>
      </c>
      <c r="AV38" s="233">
        <f t="shared" si="31"/>
        <v>-0.1094763646135351</v>
      </c>
    </row>
    <row r="39" spans="1:48" x14ac:dyDescent="0.25">
      <c r="A39" s="236" t="s">
        <v>35</v>
      </c>
      <c r="B39" s="239">
        <f>B14</f>
        <v>9.8699999999999987E-5</v>
      </c>
      <c r="C39" s="238"/>
      <c r="F39" s="233">
        <v>37</v>
      </c>
      <c r="G39" s="249">
        <f t="shared" si="0"/>
        <v>168.58535051746247</v>
      </c>
      <c r="H39" s="249">
        <f t="shared" si="1"/>
        <v>168.57881372500071</v>
      </c>
      <c r="I39" s="234">
        <f t="shared" si="2"/>
        <v>1</v>
      </c>
      <c r="J39" s="233">
        <f t="shared" si="19"/>
        <v>1</v>
      </c>
      <c r="K39" s="233">
        <f t="shared" si="20"/>
        <v>1</v>
      </c>
      <c r="L39" s="233">
        <f>10^('Small Signal'!F39/30)</f>
        <v>17.113283041617812</v>
      </c>
      <c r="M39" s="233" t="str">
        <f t="shared" si="21"/>
        <v>107.525928564699i</v>
      </c>
      <c r="N39" s="233">
        <f>IF(D$31=1, IF(AND('Small Signal'!$B$61&gt;=1,FCCM=0),V39+0,S39+0), 0)</f>
        <v>8.9183238790022852</v>
      </c>
      <c r="O39" s="233">
        <f>IF(D$31=1, IF(AND('Small Signal'!$B$61&gt;=1,FCCM=0),W39,T39), 0)</f>
        <v>-0.11679374493393575</v>
      </c>
      <c r="P39" s="233">
        <f>IF(AND('Small Signal'!$B$61&gt;=1,FCCM=0),AF39+0,AC39+0)</f>
        <v>59.186357722001617</v>
      </c>
      <c r="Q39" s="233">
        <f>IF(AND('Small Signal'!$B$61&gt;=1,FCCM=0),AG39,AD39)</f>
        <v>137.18756573330168</v>
      </c>
      <c r="R39" s="233" t="str">
        <f>IMDIV(IMSUM('Small Signal'!$B$2*'Small Signal'!$B$38*'Small Signal'!$B$62,IMPRODUCT(M39,'Small Signal'!$B$2*'Small Signal'!$B$38*'Small Signal'!$B$62*'Small Signal'!$B$14*'Small Signal'!$B$15)),IMSUM(IMPRODUCT('Small Signal'!$B$12*'Small Signal'!$B$14*('Small Signal'!$B$15+'Small Signal'!$B$38),IMPOWER(M39,2)),IMSUM(IMPRODUCT(M39,('Small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2.37196156566763-0.00421899126331597i</v>
      </c>
      <c r="S39" s="233">
        <f t="shared" si="22"/>
        <v>8.9183238790022852</v>
      </c>
      <c r="T39" s="233">
        <f t="shared" si="23"/>
        <v>-0.11679374493393575</v>
      </c>
      <c r="U39" s="233" t="str">
        <f>IMDIV(IMSUM('Small Signal'!$B$74,IMPRODUCT(M39,'Small Signal'!$B$75)),IMSUM(IMPRODUCT('Small Signal'!$B$78,IMPOWER(M39,2)),IMSUM(IMPRODUCT(M39,'Small Signal'!$B$77),'Small Signal'!$B$76)))</f>
        <v>1.68280423690937-0.00311010986494929i</v>
      </c>
      <c r="V39" s="233">
        <f t="shared" si="3"/>
        <v>4.5206867703016798</v>
      </c>
      <c r="W39" s="233">
        <f t="shared" si="4"/>
        <v>-0.10589227331691493</v>
      </c>
      <c r="X39" s="233" t="str">
        <f>IMPRODUCT(IMDIV(IMSUM(IMPRODUCT(M39,'Small Signal'!$B$57*'Small Signal'!$B$6*'Small Signal'!$B$50*'Small Signal'!$B$7*'Small Signal'!$B$8),'Small Signal'!$B$57*'Small Signal'!$B$6*'Small Signal'!$B$50),IMSUM(IMSUM(IMPRODUCT(M39,('Small Signal'!$B$5+'Small Signal'!$B$6)*('Small Signal'!$B$56*'Small Signal'!$B$57)+'Small Signal'!$B$5*'Small Signal'!$B$57*('Small Signal'!$B$8+'Small Signal'!$B$9)+'Small Signal'!$B$6*'Small Signal'!$B$57*('Small Signal'!$B$8+'Small Signal'!$B$9)+'Small Signal'!$B$7*'Small Signal'!$B$8*('Small Signal'!$B$5+'Small Signal'!$B$6)),'Small Signal'!$B$6+'Small Signal'!$B$5),IMPRODUCT(IMPOWER(M39,2),'Small Signal'!$B$56*'Small Signal'!$B$57*'Small Signal'!$B$8*'Small Signal'!$B$7*('Small Signal'!$B$5+'Small Signal'!$B$6)+('Small Signal'!$B$5+'Small Signal'!$B$6)*('Small Signal'!$B$9*'Small Signal'!$B$8*'Small Signal'!$B$57*'Small Signal'!$B$7)))),-1)</f>
        <v>-239.673844104768+221.184494904672i</v>
      </c>
      <c r="Y39" s="233">
        <f t="shared" si="5"/>
        <v>50.268033842999337</v>
      </c>
      <c r="Z39" s="233">
        <f t="shared" si="6"/>
        <v>137.30435947823565</v>
      </c>
      <c r="AA39" s="233" t="str">
        <f t="shared" si="7"/>
        <v>1.00000001171065+0.000120787723722345i</v>
      </c>
      <c r="AB39" s="233" t="str">
        <f t="shared" si="8"/>
        <v>-667.985117700989+618.830327790964i</v>
      </c>
      <c r="AC39" s="230">
        <f t="shared" si="24"/>
        <v>59.186357722001617</v>
      </c>
      <c r="AD39" s="233">
        <f t="shared" si="25"/>
        <v>137.18756573330168</v>
      </c>
      <c r="AE39" s="233" t="str">
        <f t="shared" si="9"/>
        <v>-402.636252256283+372.955617151162i</v>
      </c>
      <c r="AF39" s="230">
        <f t="shared" si="10"/>
        <v>54.788720448221461</v>
      </c>
      <c r="AG39" s="233">
        <f t="shared" si="11"/>
        <v>137.19154657824714</v>
      </c>
      <c r="AI39" s="233" t="str">
        <f t="shared" si="12"/>
        <v>0.002-94.2257592621068i</v>
      </c>
      <c r="AJ39" s="233">
        <f t="shared" si="13"/>
        <v>0.33750000000000002</v>
      </c>
      <c r="AK39" s="233" t="str">
        <f t="shared" si="14"/>
        <v>0.15-93000.8243916995i</v>
      </c>
      <c r="AL39" s="233" t="str">
        <f t="shared" si="15"/>
        <v>0.33749563567588-0.00121007433907224i</v>
      </c>
      <c r="AM39" s="233" t="str">
        <f t="shared" si="16"/>
        <v>0.366666666573048-5.85890300687933E-06i</v>
      </c>
      <c r="AN39" s="233" t="str">
        <f t="shared" si="17"/>
        <v>0.005+0.000107525928564699i</v>
      </c>
      <c r="AO39" s="233" t="str">
        <f t="shared" si="26"/>
        <v>2.79199921378179-0.00569131790260755i</v>
      </c>
      <c r="AP39" s="233">
        <f t="shared" si="27"/>
        <v>8.9183238790022852</v>
      </c>
      <c r="AQ39" s="233">
        <f t="shared" si="28"/>
        <v>-0.11679374493393575</v>
      </c>
      <c r="AS39" s="233" t="str">
        <f t="shared" si="18"/>
        <v>0.378068739668241-6.22895203696792E-06i</v>
      </c>
      <c r="AT39" s="233" t="str">
        <f t="shared" si="29"/>
        <v>2.83326684547954-0.00584546557433757i</v>
      </c>
      <c r="AU39" s="233">
        <f t="shared" si="30"/>
        <v>9.045768077954623</v>
      </c>
      <c r="AV39" s="233">
        <f t="shared" si="31"/>
        <v>-0.11820984388609164</v>
      </c>
    </row>
    <row r="40" spans="1:48" x14ac:dyDescent="0.25">
      <c r="A40" s="236" t="s">
        <v>36</v>
      </c>
      <c r="B40" s="240">
        <f>B15</f>
        <v>2E-3</v>
      </c>
      <c r="C40" s="238"/>
      <c r="D40" s="244"/>
      <c r="F40" s="233">
        <v>38</v>
      </c>
      <c r="G40" s="249">
        <f t="shared" si="0"/>
        <v>168.5858719911152</v>
      </c>
      <c r="H40" s="249">
        <f t="shared" si="1"/>
        <v>168.57881372500071</v>
      </c>
      <c r="I40" s="234">
        <f t="shared" si="2"/>
        <v>1</v>
      </c>
      <c r="J40" s="233">
        <f t="shared" si="19"/>
        <v>1</v>
      </c>
      <c r="K40" s="233">
        <f t="shared" si="20"/>
        <v>1</v>
      </c>
      <c r="L40" s="233">
        <f>10^('Small Signal'!F40/30)</f>
        <v>18.478497974222911</v>
      </c>
      <c r="M40" s="233" t="str">
        <f t="shared" si="21"/>
        <v>116.103826970385i</v>
      </c>
      <c r="N40" s="233">
        <f>IF(D$31=1, IF(AND('Small Signal'!$B$61&gt;=1,FCCM=0),V40+0,S40+0), 0)</f>
        <v>8.9183216150230411</v>
      </c>
      <c r="O40" s="233">
        <f>IF(D$31=1, IF(AND('Small Signal'!$B$61&gt;=1,FCCM=0),W40,T40), 0)</f>
        <v>-0.1261109665349695</v>
      </c>
      <c r="P40" s="233">
        <f>IF(AND('Small Signal'!$B$61&gt;=1,FCCM=0),AF40+0,AC40+0)</f>
        <v>58.864596245277554</v>
      </c>
      <c r="Q40" s="233">
        <f>IF(AND('Small Signal'!$B$61&gt;=1,FCCM=0),AG40,AD40)</f>
        <v>134.998219427994</v>
      </c>
      <c r="R40" s="233" t="str">
        <f>IMDIV(IMSUM('Small Signal'!$B$2*'Small Signal'!$B$38*'Small Signal'!$B$62,IMPRODUCT(M40,'Small Signal'!$B$2*'Small Signal'!$B$38*'Small Signal'!$B$62*'Small Signal'!$B$14*'Small Signal'!$B$15)),IMSUM(IMPRODUCT('Small Signal'!$B$12*'Small Signal'!$B$14*('Small Signal'!$B$15+'Small Signal'!$B$38),IMPOWER(M40,2)),IMSUM(IMPRODUCT(M40,('Small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2.37196055536407-0.00455556049209318i</v>
      </c>
      <c r="S40" s="233">
        <f t="shared" si="22"/>
        <v>8.9183216150230411</v>
      </c>
      <c r="T40" s="233">
        <f t="shared" si="23"/>
        <v>-0.1261109665349695</v>
      </c>
      <c r="U40" s="233" t="str">
        <f>IMDIV(IMSUM('Small Signal'!$B$74,IMPRODUCT(M40,'Small Signal'!$B$75)),IMSUM(IMPRODUCT('Small Signal'!$B$78,IMPOWER(M40,2)),IMSUM(IMPRODUCT(M40,'Small Signal'!$B$77),'Small Signal'!$B$76)))</f>
        <v>1.68280351033971-0.00335821839275509i</v>
      </c>
      <c r="V40" s="233">
        <f t="shared" si="3"/>
        <v>4.5206854812985489</v>
      </c>
      <c r="W40" s="233">
        <f t="shared" si="4"/>
        <v>-0.11433984061872932</v>
      </c>
      <c r="X40" s="233" t="str">
        <f>IMPRODUCT(IMDIV(IMSUM(IMPRODUCT(M40,'Small Signal'!$B$57*'Small Signal'!$B$6*'Small Signal'!$B$50*'Small Signal'!$B$7*'Small Signal'!$B$8),'Small Signal'!$B$57*'Small Signal'!$B$6*'Small Signal'!$B$50),IMSUM(IMSUM(IMPRODUCT(M40,('Small Signal'!$B$5+'Small Signal'!$B$6)*('Small Signal'!$B$56*'Small Signal'!$B$57)+'Small Signal'!$B$5*'Small Signal'!$B$57*('Small Signal'!$B$8+'Small Signal'!$B$9)+'Small Signal'!$B$6*'Small Signal'!$B$57*('Small Signal'!$B$8+'Small Signal'!$B$9)+'Small Signal'!$B$7*'Small Signal'!$B$8*('Small Signal'!$B$5+'Small Signal'!$B$6)),'Small Signal'!$B$6+'Small Signal'!$B$5),IMPRODUCT(IMPOWER(M40,2),'Small Signal'!$B$56*'Small Signal'!$B$57*'Small Signal'!$B$8*'Small Signal'!$B$7*('Small Signal'!$B$5+'Small Signal'!$B$6)+('Small Signal'!$B$5+'Small Signal'!$B$6)*('Small Signal'!$B$9*'Small Signal'!$B$8*'Small Signal'!$B$57*'Small Signal'!$B$7)))),-1)</f>
        <v>-222.68075533087+221.774265319419i</v>
      </c>
      <c r="Y40" s="233">
        <f t="shared" si="5"/>
        <v>49.946274630254507</v>
      </c>
      <c r="Z40" s="233">
        <f t="shared" si="6"/>
        <v>135.12433039452895</v>
      </c>
      <c r="AA40" s="233" t="str">
        <f t="shared" si="7"/>
        <v>1.00000001365361+0.000130423583786087i</v>
      </c>
      <c r="AB40" s="233" t="str">
        <f t="shared" si="8"/>
        <v>-620.442183411669+620.480747380109i</v>
      </c>
      <c r="AC40" s="230">
        <f t="shared" si="24"/>
        <v>58.864596245277554</v>
      </c>
      <c r="AD40" s="233">
        <f t="shared" si="25"/>
        <v>134.998219427994</v>
      </c>
      <c r="AE40" s="233" t="str">
        <f t="shared" si="9"/>
        <v>-373.983190339051+373.950322790793i</v>
      </c>
      <c r="AF40" s="230">
        <f t="shared" si="10"/>
        <v>54.466959919084474</v>
      </c>
      <c r="AG40" s="233">
        <f t="shared" si="11"/>
        <v>135.00251783315474</v>
      </c>
      <c r="AI40" s="233" t="str">
        <f t="shared" si="12"/>
        <v>0.002-87.2642403247928i</v>
      </c>
      <c r="AJ40" s="233">
        <f t="shared" si="13"/>
        <v>0.33750000000000002</v>
      </c>
      <c r="AK40" s="233" t="str">
        <f t="shared" si="14"/>
        <v>0.15-86129.8052005705i</v>
      </c>
      <c r="AL40" s="233" t="str">
        <f t="shared" si="15"/>
        <v>0.337494911582639-0.00130660539600631i</v>
      </c>
      <c r="AM40" s="233" t="str">
        <f t="shared" si="16"/>
        <v>0.366666666557516-0.0000063262979450474i</v>
      </c>
      <c r="AN40" s="233" t="str">
        <f t="shared" si="17"/>
        <v>0.005+0.000116103826970385i</v>
      </c>
      <c r="AO40" s="233" t="str">
        <f t="shared" si="26"/>
        <v>2.79199752363056-0.00614534050957944i</v>
      </c>
      <c r="AP40" s="233">
        <f t="shared" si="27"/>
        <v>8.9183216150230411</v>
      </c>
      <c r="AQ40" s="233">
        <f t="shared" si="28"/>
        <v>-0.1261109665349695</v>
      </c>
      <c r="AS40" s="233" t="str">
        <f t="shared" si="18"/>
        <v>0.378068739651214-0.0000067258676965456i</v>
      </c>
      <c r="AT40" s="233" t="str">
        <f t="shared" si="29"/>
        <v>2.83326507840015-0.00631178512463935i</v>
      </c>
      <c r="AU40" s="233">
        <f t="shared" si="30"/>
        <v>9.0457657277685612</v>
      </c>
      <c r="AV40" s="233">
        <f t="shared" si="31"/>
        <v>-0.12764003387571399</v>
      </c>
    </row>
    <row r="41" spans="1:48" x14ac:dyDescent="0.25">
      <c r="A41" s="236" t="s">
        <v>37</v>
      </c>
      <c r="B41" s="239">
        <f>B12</f>
        <v>9.9999999999999995E-7</v>
      </c>
      <c r="C41" s="238"/>
      <c r="D41" s="244"/>
      <c r="F41" s="233">
        <v>39</v>
      </c>
      <c r="G41" s="249">
        <f t="shared" si="0"/>
        <v>168.58643506540619</v>
      </c>
      <c r="H41" s="249">
        <f t="shared" si="1"/>
        <v>168.57881372500071</v>
      </c>
      <c r="I41" s="234">
        <f t="shared" si="2"/>
        <v>1</v>
      </c>
      <c r="J41" s="233">
        <f t="shared" si="19"/>
        <v>1</v>
      </c>
      <c r="K41" s="233">
        <f t="shared" si="20"/>
        <v>1</v>
      </c>
      <c r="L41" s="233">
        <f>10^('Small Signal'!F41/30)</f>
        <v>19.952623149688804</v>
      </c>
      <c r="M41" s="233" t="str">
        <f t="shared" si="21"/>
        <v>125.366028613816i</v>
      </c>
      <c r="N41" s="233">
        <f>IF(D$31=1, IF(AND('Small Signal'!$B$61&gt;=1,FCCM=0),V41+0,S41+0), 0)</f>
        <v>8.9183189754184351</v>
      </c>
      <c r="O41" s="233">
        <f>IF(D$31=1, IF(AND('Small Signal'!$B$61&gt;=1,FCCM=0),W41,T41), 0)</f>
        <v>-0.13617146624783147</v>
      </c>
      <c r="P41" s="233">
        <f>IF(AND('Small Signal'!$B$61&gt;=1,FCCM=0),AF41+0,AC41+0)</f>
        <v>58.517277124683311</v>
      </c>
      <c r="Q41" s="233">
        <f>IF(AND('Small Signal'!$B$61&gt;=1,FCCM=0),AG41,AD41)</f>
        <v>132.81009397369672</v>
      </c>
      <c r="R41" s="233" t="str">
        <f>IMDIV(IMSUM('Small Signal'!$B$2*'Small Signal'!$B$38*'Small Signal'!$B$62,IMPRODUCT(M41,'Small Signal'!$B$2*'Small Signal'!$B$38*'Small Signal'!$B$62*'Small Signal'!$B$14*'Small Signal'!$B$15)),IMSUM(IMPRODUCT('Small Signal'!$B$12*'Small Signal'!$B$14*('Small Signal'!$B$15+'Small Signal'!$B$38),IMPOWER(M41,2)),IMSUM(IMPRODUCT(M41,('Small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2.37195937743737-0.00491897920145729i</v>
      </c>
      <c r="S41" s="233">
        <f t="shared" si="22"/>
        <v>8.9183189754184351</v>
      </c>
      <c r="T41" s="233">
        <f t="shared" si="23"/>
        <v>-0.13617146624783147</v>
      </c>
      <c r="U41" s="233" t="str">
        <f>IMDIV(IMSUM('Small Signal'!$B$74,IMPRODUCT(M41,'Small Signal'!$B$75)),IMSUM(IMPRODUCT('Small Signal'!$B$78,IMPOWER(M41,2)),IMSUM(IMPRODUCT(M41,'Small Signal'!$B$77),'Small Signal'!$B$76)))</f>
        <v>1.68280266322215-0.00362611956191044i</v>
      </c>
      <c r="V41" s="233">
        <f t="shared" si="3"/>
        <v>4.5206839784315527</v>
      </c>
      <c r="W41" s="233">
        <f t="shared" si="4"/>
        <v>-0.12346131242202349</v>
      </c>
      <c r="X41" s="233" t="str">
        <f>IMPRODUCT(IMDIV(IMSUM(IMPRODUCT(M41,'Small Signal'!$B$57*'Small Signal'!$B$6*'Small Signal'!$B$50*'Small Signal'!$B$7*'Small Signal'!$B$8),'Small Signal'!$B$57*'Small Signal'!$B$6*'Small Signal'!$B$50),IMSUM(IMSUM(IMPRODUCT(M41,('Small Signal'!$B$5+'Small Signal'!$B$6)*('Small Signal'!$B$56*'Small Signal'!$B$57)+'Small Signal'!$B$5*'Small Signal'!$B$57*('Small Signal'!$B$8+'Small Signal'!$B$9)+'Small Signal'!$B$6*'Small Signal'!$B$57*('Small Signal'!$B$8+'Small Signal'!$B$9)+'Small Signal'!$B$7*'Small Signal'!$B$8*('Small Signal'!$B$5+'Small Signal'!$B$6)),'Small Signal'!$B$6+'Small Signal'!$B$5),IMPRODUCT(IMPOWER(M41,2),'Small Signal'!$B$56*'Small Signal'!$B$57*'Small Signal'!$B$8*'Small Signal'!$B$7*('Small Signal'!$B$5+'Small Signal'!$B$6)+('Small Signal'!$B$5+'Small Signal'!$B$6)*('Small Signal'!$B$9*'Small Signal'!$B$8*'Small Signal'!$B$57*'Small Signal'!$B$7)))),-1)</f>
        <v>-205.69717119544+221.060799163543i</v>
      </c>
      <c r="Y41" s="233">
        <f t="shared" si="5"/>
        <v>49.598958149264867</v>
      </c>
      <c r="Z41" s="233">
        <f t="shared" si="6"/>
        <v>132.94626543994451</v>
      </c>
      <c r="AA41" s="233" t="str">
        <f t="shared" si="7"/>
        <v>1.00000001591894+0.000140828146097915i</v>
      </c>
      <c r="AB41" s="233" t="str">
        <f t="shared" si="8"/>
        <v>-572.92584077003+618.485026702289i</v>
      </c>
      <c r="AC41" s="230">
        <f t="shared" si="24"/>
        <v>58.517277124683311</v>
      </c>
      <c r="AD41" s="233">
        <f t="shared" si="25"/>
        <v>132.81009397369672</v>
      </c>
      <c r="AE41" s="233" t="str">
        <f t="shared" si="9"/>
        <v>-345.34615461673+372.747584102728i</v>
      </c>
      <c r="AF41" s="230">
        <f t="shared" si="10"/>
        <v>54.119641903294522</v>
      </c>
      <c r="AG41" s="233">
        <f t="shared" si="11"/>
        <v>132.81473526929622</v>
      </c>
      <c r="AI41" s="233" t="str">
        <f t="shared" si="12"/>
        <v>0.002-80.8170472607226i</v>
      </c>
      <c r="AJ41" s="233">
        <f t="shared" si="13"/>
        <v>0.33750000000000002</v>
      </c>
      <c r="AK41" s="233" t="str">
        <f t="shared" si="14"/>
        <v>0.15-79766.4256463329i</v>
      </c>
      <c r="AL41" s="233" t="str">
        <f t="shared" si="15"/>
        <v>0.337494067355847-0.00141083650355134i</v>
      </c>
      <c r="AM41" s="233" t="str">
        <f t="shared" si="16"/>
        <v>0.366666666539406-6.83097939020963E-06i</v>
      </c>
      <c r="AN41" s="233" t="str">
        <f t="shared" si="17"/>
        <v>0.005+0.000125366028613816i</v>
      </c>
      <c r="AO41" s="233" t="str">
        <f t="shared" si="26"/>
        <v>2.79199555306107-0.00663558201450136i</v>
      </c>
      <c r="AP41" s="233">
        <f t="shared" si="27"/>
        <v>8.9183189754184351</v>
      </c>
      <c r="AQ41" s="233">
        <f t="shared" si="28"/>
        <v>-0.13617146624783147</v>
      </c>
      <c r="AS41" s="233" t="str">
        <f t="shared" si="18"/>
        <v>0.378068739631362-7.26242488345089E-06i</v>
      </c>
      <c r="AT41" s="233" t="str">
        <f t="shared" si="29"/>
        <v>2.83326301813922-0.00681530450859675i</v>
      </c>
      <c r="AU41" s="233">
        <f t="shared" si="30"/>
        <v>9.0457629876543617</v>
      </c>
      <c r="AV41" s="233">
        <f t="shared" si="31"/>
        <v>-0.1378225137547737</v>
      </c>
    </row>
    <row r="42" spans="1:48" x14ac:dyDescent="0.25">
      <c r="A42" s="236" t="s">
        <v>17</v>
      </c>
      <c r="B42" s="241">
        <f>B13</f>
        <v>5.0000000000000001E-3</v>
      </c>
      <c r="C42" s="238"/>
      <c r="D42" s="244"/>
      <c r="F42" s="233">
        <v>40</v>
      </c>
      <c r="G42" s="249">
        <f t="shared" si="0"/>
        <v>168.58704305903137</v>
      </c>
      <c r="H42" s="249">
        <f t="shared" si="1"/>
        <v>168.57881372500071</v>
      </c>
      <c r="I42" s="234">
        <f t="shared" si="2"/>
        <v>1</v>
      </c>
      <c r="J42" s="233">
        <f t="shared" si="19"/>
        <v>1</v>
      </c>
      <c r="K42" s="233">
        <f t="shared" si="20"/>
        <v>1</v>
      </c>
      <c r="L42" s="233">
        <f>10^('Small Signal'!F42/30)</f>
        <v>21.544346900318843</v>
      </c>
      <c r="M42" s="233" t="str">
        <f t="shared" si="21"/>
        <v>135.367123896863i</v>
      </c>
      <c r="N42" s="233">
        <f>IF(D$31=1, IF(AND('Small Signal'!$B$61&gt;=1,FCCM=0),V42+0,S42+0), 0)</f>
        <v>8.9183158978673376</v>
      </c>
      <c r="O42" s="233">
        <f>IF(D$31=1, IF(AND('Small Signal'!$B$61&gt;=1,FCCM=0),W42,T42), 0)</f>
        <v>-0.14703453797366392</v>
      </c>
      <c r="P42" s="233">
        <f>IF(AND('Small Signal'!$B$61&gt;=1,FCCM=0),AF42+0,AC42+0)</f>
        <v>58.144564270320309</v>
      </c>
      <c r="Q42" s="233">
        <f>IF(AND('Small Signal'!$B$61&gt;=1,FCCM=0),AG42,AD42)</f>
        <v>130.63608677912666</v>
      </c>
      <c r="R42" s="233" t="str">
        <f>IMDIV(IMSUM('Small Signal'!$B$2*'Small Signal'!$B$38*'Small Signal'!$B$62,IMPRODUCT(M42,'Small Signal'!$B$2*'Small Signal'!$B$38*'Small Signal'!$B$62*'Small Signal'!$B$14*'Small Signal'!$B$15)),IMSUM(IMPRODUCT('Small Signal'!$B$12*'Small Signal'!$B$14*('Small Signal'!$B$15+'Small Signal'!$B$38),IMPOWER(M42,2)),IMSUM(IMPRODUCT(M42,('Small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2.37195800407671-0.00531138921358287i</v>
      </c>
      <c r="S42" s="233">
        <f t="shared" si="22"/>
        <v>8.9183158978673376</v>
      </c>
      <c r="T42" s="233">
        <f t="shared" si="23"/>
        <v>-0.14703453797366392</v>
      </c>
      <c r="U42" s="233" t="str">
        <f>IMDIV(IMSUM('Small Signal'!$B$74,IMPRODUCT(M42,'Small Signal'!$B$75)),IMSUM(IMPRODUCT('Small Signal'!$B$78,IMPOWER(M42,2)),IMSUM(IMPRODUCT(M42,'Small Signal'!$B$77),'Small Signal'!$B$76)))</f>
        <v>1.6828016755562-0.00391539226711795i</v>
      </c>
      <c r="V42" s="233">
        <f t="shared" si="3"/>
        <v>4.520682226217577</v>
      </c>
      <c r="W42" s="233">
        <f t="shared" si="4"/>
        <v>-0.13331044916612733</v>
      </c>
      <c r="X42" s="233" t="str">
        <f>IMPRODUCT(IMDIV(IMSUM(IMPRODUCT(M42,'Small Signal'!$B$57*'Small Signal'!$B$6*'Small Signal'!$B$50*'Small Signal'!$B$7*'Small Signal'!$B$8),'Small Signal'!$B$57*'Small Signal'!$B$6*'Small Signal'!$B$50),IMSUM(IMSUM(IMPRODUCT(M42,('Small Signal'!$B$5+'Small Signal'!$B$6)*('Small Signal'!$B$56*'Small Signal'!$B$57)+'Small Signal'!$B$5*'Small Signal'!$B$57*('Small Signal'!$B$8+'Small Signal'!$B$9)+'Small Signal'!$B$6*'Small Signal'!$B$57*('Small Signal'!$B$8+'Small Signal'!$B$9)+'Small Signal'!$B$7*'Small Signal'!$B$8*('Small Signal'!$B$5+'Small Signal'!$B$6)),'Small Signal'!$B$6+'Small Signal'!$B$5),IMPRODUCT(IMPOWER(M42,2),'Small Signal'!$B$56*'Small Signal'!$B$57*'Small Signal'!$B$8*'Small Signal'!$B$7*('Small Signal'!$B$5+'Small Signal'!$B$6)+('Small Signal'!$B$5+'Small Signal'!$B$6)*('Small Signal'!$B$9*'Small Signal'!$B$8*'Small Signal'!$B$57*'Small Signal'!$B$7)))),-1)</f>
        <v>-188.9210727135+219.064906404826i</v>
      </c>
      <c r="Y42" s="233">
        <f t="shared" si="5"/>
        <v>49.226248372452972</v>
      </c>
      <c r="Z42" s="233">
        <f t="shared" si="6"/>
        <v>130.7831213171003</v>
      </c>
      <c r="AA42" s="233" t="str">
        <f t="shared" si="7"/>
        <v>1.00000001856012+0.000152062733990816i</v>
      </c>
      <c r="AB42" s="233" t="str">
        <f t="shared" si="8"/>
        <v>-525.989997163421+612.901389843499i</v>
      </c>
      <c r="AC42" s="230">
        <f t="shared" si="24"/>
        <v>58.144564270320309</v>
      </c>
      <c r="AD42" s="233">
        <f t="shared" si="25"/>
        <v>130.63608677912666</v>
      </c>
      <c r="AE42" s="233" t="str">
        <f t="shared" si="9"/>
        <v>-317.058972669618+369.382491660801i</v>
      </c>
      <c r="AF42" s="230">
        <f t="shared" si="10"/>
        <v>53.746930337037149</v>
      </c>
      <c r="AG42" s="233">
        <f t="shared" si="11"/>
        <v>130.64109831528418</v>
      </c>
      <c r="AI42" s="233" t="str">
        <f t="shared" si="12"/>
        <v>0.002-74.8461810202249i</v>
      </c>
      <c r="AJ42" s="233">
        <f t="shared" si="13"/>
        <v>0.33750000000000002</v>
      </c>
      <c r="AK42" s="233" t="str">
        <f t="shared" si="14"/>
        <v>0.15-73873.1806669621i</v>
      </c>
      <c r="AL42" s="233" t="str">
        <f t="shared" si="15"/>
        <v>0.337493083065038-0.00152338174545443i</v>
      </c>
      <c r="AM42" s="233" t="str">
        <f t="shared" si="16"/>
        <v>0.366666666518291-7.37592187949612E-06i</v>
      </c>
      <c r="AN42" s="233" t="str">
        <f t="shared" si="17"/>
        <v>0.005+0.000135367123896863i</v>
      </c>
      <c r="AO42" s="233" t="str">
        <f t="shared" si="26"/>
        <v>2.79199325554868-0.00716493157113209i</v>
      </c>
      <c r="AP42" s="233">
        <f t="shared" si="27"/>
        <v>8.9183158978673376</v>
      </c>
      <c r="AQ42" s="233">
        <f t="shared" si="28"/>
        <v>-0.14703453797366392</v>
      </c>
      <c r="AS42" s="233" t="str">
        <f t="shared" si="18"/>
        <v>0.378068739608215-0.0000078417860069409i</v>
      </c>
      <c r="AT42" s="233" t="str">
        <f t="shared" si="29"/>
        <v>2.83326061605454-0.00735899112004722i</v>
      </c>
      <c r="AU42" s="233">
        <f t="shared" si="30"/>
        <v>9.0457597929178135</v>
      </c>
      <c r="AV42" s="233">
        <f t="shared" si="31"/>
        <v>-0.14881729626432866</v>
      </c>
    </row>
    <row r="43" spans="1:48" x14ac:dyDescent="0.25">
      <c r="A43" s="236" t="s">
        <v>38</v>
      </c>
      <c r="B43" s="238">
        <f>B2</f>
        <v>3.3</v>
      </c>
      <c r="C43" s="238"/>
      <c r="D43" s="244"/>
      <c r="F43" s="233">
        <v>41</v>
      </c>
      <c r="G43" s="249">
        <f t="shared" si="0"/>
        <v>168.58769955543556</v>
      </c>
      <c r="H43" s="249">
        <f t="shared" si="1"/>
        <v>168.57881372500071</v>
      </c>
      <c r="I43" s="234">
        <f t="shared" si="2"/>
        <v>1</v>
      </c>
      <c r="J43" s="233">
        <f t="shared" si="19"/>
        <v>1</v>
      </c>
      <c r="K43" s="233">
        <f t="shared" si="20"/>
        <v>1</v>
      </c>
      <c r="L43" s="233">
        <f>10^('Small Signal'!F43/30)</f>
        <v>23.263050671536273</v>
      </c>
      <c r="M43" s="233" t="str">
        <f t="shared" si="21"/>
        <v>146.166058179571i</v>
      </c>
      <c r="N43" s="233">
        <f>IF(D$31=1, IF(AND('Small Signal'!$B$61&gt;=1,FCCM=0),V43+0,S43+0), 0)</f>
        <v>8.918312309708881</v>
      </c>
      <c r="O43" s="233">
        <f>IF(D$31=1, IF(AND('Small Signal'!$B$61&gt;=1,FCCM=0),W43,T43), 0)</f>
        <v>-0.15876420547549683</v>
      </c>
      <c r="P43" s="233">
        <f>IF(AND('Small Signal'!$B$61&gt;=1,FCCM=0),AF43+0,AC43+0)</f>
        <v>57.746913112012578</v>
      </c>
      <c r="Q43" s="233">
        <f>IF(AND('Small Signal'!$B$61&gt;=1,FCCM=0),AG43,AD43)</f>
        <v>128.4887092598814</v>
      </c>
      <c r="R43" s="233" t="str">
        <f>IMDIV(IMSUM('Small Signal'!$B$2*'Small Signal'!$B$38*'Small Signal'!$B$62,IMPRODUCT(M43,'Small Signal'!$B$2*'Small Signal'!$B$38*'Small Signal'!$B$62*'Small Signal'!$B$14*'Small Signal'!$B$15)),IMSUM(IMPRODUCT('Small Signal'!$B$12*'Small Signal'!$B$14*('Small Signal'!$B$15+'Small Signal'!$B$38),IMPOWER(M43,2)),IMSUM(IMPRODUCT(M43,('Small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2.37195640285715-0.00573510318909403i</v>
      </c>
      <c r="S43" s="233">
        <f t="shared" si="22"/>
        <v>8.918312309708881</v>
      </c>
      <c r="T43" s="233">
        <f t="shared" si="23"/>
        <v>-0.15876420547549683</v>
      </c>
      <c r="U43" s="233" t="str">
        <f>IMDIV(IMSUM('Small Signal'!$B$74,IMPRODUCT(M43,'Small Signal'!$B$75)),IMSUM(IMPRODUCT('Small Signal'!$B$78,IMPOWER(M43,2)),IMSUM(IMPRODUCT(M43,'Small Signal'!$B$77),'Small Signal'!$B$76)))</f>
        <v>1.68280052402311-0.00422774134244989i</v>
      </c>
      <c r="V43" s="233">
        <f t="shared" si="3"/>
        <v>4.5206801832866326</v>
      </c>
      <c r="W43" s="233">
        <f t="shared" si="4"/>
        <v>-0.14394529993414304</v>
      </c>
      <c r="X43" s="233" t="str">
        <f>IMPRODUCT(IMDIV(IMSUM(IMPRODUCT(M43,'Small Signal'!$B$57*'Small Signal'!$B$6*'Small Signal'!$B$50*'Small Signal'!$B$7*'Small Signal'!$B$8),'Small Signal'!$B$57*'Small Signal'!$B$6*'Small Signal'!$B$50),IMSUM(IMSUM(IMPRODUCT(M43,('Small Signal'!$B$5+'Small Signal'!$B$6)*('Small Signal'!$B$56*'Small Signal'!$B$57)+'Small Signal'!$B$5*'Small Signal'!$B$57*('Small Signal'!$B$8+'Small Signal'!$B$9)+'Small Signal'!$B$6*'Small Signal'!$B$57*('Small Signal'!$B$8+'Small Signal'!$B$9)+'Small Signal'!$B$7*'Small Signal'!$B$8*('Small Signal'!$B$5+'Small Signal'!$B$6)),'Small Signal'!$B$6+'Small Signal'!$B$5),IMPRODUCT(IMPOWER(M43,2),'Small Signal'!$B$56*'Small Signal'!$B$57*'Small Signal'!$B$8*'Small Signal'!$B$7*('Small Signal'!$B$5+'Small Signal'!$B$6)+('Small Signal'!$B$5+'Small Signal'!$B$6)*('Small Signal'!$B$9*'Small Signal'!$B$8*'Small Signal'!$B$57*'Small Signal'!$B$7)))),-1)</f>
        <v>-172.540877386021+215.843956467511i</v>
      </c>
      <c r="Y43" s="233">
        <f t="shared" si="5"/>
        <v>48.828600802303704</v>
      </c>
      <c r="Z43" s="233">
        <f t="shared" si="6"/>
        <v>128.64747346535694</v>
      </c>
      <c r="AA43" s="233" t="str">
        <f t="shared" si="7"/>
        <v>1.00000002163951+0.000164193562873087i</v>
      </c>
      <c r="AB43" s="233" t="str">
        <f t="shared" si="8"/>
        <v>-480.161803359109+603.89034641349i</v>
      </c>
      <c r="AC43" s="230">
        <f t="shared" si="24"/>
        <v>57.746913112012578</v>
      </c>
      <c r="AD43" s="233">
        <f t="shared" si="25"/>
        <v>128.4887092598814</v>
      </c>
      <c r="AE43" s="233" t="str">
        <f t="shared" si="9"/>
        <v>-289.439346462328+363.951781251336i</v>
      </c>
      <c r="AF43" s="230">
        <f t="shared" si="10"/>
        <v>53.349280680548212</v>
      </c>
      <c r="AG43" s="233">
        <f t="shared" si="11"/>
        <v>128.49412056753513</v>
      </c>
      <c r="AI43" s="233" t="str">
        <f t="shared" si="12"/>
        <v>0.002-69.3164499717477i</v>
      </c>
      <c r="AJ43" s="233">
        <f t="shared" si="13"/>
        <v>0.33750000000000002</v>
      </c>
      <c r="AK43" s="233" t="str">
        <f t="shared" si="14"/>
        <v>0.15-68415.3361221152i</v>
      </c>
      <c r="AL43" s="233" t="str">
        <f t="shared" si="15"/>
        <v>0.337491935473499-0.00164490414514961i</v>
      </c>
      <c r="AM43" s="233" t="str">
        <f t="shared" si="16"/>
        <v>0.366666666493674-7.96433724421472E-06i</v>
      </c>
      <c r="AN43" s="233" t="str">
        <f t="shared" si="17"/>
        <v>0.005+0.000146166058179571i</v>
      </c>
      <c r="AO43" s="233" t="str">
        <f t="shared" si="26"/>
        <v>2.79199057684994-0.0077365087603492i</v>
      </c>
      <c r="AP43" s="233">
        <f t="shared" si="27"/>
        <v>8.918312309708881</v>
      </c>
      <c r="AQ43" s="233">
        <f t="shared" si="28"/>
        <v>-0.15876420547549683</v>
      </c>
      <c r="AS43" s="233" t="str">
        <f t="shared" si="18"/>
        <v>0.378068739581229-8.46736575797938E-06i</v>
      </c>
      <c r="AT43" s="233" t="str">
        <f t="shared" si="29"/>
        <v>2.83325781543378-0.00794604901787884i</v>
      </c>
      <c r="AU43" s="233">
        <f t="shared" si="30"/>
        <v>9.0457560681312632</v>
      </c>
      <c r="AV43" s="233">
        <f t="shared" si="31"/>
        <v>-0.16068918133319715</v>
      </c>
    </row>
    <row r="44" spans="1:48" x14ac:dyDescent="0.25">
      <c r="A44" s="236" t="s">
        <v>39</v>
      </c>
      <c r="B44" s="238">
        <f>B3</f>
        <v>1.35</v>
      </c>
      <c r="C44" s="238"/>
      <c r="D44" s="244"/>
      <c r="F44" s="233">
        <v>42</v>
      </c>
      <c r="G44" s="249">
        <f t="shared" si="0"/>
        <v>168.58840842393303</v>
      </c>
      <c r="H44" s="249">
        <f t="shared" si="1"/>
        <v>168.57881372500071</v>
      </c>
      <c r="I44" s="234">
        <f t="shared" si="2"/>
        <v>1</v>
      </c>
      <c r="J44" s="233">
        <f t="shared" si="19"/>
        <v>1</v>
      </c>
      <c r="K44" s="233">
        <f t="shared" si="20"/>
        <v>1</v>
      </c>
      <c r="L44" s="233">
        <f>10^('Small Signal'!F44/30)</f>
        <v>25.118864315095799</v>
      </c>
      <c r="M44" s="233" t="str">
        <f t="shared" si="21"/>
        <v>157.826479197648i</v>
      </c>
      <c r="N44" s="233">
        <f>IF(D$31=1, IF(AND('Small Signal'!$B$61&gt;=1,FCCM=0),V44+0,S44+0), 0)</f>
        <v>8.9183081262266999</v>
      </c>
      <c r="O44" s="233">
        <f>IF(D$31=1, IF(AND('Small Signal'!$B$61&gt;=1,FCCM=0),W44,T44), 0)</f>
        <v>-0.17142959962122434</v>
      </c>
      <c r="P44" s="233">
        <f>IF(AND('Small Signal'!$B$61&gt;=1,FCCM=0),AF44+0,AC44+0)</f>
        <v>57.325049902509463</v>
      </c>
      <c r="Q44" s="233">
        <f>IF(AND('Small Signal'!$B$61&gt;=1,FCCM=0),AG44,AD44)</f>
        <v>126.37974236582468</v>
      </c>
      <c r="R44" s="233" t="str">
        <f>IMDIV(IMSUM('Small Signal'!$B$2*'Small Signal'!$B$38*'Small Signal'!$B$62,IMPRODUCT(M44,'Small Signal'!$B$2*'Small Signal'!$B$38*'Small Signal'!$B$62*'Small Signal'!$B$14*'Small Signal'!$B$15)),IMSUM(IMPRODUCT('Small Signal'!$B$12*'Small Signal'!$B$14*('Small Signal'!$B$15+'Small Signal'!$B$38),IMPOWER(M44,2)),IMSUM(IMPRODUCT(M44,('Small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2.37195453597414-0.00619261824905906i</v>
      </c>
      <c r="S44" s="233">
        <f t="shared" si="22"/>
        <v>8.9183081262266999</v>
      </c>
      <c r="T44" s="233">
        <f t="shared" si="23"/>
        <v>-0.17142959962122434</v>
      </c>
      <c r="U44" s="233" t="str">
        <f>IMDIV(IMSUM('Small Signal'!$B$74,IMPRODUCT(M44,'Small Signal'!$B$75)),IMSUM(IMPRODUCT('Small Signal'!$B$78,IMPOWER(M44,2)),IMSUM(IMPRODUCT(M44,'Small Signal'!$B$77),'Small Signal'!$B$76)))</f>
        <v>1.68279918143524-0.00456500760372516i</v>
      </c>
      <c r="V44" s="233">
        <f t="shared" si="3"/>
        <v>4.520677801404628</v>
      </c>
      <c r="W44" s="233">
        <f t="shared" si="4"/>
        <v>-0.15542854455327024</v>
      </c>
      <c r="X44" s="233" t="str">
        <f>IMPRODUCT(IMDIV(IMSUM(IMPRODUCT(M44,'Small Signal'!$B$57*'Small Signal'!$B$6*'Small Signal'!$B$50*'Small Signal'!$B$7*'Small Signal'!$B$8),'Small Signal'!$B$57*'Small Signal'!$B$6*'Small Signal'!$B$50),IMSUM(IMSUM(IMPRODUCT(M44,('Small Signal'!$B$5+'Small Signal'!$B$6)*('Small Signal'!$B$56*'Small Signal'!$B$57)+'Small Signal'!$B$5*'Small Signal'!$B$57*('Small Signal'!$B$8+'Small Signal'!$B$9)+'Small Signal'!$B$6*'Small Signal'!$B$57*('Small Signal'!$B$8+'Small Signal'!$B$9)+'Small Signal'!$B$7*'Small Signal'!$B$8*('Small Signal'!$B$5+'Small Signal'!$B$6)),'Small Signal'!$B$6+'Small Signal'!$B$5),IMPRODUCT(IMPOWER(M44,2),'Small Signal'!$B$56*'Small Signal'!$B$57*'Small Signal'!$B$8*'Small Signal'!$B$7*('Small Signal'!$B$5+'Small Signal'!$B$6)+('Small Signal'!$B$5+'Small Signal'!$B$6)*('Small Signal'!$B$9*'Small Signal'!$B$8*'Small Signal'!$B$57*'Small Signal'!$B$7)))),-1)</f>
        <v>-156.72723940536+211.487928076859i</v>
      </c>
      <c r="Y44" s="233">
        <f t="shared" si="5"/>
        <v>48.406741776282757</v>
      </c>
      <c r="Z44" s="233">
        <f t="shared" si="6"/>
        <v>126.55117196544589</v>
      </c>
      <c r="AA44" s="233" t="str">
        <f t="shared" si="7"/>
        <v>1.00000002522982+0.000177292130493529i</v>
      </c>
      <c r="AB44" s="233" t="str">
        <f t="shared" si="8"/>
        <v>-435.918712277614+591.703639892808i</v>
      </c>
      <c r="AC44" s="230">
        <f t="shared" si="24"/>
        <v>57.325049902509463</v>
      </c>
      <c r="AD44" s="233">
        <f t="shared" si="25"/>
        <v>126.37974236582468</v>
      </c>
      <c r="AE44" s="233" t="str">
        <f t="shared" si="9"/>
        <v>-262.775026180178+356.60717329077i</v>
      </c>
      <c r="AF44" s="230">
        <f t="shared" si="10"/>
        <v>52.927419222034366</v>
      </c>
      <c r="AG44" s="233">
        <f t="shared" si="11"/>
        <v>126.38558533043717</v>
      </c>
      <c r="AI44" s="233" t="str">
        <f t="shared" si="12"/>
        <v>0.002-64.1952624862381i</v>
      </c>
      <c r="AJ44" s="233">
        <f t="shared" si="13"/>
        <v>0.33750000000000002</v>
      </c>
      <c r="AK44" s="233" t="str">
        <f t="shared" si="14"/>
        <v>0.15-63360.7240739172i</v>
      </c>
      <c r="AL44" s="233" t="str">
        <f t="shared" si="15"/>
        <v>0.337490597489911-0.00177611955725814i</v>
      </c>
      <c r="AM44" s="233" t="str">
        <f t="shared" si="16"/>
        <v>0.366666666464972-8.59969354003144E-06i</v>
      </c>
      <c r="AN44" s="233" t="str">
        <f t="shared" si="17"/>
        <v>0.005+0.000157826479197648i</v>
      </c>
      <c r="AO44" s="233" t="str">
        <f t="shared" si="26"/>
        <v>2.79198745372193-0.00835368195811578i</v>
      </c>
      <c r="AP44" s="233">
        <f t="shared" si="27"/>
        <v>8.9183081262266999</v>
      </c>
      <c r="AQ44" s="233">
        <f t="shared" si="28"/>
        <v>-0.17142959962122434</v>
      </c>
      <c r="AS44" s="233" t="str">
        <f t="shared" si="18"/>
        <v>0.378068739549765-9.14285123504942E-06i</v>
      </c>
      <c r="AT44" s="233" t="str">
        <f t="shared" si="29"/>
        <v>2.83325455015566-0.00857993779067469i</v>
      </c>
      <c r="AU44" s="233">
        <f t="shared" si="30"/>
        <v>9.0457517253528756</v>
      </c>
      <c r="AV44" s="233">
        <f t="shared" si="31"/>
        <v>-0.17350813788899302</v>
      </c>
    </row>
    <row r="45" spans="1:48" x14ac:dyDescent="0.25">
      <c r="A45" s="236" t="s">
        <v>43</v>
      </c>
      <c r="B45" s="239">
        <f>B11</f>
        <v>500000</v>
      </c>
      <c r="C45" s="238"/>
      <c r="D45" s="244"/>
      <c r="F45" s="233">
        <v>43</v>
      </c>
      <c r="G45" s="249">
        <f t="shared" si="0"/>
        <v>168.58917384251237</v>
      </c>
      <c r="H45" s="249">
        <f t="shared" si="1"/>
        <v>168.57881372500071</v>
      </c>
      <c r="I45" s="234">
        <f t="shared" si="2"/>
        <v>1</v>
      </c>
      <c r="J45" s="233">
        <f t="shared" si="19"/>
        <v>1</v>
      </c>
      <c r="K45" s="233">
        <f t="shared" si="20"/>
        <v>1</v>
      </c>
      <c r="L45" s="233">
        <f>10^('Small Signal'!F45/30)</f>
        <v>27.122725793320289</v>
      </c>
      <c r="M45" s="233" t="str">
        <f t="shared" si="21"/>
        <v>170.417112195251i</v>
      </c>
      <c r="N45" s="233">
        <f>IF(D$31=1, IF(AND('Small Signal'!$B$61&gt;=1,FCCM=0),V45+0,S45+0), 0)</f>
        <v>8.918303248649492</v>
      </c>
      <c r="O45" s="233">
        <f>IF(D$31=1, IF(AND('Small Signal'!$B$61&gt;=1,FCCM=0),W45,T45), 0)</f>
        <v>-0.1851053656998404</v>
      </c>
      <c r="P45" s="233">
        <f>IF(AND('Small Signal'!$B$61&gt;=1,FCCM=0),AF45+0,AC45+0)</f>
        <v>56.87993986035184</v>
      </c>
      <c r="Q45" s="233">
        <f>IF(AND('Small Signal'!$B$61&gt;=1,FCCM=0),AG45,AD45)</f>
        <v>124.31994168440046</v>
      </c>
      <c r="R45" s="233" t="str">
        <f>IMDIV(IMSUM('Small Signal'!$B$2*'Small Signal'!$B$38*'Small Signal'!$B$62,IMPRODUCT(M45,'Small Signal'!$B$2*'Small Signal'!$B$38*'Small Signal'!$B$62*'Small Signal'!$B$14*'Small Signal'!$B$15)),IMSUM(IMPRODUCT('Small Signal'!$B$12*'Small Signal'!$B$14*('Small Signal'!$B$15+'Small Signal'!$B$38),IMPOWER(M45,2)),IMSUM(IMPRODUCT(M45,('Small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2.37195235935098-0.00668663068195471i</v>
      </c>
      <c r="S45" s="233">
        <f t="shared" si="22"/>
        <v>8.918303248649492</v>
      </c>
      <c r="T45" s="233">
        <f t="shared" si="23"/>
        <v>-0.1851053656998404</v>
      </c>
      <c r="U45" s="233" t="str">
        <f>IMDIV(IMSUM('Small Signal'!$B$74,IMPRODUCT(M45,'Small Signal'!$B$75)),IMSUM(IMPRODUCT('Small Signal'!$B$78,IMPOWER(M45,2)),IMSUM(IMPRODUCT(M45,'Small Signal'!$B$77),'Small Signal'!$B$76)))</f>
        <v>1.68279761609428-0.004929178690865i</v>
      </c>
      <c r="V45" s="233">
        <f t="shared" si="3"/>
        <v>4.5206750243350129</v>
      </c>
      <c r="W45" s="233">
        <f t="shared" si="4"/>
        <v>-0.16782786297926375</v>
      </c>
      <c r="X45" s="233" t="str">
        <f>IMPRODUCT(IMDIV(IMSUM(IMPRODUCT(M45,'Small Signal'!$B$57*'Small Signal'!$B$6*'Small Signal'!$B$50*'Small Signal'!$B$7*'Small Signal'!$B$8),'Small Signal'!$B$57*'Small Signal'!$B$6*'Small Signal'!$B$50),IMSUM(IMSUM(IMPRODUCT(M45,('Small Signal'!$B$5+'Small Signal'!$B$6)*('Small Signal'!$B$56*'Small Signal'!$B$57)+'Small Signal'!$B$5*'Small Signal'!$B$57*('Small Signal'!$B$8+'Small Signal'!$B$9)+'Small Signal'!$B$6*'Small Signal'!$B$57*('Small Signal'!$B$8+'Small Signal'!$B$9)+'Small Signal'!$B$7*'Small Signal'!$B$8*('Small Signal'!$B$5+'Small Signal'!$B$6)),'Small Signal'!$B$6+'Small Signal'!$B$5),IMPRODUCT(IMPOWER(M45,2),'Small Signal'!$B$56*'Small Signal'!$B$57*'Small Signal'!$B$8*'Small Signal'!$B$7*('Small Signal'!$B$5+'Small Signal'!$B$6)+('Small Signal'!$B$5+'Small Signal'!$B$6)*('Small Signal'!$B$9*'Small Signal'!$B$8*'Small Signal'!$B$57*'Small Signal'!$B$7)))),-1)</f>
        <v>-141.626500347715+206.113467266485i</v>
      </c>
      <c r="Y45" s="233">
        <f t="shared" si="5"/>
        <v>47.961636611702353</v>
      </c>
      <c r="Z45" s="233">
        <f t="shared" si="6"/>
        <v>124.50504705010029</v>
      </c>
      <c r="AA45" s="233" t="str">
        <f t="shared" si="7"/>
        <v>1.00000002941581+0.000191435638339861i</v>
      </c>
      <c r="AB45" s="233" t="str">
        <f t="shared" si="8"/>
        <v>-393.670155466332+576.667623257693i</v>
      </c>
      <c r="AC45" s="230">
        <f t="shared" si="24"/>
        <v>56.87993986035184</v>
      </c>
      <c r="AD45" s="233">
        <f t="shared" si="25"/>
        <v>124.31994168440046</v>
      </c>
      <c r="AE45" s="233" t="str">
        <f t="shared" si="9"/>
        <v>-237.31276705016+347.545353688543i</v>
      </c>
      <c r="AF45" s="230">
        <f t="shared" si="10"/>
        <v>52.482311221376378</v>
      </c>
      <c r="AG45" s="233">
        <f t="shared" si="11"/>
        <v>124.32625073345238</v>
      </c>
      <c r="AI45" s="233" t="str">
        <f t="shared" si="12"/>
        <v>0.002-59.452434845649i</v>
      </c>
      <c r="AJ45" s="233">
        <f t="shared" si="13"/>
        <v>0.33750000000000002</v>
      </c>
      <c r="AK45" s="233" t="str">
        <f t="shared" si="14"/>
        <v>0.15-58679.5531926557i</v>
      </c>
      <c r="AL45" s="233" t="str">
        <f t="shared" si="15"/>
        <v>0.337489037529051-0.00191780086625401i</v>
      </c>
      <c r="AM45" s="233" t="str">
        <f t="shared" si="16"/>
        <v>0.366666666431508-9.28573548730849E-06i</v>
      </c>
      <c r="AN45" s="233" t="str">
        <f t="shared" si="17"/>
        <v>0.005+0.000170417112195251i</v>
      </c>
      <c r="AO45" s="233" t="str">
        <f t="shared" si="26"/>
        <v>2.79198381242946-0.00902008816502908i</v>
      </c>
      <c r="AP45" s="233">
        <f t="shared" si="27"/>
        <v>8.918303248649492</v>
      </c>
      <c r="AQ45" s="233">
        <f t="shared" si="28"/>
        <v>-0.1851053656998404</v>
      </c>
      <c r="AS45" s="233" t="str">
        <f t="shared" si="18"/>
        <v>0.378068739513082-9.87222367550565E-06i</v>
      </c>
      <c r="AT45" s="233" t="str">
        <f t="shared" si="29"/>
        <v>2.83325074312893-0.00926439292231608i</v>
      </c>
      <c r="AU45" s="233">
        <f t="shared" si="30"/>
        <v>9.0457466620501705</v>
      </c>
      <c r="AV45" s="233">
        <f t="shared" si="31"/>
        <v>-0.18734971610556508</v>
      </c>
    </row>
    <row r="46" spans="1:48" x14ac:dyDescent="0.25">
      <c r="A46" s="236" t="s">
        <v>77</v>
      </c>
      <c r="B46" s="237">
        <f>'Design Equations CCM'!B14</f>
        <v>4</v>
      </c>
      <c r="C46" s="238"/>
      <c r="D46" s="244"/>
      <c r="F46" s="233">
        <v>44</v>
      </c>
      <c r="G46" s="249">
        <f t="shared" si="0"/>
        <v>168.59000032246098</v>
      </c>
      <c r="H46" s="249">
        <f t="shared" si="1"/>
        <v>168.57881372500071</v>
      </c>
      <c r="I46" s="234">
        <f t="shared" si="2"/>
        <v>1</v>
      </c>
      <c r="J46" s="233">
        <f t="shared" si="19"/>
        <v>1</v>
      </c>
      <c r="K46" s="233">
        <f t="shared" si="20"/>
        <v>1</v>
      </c>
      <c r="L46" s="233">
        <f>10^('Small Signal'!F46/30)</f>
        <v>29.286445646252368</v>
      </c>
      <c r="M46" s="233" t="str">
        <f t="shared" si="21"/>
        <v>184.012164984046i</v>
      </c>
      <c r="N46" s="233">
        <f>IF(D$31=1, IF(AND('Small Signal'!$B$61&gt;=1,FCCM=0),V46+0,S46+0), 0)</f>
        <v>8.9182975618184095</v>
      </c>
      <c r="O46" s="233">
        <f>IF(D$31=1, IF(AND('Small Signal'!$B$61&gt;=1,FCCM=0),W46,T46), 0)</f>
        <v>-0.19987210320450413</v>
      </c>
      <c r="P46" s="233">
        <f>IF(AND('Small Signal'!$B$61&gt;=1,FCCM=0),AF46+0,AC46+0)</f>
        <v>56.412747025705769</v>
      </c>
      <c r="Q46" s="233">
        <f>IF(AND('Small Signal'!$B$61&gt;=1,FCCM=0),AG46,AD46)</f>
        <v>122.31880850066683</v>
      </c>
      <c r="R46" s="233" t="str">
        <f>IMDIV(IMSUM('Small Signal'!$B$2*'Small Signal'!$B$38*'Small Signal'!$B$62,IMPRODUCT(M46,'Small Signal'!$B$2*'Small Signal'!$B$38*'Small Signal'!$B$62*'Small Signal'!$B$14*'Small Signal'!$B$15)),IMSUM(IMPRODUCT('Small Signal'!$B$12*'Small Signal'!$B$14*('Small Signal'!$B$15+'Small Signal'!$B$38),IMPOWER(M46,2)),IMSUM(IMPRODUCT(M46,('Small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2.37194982159825-0.00722005182170705i</v>
      </c>
      <c r="S46" s="233">
        <f t="shared" si="22"/>
        <v>8.9182975618184095</v>
      </c>
      <c r="T46" s="233">
        <f t="shared" si="23"/>
        <v>-0.19987210320450413</v>
      </c>
      <c r="U46" s="233" t="str">
        <f>IMDIV(IMSUM('Small Signal'!$B$74,IMPRODUCT(M46,'Small Signal'!$B$75)),IMSUM(IMPRODUCT('Small Signal'!$B$78,IMPOWER(M46,2)),IMSUM(IMPRODUCT(M46,'Small Signal'!$B$77),'Small Signal'!$B$76)))</f>
        <v>1.68279579104285-0.00532240077374668i</v>
      </c>
      <c r="V46" s="233">
        <f t="shared" si="3"/>
        <v>4.5206717865108024</v>
      </c>
      <c r="W46" s="233">
        <f t="shared" si="4"/>
        <v>-0.18121633413982785</v>
      </c>
      <c r="X46" s="233" t="str">
        <f>IMPRODUCT(IMDIV(IMSUM(IMPRODUCT(M46,'Small Signal'!$B$57*'Small Signal'!$B$6*'Small Signal'!$B$50*'Small Signal'!$B$7*'Small Signal'!$B$8),'Small Signal'!$B$57*'Small Signal'!$B$6*'Small Signal'!$B$50),IMSUM(IMSUM(IMPRODUCT(M46,('Small Signal'!$B$5+'Small Signal'!$B$6)*('Small Signal'!$B$56*'Small Signal'!$B$57)+'Small Signal'!$B$5*'Small Signal'!$B$57*('Small Signal'!$B$8+'Small Signal'!$B$9)+'Small Signal'!$B$6*'Small Signal'!$B$57*('Small Signal'!$B$8+'Small Signal'!$B$9)+'Small Signal'!$B$7*'Small Signal'!$B$8*('Small Signal'!$B$5+'Small Signal'!$B$6)),'Small Signal'!$B$6+'Small Signal'!$B$5),IMPRODUCT(IMPOWER(M46,2),'Small Signal'!$B$56*'Small Signal'!$B$57*'Small Signal'!$B$8*'Small Signal'!$B$7*('Small Signal'!$B$5+'Small Signal'!$B$6)+('Small Signal'!$B$5+'Small Signal'!$B$6)*('Small Signal'!$B$9*'Small Signal'!$B$8*'Small Signal'!$B$57*'Small Signal'!$B$7)))),-1)</f>
        <v>-127.356264040437+199.856657862304i</v>
      </c>
      <c r="Y46" s="233">
        <f t="shared" si="5"/>
        <v>47.494449463887356</v>
      </c>
      <c r="Z46" s="233">
        <f t="shared" si="6"/>
        <v>122.51868060387133</v>
      </c>
      <c r="AA46" s="233" t="str">
        <f t="shared" si="7"/>
        <v>1.00000003429632+0.000206707446653971i</v>
      </c>
      <c r="AB46" s="233" t="str">
        <f t="shared" si="8"/>
        <v>-353.745162547947+559.163032398347i</v>
      </c>
      <c r="AC46" s="230">
        <f t="shared" si="24"/>
        <v>56.412747025705769</v>
      </c>
      <c r="AD46" s="233">
        <f t="shared" si="25"/>
        <v>122.31880850066683</v>
      </c>
      <c r="AE46" s="233" t="str">
        <f t="shared" si="9"/>
        <v>-213.250867859744+336.995783740846i</v>
      </c>
      <c r="AF46" s="230">
        <f t="shared" si="10"/>
        <v>52.015120766938914</v>
      </c>
      <c r="AG46" s="233">
        <f t="shared" si="11"/>
        <v>122.32562080601915</v>
      </c>
      <c r="AI46" s="233" t="str">
        <f t="shared" si="12"/>
        <v>0.002-55.0600133434128i</v>
      </c>
      <c r="AJ46" s="233">
        <f t="shared" si="13"/>
        <v>0.33750000000000002</v>
      </c>
      <c r="AK46" s="233" t="str">
        <f t="shared" si="14"/>
        <v>0.15-54344.2331699483i</v>
      </c>
      <c r="AL46" s="233" t="str">
        <f t="shared" si="15"/>
        <v>0.337487218766535-0.00207078251594954i</v>
      </c>
      <c r="AM46" s="233" t="str">
        <f t="shared" si="16"/>
        <v>0.366666666392491-0.0000100265065420738i</v>
      </c>
      <c r="AN46" s="233" t="str">
        <f t="shared" si="17"/>
        <v>0.005+0.000184012164984046i</v>
      </c>
      <c r="AO46" s="233" t="str">
        <f t="shared" si="26"/>
        <v>2.79197956700418-0.0097396544130823i</v>
      </c>
      <c r="AP46" s="233">
        <f t="shared" si="27"/>
        <v>8.9182975618184095</v>
      </c>
      <c r="AQ46" s="233">
        <f t="shared" si="28"/>
        <v>-0.19987210320450413</v>
      </c>
      <c r="AS46" s="233" t="str">
        <f t="shared" si="18"/>
        <v>0.378068739470311-0.0000106597819205486i</v>
      </c>
      <c r="AT46" s="233" t="str">
        <f t="shared" si="29"/>
        <v>2.83324630447264-0.0100034477772509i</v>
      </c>
      <c r="AU46" s="233">
        <f t="shared" si="30"/>
        <v>9.045740758679802</v>
      </c>
      <c r="AV46" s="233">
        <f t="shared" si="31"/>
        <v>-0.20229549250893195</v>
      </c>
    </row>
    <row r="47" spans="1:48" x14ac:dyDescent="0.25">
      <c r="A47" s="236" t="s">
        <v>76</v>
      </c>
      <c r="B47" s="238">
        <f>'Design Equations CCM'!B15</f>
        <v>0.1</v>
      </c>
      <c r="C47" s="238"/>
      <c r="D47" s="244"/>
      <c r="F47" s="233">
        <v>45</v>
      </c>
      <c r="G47" s="249">
        <f t="shared" si="0"/>
        <v>168.5908927349538</v>
      </c>
      <c r="H47" s="249">
        <f t="shared" si="1"/>
        <v>168.57881372500071</v>
      </c>
      <c r="I47" s="234">
        <f t="shared" si="2"/>
        <v>1</v>
      </c>
      <c r="J47" s="233">
        <f t="shared" si="19"/>
        <v>1</v>
      </c>
      <c r="K47" s="233">
        <f t="shared" si="20"/>
        <v>1</v>
      </c>
      <c r="L47" s="233">
        <f>10^('Small Signal'!F47/30)</f>
        <v>31.622776601683803</v>
      </c>
      <c r="M47" s="233" t="str">
        <f t="shared" si="21"/>
        <v>198.691765315922i</v>
      </c>
      <c r="N47" s="233">
        <f>IF(D$31=1, IF(AND('Small Signal'!$B$61&gt;=1,FCCM=0),V47+0,S47+0), 0)</f>
        <v>8.9182909314691425</v>
      </c>
      <c r="O47" s="233">
        <f>IF(D$31=1, IF(AND('Small Signal'!$B$61&gt;=1,FCCM=0),W47,T47), 0)</f>
        <v>-0.21581684066548731</v>
      </c>
      <c r="P47" s="233">
        <f>IF(AND('Small Signal'!$B$61&gt;=1,FCCM=0),AF47+0,AC47+0)</f>
        <v>55.92478918859306</v>
      </c>
      <c r="Q47" s="233">
        <f>IF(AND('Small Signal'!$B$61&gt;=1,FCCM=0),AG47,AD47)</f>
        <v>120.38443570111302</v>
      </c>
      <c r="R47" s="233" t="str">
        <f>IMDIV(IMSUM('Small Signal'!$B$2*'Small Signal'!$B$38*'Small Signal'!$B$62,IMPRODUCT(M47,'Small Signal'!$B$2*'Small Signal'!$B$38*'Small Signal'!$B$62*'Small Signal'!$B$14*'Small Signal'!$B$15)),IMSUM(IMPRODUCT('Small Signal'!$B$12*'Small Signal'!$B$14*('Small Signal'!$B$15+'Small Signal'!$B$38),IMPOWER(M47,2)),IMSUM(IMPRODUCT(M47,('Small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2.37194686280064-0.0077960251896684i</v>
      </c>
      <c r="S47" s="233">
        <f t="shared" si="22"/>
        <v>8.9182909314691425</v>
      </c>
      <c r="T47" s="233">
        <f t="shared" si="23"/>
        <v>-0.21581684066548731</v>
      </c>
      <c r="U47" s="233" t="str">
        <f>IMDIV(IMSUM('Small Signal'!$B$74,IMPRODUCT(M47,'Small Signal'!$B$75)),IMSUM(IMPRODUCT('Small Signal'!$B$78,IMPOWER(M47,2)),IMSUM(IMPRODUCT(M47,'Small Signal'!$B$77),'Small Signal'!$B$76)))</f>
        <v>1.682793663192-0.00574699119006469i</v>
      </c>
      <c r="V47" s="233">
        <f t="shared" si="3"/>
        <v>4.5206680114865652</v>
      </c>
      <c r="W47" s="233">
        <f t="shared" si="4"/>
        <v>-0.19567286658474642</v>
      </c>
      <c r="X47" s="233" t="str">
        <f>IMPRODUCT(IMDIV(IMSUM(IMPRODUCT(M47,'Small Signal'!$B$57*'Small Signal'!$B$6*'Small Signal'!$B$50*'Small Signal'!$B$7*'Small Signal'!$B$8),'Small Signal'!$B$57*'Small Signal'!$B$6*'Small Signal'!$B$50),IMSUM(IMSUM(IMPRODUCT(M47,('Small Signal'!$B$5+'Small Signal'!$B$6)*('Small Signal'!$B$56*'Small Signal'!$B$57)+'Small Signal'!$B$5*'Small Signal'!$B$57*('Small Signal'!$B$8+'Small Signal'!$B$9)+'Small Signal'!$B$6*'Small Signal'!$B$57*('Small Signal'!$B$8+'Small Signal'!$B$9)+'Small Signal'!$B$7*'Small Signal'!$B$8*('Small Signal'!$B$5+'Small Signal'!$B$6)),'Small Signal'!$B$6+'Small Signal'!$B$5),IMPRODUCT(IMPOWER(M47,2),'Small Signal'!$B$56*'Small Signal'!$B$57*'Small Signal'!$B$8*'Small Signal'!$B$7*('Small Signal'!$B$5+'Small Signal'!$B$6)+('Small Signal'!$B$5+'Small Signal'!$B$6)*('Small Signal'!$B$9*'Small Signal'!$B$8*'Small Signal'!$B$57*'Small Signal'!$B$7)))),-1)</f>
        <v>-114.003266152291+192.865289464003i</v>
      </c>
      <c r="Y47" s="233">
        <f t="shared" si="5"/>
        <v>47.006498257123916</v>
      </c>
      <c r="Z47" s="233">
        <f t="shared" si="6"/>
        <v>120.60025254177849</v>
      </c>
      <c r="AA47" s="233" t="str">
        <f t="shared" si="7"/>
        <v>1.00000003998657+0.000223197565745711i</v>
      </c>
      <c r="AB47" s="233" t="str">
        <f t="shared" si="8"/>
        <v>-316.386400799803+539.603353647013i</v>
      </c>
      <c r="AC47" s="230">
        <f t="shared" si="24"/>
        <v>55.92478918859306</v>
      </c>
      <c r="AD47" s="233">
        <f t="shared" si="25"/>
        <v>120.38443570111302</v>
      </c>
      <c r="AE47" s="233" t="str">
        <f t="shared" si="9"/>
        <v>-190.735578744847+325.207662725931i</v>
      </c>
      <c r="AF47" s="230">
        <f t="shared" si="10"/>
        <v>51.527165704938426</v>
      </c>
      <c r="AG47" s="233">
        <f t="shared" si="11"/>
        <v>120.3917913974026</v>
      </c>
      <c r="AI47" s="233" t="str">
        <f t="shared" si="12"/>
        <v>0.002-50.9921095283557i</v>
      </c>
      <c r="AJ47" s="233">
        <f t="shared" si="13"/>
        <v>0.33750000000000002</v>
      </c>
      <c r="AK47" s="233" t="str">
        <f t="shared" si="14"/>
        <v>0.15-50329.212104487i</v>
      </c>
      <c r="AL47" s="233" t="str">
        <f t="shared" si="15"/>
        <v>0.337485098270023-0.00223596539512393i</v>
      </c>
      <c r="AM47" s="233" t="str">
        <f t="shared" si="16"/>
        <v>0.366666666347002-0.0000108263727277045i</v>
      </c>
      <c r="AN47" s="233" t="str">
        <f t="shared" si="17"/>
        <v>0.005+0.000198691765315922i</v>
      </c>
      <c r="AO47" s="233" t="str">
        <f t="shared" si="26"/>
        <v>2.79197461721545-0.0105166208742486i</v>
      </c>
      <c r="AP47" s="233">
        <f t="shared" si="27"/>
        <v>8.9182909314691425</v>
      </c>
      <c r="AQ47" s="233">
        <f t="shared" si="28"/>
        <v>-0.21581684066548731</v>
      </c>
      <c r="AS47" s="233" t="str">
        <f t="shared" si="18"/>
        <v>0.378068739420444-0.0000115101677521202i</v>
      </c>
      <c r="AT47" s="233" t="str">
        <f t="shared" si="29"/>
        <v>2.83324112939424-0.0108014573333439i</v>
      </c>
      <c r="AU47" s="233">
        <f t="shared" si="30"/>
        <v>9.045733875864828</v>
      </c>
      <c r="AV47" s="233">
        <f t="shared" si="31"/>
        <v>-0.21843355055569899</v>
      </c>
    </row>
    <row r="48" spans="1:48" x14ac:dyDescent="0.25">
      <c r="A48" s="236"/>
      <c r="B48" s="238"/>
      <c r="C48" s="238"/>
      <c r="D48" s="244"/>
      <c r="F48" s="233">
        <v>46</v>
      </c>
      <c r="G48" s="249">
        <f t="shared" si="0"/>
        <v>168.59185633976301</v>
      </c>
      <c r="H48" s="249">
        <f t="shared" si="1"/>
        <v>168.57881372500071</v>
      </c>
      <c r="I48" s="234">
        <f t="shared" si="2"/>
        <v>1</v>
      </c>
      <c r="J48" s="233">
        <f t="shared" si="19"/>
        <v>1</v>
      </c>
      <c r="K48" s="233">
        <f t="shared" si="20"/>
        <v>1</v>
      </c>
      <c r="L48" s="233">
        <f>10^('Small Signal'!F48/30)</f>
        <v>34.145488738336034</v>
      </c>
      <c r="M48" s="233" t="str">
        <f t="shared" si="21"/>
        <v>214.542433147179i</v>
      </c>
      <c r="N48" s="233">
        <f>IF(D$31=1, IF(AND('Small Signal'!$B$61&gt;=1,FCCM=0),V48+0,S48+0), 0)</f>
        <v>8.918283201061513</v>
      </c>
      <c r="O48" s="233">
        <f>IF(D$31=1, IF(AND('Small Signal'!$B$61&gt;=1,FCCM=0),W48,T48), 0)</f>
        <v>-0.23303354832039347</v>
      </c>
      <c r="P48" s="233">
        <f>IF(AND('Small Signal'!$B$61&gt;=1,FCCM=0),AF48+0,AC48+0)</f>
        <v>55.417491283124711</v>
      </c>
      <c r="Q48" s="233">
        <f>IF(AND('Small Signal'!$B$61&gt;=1,FCCM=0),AG48,AD48)</f>
        <v>118.5234297607463</v>
      </c>
      <c r="R48" s="233" t="str">
        <f>IMDIV(IMSUM('Small Signal'!$B$2*'Small Signal'!$B$38*'Small Signal'!$B$62,IMPRODUCT(M48,'Small Signal'!$B$2*'Small Signal'!$B$38*'Small Signal'!$B$62*'Small Signal'!$B$14*'Small Signal'!$B$15)),IMSUM(IMPRODUCT('Small Signal'!$B$12*'Small Signal'!$B$14*('Small Signal'!$B$15+'Small Signal'!$B$38),IMPOWER(M48,2)),IMSUM(IMPRODUCT(M48,('Small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2.37194341310249-0.00841794500065179i</v>
      </c>
      <c r="S48" s="233">
        <f t="shared" si="22"/>
        <v>8.918283201061513</v>
      </c>
      <c r="T48" s="233">
        <f t="shared" si="23"/>
        <v>-0.23303354832039347</v>
      </c>
      <c r="U48" s="233" t="str">
        <f>IMDIV(IMSUM('Small Signal'!$B$74,IMPRODUCT(M48,'Small Signal'!$B$75)),IMSUM(IMPRODUCT('Small Signal'!$B$78,IMPOWER(M48,2)),IMSUM(IMPRODUCT(M48,'Small Signal'!$B$77),'Small Signal'!$B$76)))</f>
        <v>1.68279118230399-0.00620545208907736i</v>
      </c>
      <c r="V48" s="233">
        <f t="shared" si="3"/>
        <v>4.5206636101336901</v>
      </c>
      <c r="W48" s="233">
        <f t="shared" si="4"/>
        <v>-0.21128266347729011</v>
      </c>
      <c r="X48" s="233" t="str">
        <f>IMPRODUCT(IMDIV(IMSUM(IMPRODUCT(M48,'Small Signal'!$B$57*'Small Signal'!$B$6*'Small Signal'!$B$50*'Small Signal'!$B$7*'Small Signal'!$B$8),'Small Signal'!$B$57*'Small Signal'!$B$6*'Small Signal'!$B$50),IMSUM(IMSUM(IMPRODUCT(M48,('Small Signal'!$B$5+'Small Signal'!$B$6)*('Small Signal'!$B$56*'Small Signal'!$B$57)+'Small Signal'!$B$5*'Small Signal'!$B$57*('Small Signal'!$B$8+'Small Signal'!$B$9)+'Small Signal'!$B$6*'Small Signal'!$B$57*('Small Signal'!$B$8+'Small Signal'!$B$9)+'Small Signal'!$B$7*'Small Signal'!$B$8*('Small Signal'!$B$5+'Small Signal'!$B$6)),'Small Signal'!$B$6+'Small Signal'!$B$5),IMPRODUCT(IMPOWER(M48,2),'Small Signal'!$B$56*'Small Signal'!$B$57*'Small Signal'!$B$8*'Small Signal'!$B$7*('Small Signal'!$B$5+'Small Signal'!$B$6)+('Small Signal'!$B$5+'Small Signal'!$B$6)*('Small Signal'!$B$9*'Small Signal'!$B$8*'Small Signal'!$B$57*'Small Signal'!$B$7)))),-1)</f>
        <v>-101.623420567033+185.29136111027i</v>
      </c>
      <c r="Y48" s="233">
        <f t="shared" si="5"/>
        <v>46.499208082063198</v>
      </c>
      <c r="Z48" s="233">
        <f t="shared" si="6"/>
        <v>118.7564633090667</v>
      </c>
      <c r="AA48" s="233" t="str">
        <f t="shared" si="7"/>
        <v>1.00000004662092+0.000241003186500842i</v>
      </c>
      <c r="AB48" s="233" t="str">
        <f t="shared" si="8"/>
        <v>-281.750304894912+518.413850698935i</v>
      </c>
      <c r="AC48" s="230">
        <f t="shared" si="24"/>
        <v>55.417491283124711</v>
      </c>
      <c r="AD48" s="233">
        <f t="shared" si="25"/>
        <v>118.5234297607463</v>
      </c>
      <c r="AE48" s="233" t="str">
        <f t="shared" si="9"/>
        <v>-169.861179381883+312.437287900924i</v>
      </c>
      <c r="AF48" s="230">
        <f t="shared" si="10"/>
        <v>51.019871035003519</v>
      </c>
      <c r="AG48" s="233">
        <f t="shared" si="11"/>
        <v>118.53137218106474</v>
      </c>
      <c r="AI48" s="233" t="str">
        <f t="shared" si="12"/>
        <v>0.002-47.2247476210048i</v>
      </c>
      <c r="AJ48" s="233">
        <f t="shared" si="13"/>
        <v>0.33750000000000002</v>
      </c>
      <c r="AK48" s="233" t="str">
        <f t="shared" si="14"/>
        <v>0.15-46610.8259019318i</v>
      </c>
      <c r="AL48" s="233" t="str">
        <f t="shared" si="15"/>
        <v>0.337482625986446-0.00241432210636102i</v>
      </c>
      <c r="AM48" s="233" t="str">
        <f t="shared" si="16"/>
        <v>0.366666666293965-0.0000116900483677864i</v>
      </c>
      <c r="AN48" s="233" t="str">
        <f t="shared" si="17"/>
        <v>0.005+0.000214542433147179i</v>
      </c>
      <c r="AO48" s="233" t="str">
        <f t="shared" si="26"/>
        <v>2.79196884620412-0.0113555658051207i</v>
      </c>
      <c r="AP48" s="233">
        <f t="shared" si="27"/>
        <v>8.918283201061513</v>
      </c>
      <c r="AQ48" s="233">
        <f t="shared" si="28"/>
        <v>-0.23303354832039347</v>
      </c>
      <c r="AS48" s="233" t="str">
        <f t="shared" si="18"/>
        <v>0.378068739362304-0.0000124283932510535i</v>
      </c>
      <c r="AT48" s="233" t="str">
        <f t="shared" si="29"/>
        <v>2.83323509571612-0.0116631238000911i</v>
      </c>
      <c r="AU48" s="233">
        <f t="shared" si="30"/>
        <v>9.0457258511049474</v>
      </c>
      <c r="AV48" s="233">
        <f t="shared" si="31"/>
        <v>-0.23585899950440462</v>
      </c>
    </row>
    <row r="49" spans="1:48" x14ac:dyDescent="0.25">
      <c r="A49" s="236" t="s">
        <v>236</v>
      </c>
      <c r="B49" s="238">
        <f>LOOKUP('Design Equations CCM'!B$3,partdata!A2:A20,partdata!AD2:AD20)</f>
        <v>1</v>
      </c>
      <c r="C49" s="238"/>
      <c r="D49" s="244"/>
      <c r="F49" s="233">
        <v>47</v>
      </c>
      <c r="G49" s="249">
        <f t="shared" si="0"/>
        <v>168.59289681625813</v>
      </c>
      <c r="H49" s="249">
        <f t="shared" si="1"/>
        <v>168.57881372500071</v>
      </c>
      <c r="I49" s="234">
        <f t="shared" si="2"/>
        <v>1</v>
      </c>
      <c r="J49" s="233">
        <f t="shared" si="19"/>
        <v>1</v>
      </c>
      <c r="K49" s="233">
        <f t="shared" si="20"/>
        <v>1</v>
      </c>
      <c r="L49" s="233">
        <f>10^('Small Signal'!F49/30)</f>
        <v>36.869450645195769</v>
      </c>
      <c r="M49" s="233" t="str">
        <f t="shared" si="21"/>
        <v>231.657590577677i</v>
      </c>
      <c r="N49" s="233">
        <f>IF(D$31=1, IF(AND('Small Signal'!$B$61&gt;=1,FCCM=0),V49+0,S49+0), 0)</f>
        <v>8.9182741880843661</v>
      </c>
      <c r="O49" s="233">
        <f>IF(D$31=1, IF(AND('Small Signal'!$B$61&gt;=1,FCCM=0),W49,T49), 0)</f>
        <v>-0.25162369162904574</v>
      </c>
      <c r="P49" s="233">
        <f>IF(AND('Small Signal'!$B$61&gt;=1,FCCM=0),AF49+0,AC49+0)</f>
        <v>54.892340285235043</v>
      </c>
      <c r="Q49" s="233">
        <f>IF(AND('Small Signal'!$B$61&gt;=1,FCCM=0),AG49,AD49)</f>
        <v>116.74090339049054</v>
      </c>
      <c r="R49" s="233" t="str">
        <f>IMDIV(IMSUM('Small Signal'!$B$2*'Small Signal'!$B$38*'Small Signal'!$B$62,IMPRODUCT(M49,'Small Signal'!$B$2*'Small Signal'!$B$38*'Small Signal'!$B$62*'Small Signal'!$B$14*'Small Signal'!$B$15)),IMSUM(IMPRODUCT('Small Signal'!$B$12*'Small Signal'!$B$14*('Small Signal'!$B$15+'Small Signal'!$B$38),IMPOWER(M49,2)),IMSUM(IMPRODUCT(M49,('Small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2.37193939105869-0.00908947614095063i</v>
      </c>
      <c r="S49" s="233">
        <f t="shared" si="22"/>
        <v>8.9182741880843661</v>
      </c>
      <c r="T49" s="233">
        <f t="shared" si="23"/>
        <v>-0.25162369162904574</v>
      </c>
      <c r="U49" s="233" t="str">
        <f>IMDIV(IMSUM('Small Signal'!$B$74,IMPRODUCT(M49,'Small Signal'!$B$75)),IMSUM(IMPRODUCT('Small Signal'!$B$78,IMPOWER(M49,2)),IMSUM(IMPRODUCT(M49,'Small Signal'!$B$77),'Small Signal'!$B$76)))</f>
        <v>1.6827882898063-0.00670048516088737i</v>
      </c>
      <c r="V49" s="233">
        <f t="shared" si="3"/>
        <v>4.5206584785361139</v>
      </c>
      <c r="W49" s="233">
        <f t="shared" si="4"/>
        <v>-0.22813772466287655</v>
      </c>
      <c r="X49" s="233" t="str">
        <f>IMPRODUCT(IMDIV(IMSUM(IMPRODUCT(M49,'Small Signal'!$B$57*'Small Signal'!$B$6*'Small Signal'!$B$50*'Small Signal'!$B$7*'Small Signal'!$B$8),'Small Signal'!$B$57*'Small Signal'!$B$6*'Small Signal'!$B$50),IMSUM(IMSUM(IMPRODUCT(M49,('Small Signal'!$B$5+'Small Signal'!$B$6)*('Small Signal'!$B$56*'Small Signal'!$B$57)+'Small Signal'!$B$5*'Small Signal'!$B$57*('Small Signal'!$B$8+'Small Signal'!$B$9)+'Small Signal'!$B$6*'Small Signal'!$B$57*('Small Signal'!$B$8+'Small Signal'!$B$9)+'Small Signal'!$B$7*'Small Signal'!$B$8*('Small Signal'!$B$5+'Small Signal'!$B$6)),'Small Signal'!$B$6+'Small Signal'!$B$5),IMPRODUCT(IMPOWER(M49,2),'Small Signal'!$B$56*'Small Signal'!$B$57*'Small Signal'!$B$8*'Small Signal'!$B$7*('Small Signal'!$B$5+'Small Signal'!$B$6)+('Small Signal'!$B$5+'Small Signal'!$B$6)*('Small Signal'!$B$9*'Small Signal'!$B$8*'Small Signal'!$B$57*'Small Signal'!$B$7)))),-1)</f>
        <v>-90.2437002486297+177.28441347422i</v>
      </c>
      <c r="Y49" s="233">
        <f t="shared" si="5"/>
        <v>45.974066097150661</v>
      </c>
      <c r="Z49" s="233">
        <f t="shared" si="6"/>
        <v>116.99252708211957</v>
      </c>
      <c r="AA49" s="233" t="str">
        <f t="shared" si="7"/>
        <v>1.000000054356+0.000260229253209759i</v>
      </c>
      <c r="AB49" s="233" t="str">
        <f t="shared" si="8"/>
        <v>-249.912339147636+496.012909580607i</v>
      </c>
      <c r="AC49" s="230">
        <f t="shared" si="24"/>
        <v>54.892340285235043</v>
      </c>
      <c r="AD49" s="233">
        <f t="shared" si="25"/>
        <v>116.74090339049054</v>
      </c>
      <c r="AE49" s="233" t="str">
        <f t="shared" si="9"/>
        <v>-150.673150425443+298.936811533975i</v>
      </c>
      <c r="AF49" s="230">
        <f t="shared" si="10"/>
        <v>50.494723809455579</v>
      </c>
      <c r="AG49" s="233">
        <f t="shared" si="11"/>
        <v>116.74947932068893</v>
      </c>
      <c r="AI49" s="233" t="str">
        <f t="shared" si="12"/>
        <v>0.002-43.7357232029683i</v>
      </c>
      <c r="AJ49" s="233">
        <f t="shared" si="13"/>
        <v>0.33750000000000002</v>
      </c>
      <c r="AK49" s="233" t="str">
        <f t="shared" si="14"/>
        <v>0.15-43167.1588013297i</v>
      </c>
      <c r="AL49" s="233" t="str">
        <f t="shared" si="15"/>
        <v>0.337479743561425-0.00260690264697417i</v>
      </c>
      <c r="AM49" s="233" t="str">
        <f t="shared" si="16"/>
        <v>0.366666666232128-0.0000126226238718166i</v>
      </c>
      <c r="AN49" s="233" t="str">
        <f t="shared" si="17"/>
        <v>0.005+0.000231657590577677i</v>
      </c>
      <c r="AO49" s="233" t="str">
        <f t="shared" si="26"/>
        <v>2.79196211772424-0.0122614324721536i</v>
      </c>
      <c r="AP49" s="233">
        <f t="shared" si="27"/>
        <v>8.9182741880843661</v>
      </c>
      <c r="AQ49" s="233">
        <f t="shared" si="28"/>
        <v>-0.25162369162904574</v>
      </c>
      <c r="AS49" s="233" t="str">
        <f t="shared" si="18"/>
        <v>0.378068739294518-0.0000134198703377227i</v>
      </c>
      <c r="AT49" s="233" t="str">
        <f t="shared" si="29"/>
        <v>2.83322806099147-0.0125935242705506i</v>
      </c>
      <c r="AU49" s="233">
        <f t="shared" si="30"/>
        <v>9.0457164949396365</v>
      </c>
      <c r="AV49" s="233">
        <f t="shared" si="31"/>
        <v>-0.25467453462294365</v>
      </c>
    </row>
    <row r="50" spans="1:48" x14ac:dyDescent="0.25">
      <c r="A50" s="236" t="s">
        <v>0</v>
      </c>
      <c r="B50" s="239">
        <f>gmea</f>
        <v>2.5999999999999998E-4</v>
      </c>
      <c r="C50" s="238"/>
      <c r="D50" s="244"/>
      <c r="F50" s="233">
        <v>48</v>
      </c>
      <c r="G50" s="249">
        <f t="shared" si="0"/>
        <v>168.59402029687897</v>
      </c>
      <c r="H50" s="249">
        <f t="shared" si="1"/>
        <v>168.57881372500071</v>
      </c>
      <c r="I50" s="234">
        <f t="shared" si="2"/>
        <v>1</v>
      </c>
      <c r="J50" s="233">
        <f t="shared" si="19"/>
        <v>1</v>
      </c>
      <c r="K50" s="233">
        <f t="shared" si="20"/>
        <v>1</v>
      </c>
      <c r="L50" s="233">
        <f>10^('Small Signal'!F50/30)</f>
        <v>39.810717055349755</v>
      </c>
      <c r="M50" s="233" t="str">
        <f t="shared" si="21"/>
        <v>250.138112470457i</v>
      </c>
      <c r="N50" s="233">
        <f>IF(D$31=1, IF(AND('Small Signal'!$B$61&gt;=1,FCCM=0),V50+0,S50+0), 0)</f>
        <v>8.9182636797469037</v>
      </c>
      <c r="O50" s="233">
        <f>IF(D$31=1, IF(AND('Small Signal'!$B$61&gt;=1,FCCM=0),W50,T50), 0)</f>
        <v>-0.27169682887756552</v>
      </c>
      <c r="P50" s="233">
        <f>IF(AND('Small Signal'!$B$61&gt;=1,FCCM=0),AF50+0,AC50+0)</f>
        <v>54.350844024429286</v>
      </c>
      <c r="Q50" s="233">
        <f>IF(AND('Small Signal'!$B$61&gt;=1,FCCM=0),AG50,AD50)</f>
        <v>115.04052850829882</v>
      </c>
      <c r="R50" s="233" t="str">
        <f>IMDIV(IMSUM('Small Signal'!$B$2*'Small Signal'!$B$38*'Small Signal'!$B$62,IMPRODUCT(M50,'Small Signal'!$B$2*'Small Signal'!$B$38*'Small Signal'!$B$62*'Small Signal'!$B$14*'Small Signal'!$B$15)),IMSUM(IMPRODUCT('Small Signal'!$B$12*'Small Signal'!$B$14*('Small Signal'!$B$15+'Small Signal'!$B$38),IMPOWER(M50,2)),IMSUM(IMPRODUCT(M50,('Small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2.37193470171207-0.00981457573464581i</v>
      </c>
      <c r="S50" s="233">
        <f t="shared" si="22"/>
        <v>8.9182636797469037</v>
      </c>
      <c r="T50" s="233">
        <f t="shared" si="23"/>
        <v>-0.27169682887756552</v>
      </c>
      <c r="U50" s="233" t="str">
        <f>IMDIV(IMSUM('Small Signal'!$B$74,IMPRODUCT(M50,'Small Signal'!$B$75)),IMSUM(IMPRODUCT('Small Signal'!$B$78,IMPOWER(M50,2)),IMSUM(IMPRODUCT(M50,'Small Signal'!$B$77),'Small Signal'!$B$76)))</f>
        <v>1.68278491740886-0.00723500753710415i</v>
      </c>
      <c r="V50" s="233">
        <f t="shared" si="3"/>
        <v>4.5206524955367131</v>
      </c>
      <c r="W50" s="233">
        <f t="shared" si="4"/>
        <v>-0.24633738876828959</v>
      </c>
      <c r="X50" s="233" t="str">
        <f>IMPRODUCT(IMDIV(IMSUM(IMPRODUCT(M50,'Small Signal'!$B$57*'Small Signal'!$B$6*'Small Signal'!$B$50*'Small Signal'!$B$7*'Small Signal'!$B$8),'Small Signal'!$B$57*'Small Signal'!$B$6*'Small Signal'!$B$50),IMSUM(IMSUM(IMPRODUCT(M50,('Small Signal'!$B$5+'Small Signal'!$B$6)*('Small Signal'!$B$56*'Small Signal'!$B$57)+'Small Signal'!$B$5*'Small Signal'!$B$57*('Small Signal'!$B$8+'Small Signal'!$B$9)+'Small Signal'!$B$6*'Small Signal'!$B$57*('Small Signal'!$B$8+'Small Signal'!$B$9)+'Small Signal'!$B$7*'Small Signal'!$B$8*('Small Signal'!$B$5+'Small Signal'!$B$6)),'Small Signal'!$B$6+'Small Signal'!$B$5),IMPRODUCT(IMPOWER(M50,2),'Small Signal'!$B$56*'Small Signal'!$B$57*'Small Signal'!$B$8*'Small Signal'!$B$7*('Small Signal'!$B$5+'Small Signal'!$B$6)+('Small Signal'!$B$5+'Small Signal'!$B$6)*('Small Signal'!$B$9*'Small Signal'!$B$8*'Small Signal'!$B$57*'Small Signal'!$B$7)))),-1)</f>
        <v>-79.8653764777752+168.98608288492i</v>
      </c>
      <c r="Y50" s="233">
        <f t="shared" si="5"/>
        <v>45.432580344682385</v>
      </c>
      <c r="Z50" s="233">
        <f t="shared" si="6"/>
        <v>115.31222533717633</v>
      </c>
      <c r="AA50" s="233" t="str">
        <f t="shared" si="7"/>
        <v>1.00000006337444+0.000280989082092961i</v>
      </c>
      <c r="AB50" s="233" t="str">
        <f t="shared" si="8"/>
        <v>-220.876060183719+472.796802021042i</v>
      </c>
      <c r="AC50" s="230">
        <f t="shared" si="24"/>
        <v>54.350844024429286</v>
      </c>
      <c r="AD50" s="233">
        <f t="shared" si="25"/>
        <v>115.04052850829882</v>
      </c>
      <c r="AE50" s="233" t="str">
        <f t="shared" si="9"/>
        <v>-133.173635376642+284.945058131517i</v>
      </c>
      <c r="AF50" s="230">
        <f t="shared" si="10"/>
        <v>49.953231946859155</v>
      </c>
      <c r="AG50" s="233">
        <f t="shared" si="11"/>
        <v>115.04978846135884</v>
      </c>
      <c r="AI50" s="233" t="str">
        <f t="shared" si="12"/>
        <v>0.002-40.504472346526i</v>
      </c>
      <c r="AJ50" s="233">
        <f t="shared" si="13"/>
        <v>0.33750000000000002</v>
      </c>
      <c r="AK50" s="233" t="str">
        <f t="shared" si="14"/>
        <v>0.15-39977.9142060212i</v>
      </c>
      <c r="AL50" s="233" t="str">
        <f t="shared" si="15"/>
        <v>0.337476382963119-0.00281484053276188i</v>
      </c>
      <c r="AM50" s="233" t="str">
        <f t="shared" si="16"/>
        <v>0.366666666160032-0.0000136295957375125i</v>
      </c>
      <c r="AN50" s="233" t="str">
        <f t="shared" si="17"/>
        <v>0.005+0.000250138112470457i</v>
      </c>
      <c r="AO50" s="233" t="str">
        <f t="shared" si="26"/>
        <v>2.79195427292711-0.0132395582130898i</v>
      </c>
      <c r="AP50" s="233">
        <f t="shared" si="27"/>
        <v>8.9182636797469037</v>
      </c>
      <c r="AQ50" s="233">
        <f t="shared" si="28"/>
        <v>-0.27169682887756552</v>
      </c>
      <c r="AS50" s="233" t="str">
        <f t="shared" si="18"/>
        <v>0.378068739215485-0.0000144904426693023i</v>
      </c>
      <c r="AT50" s="233" t="str">
        <f t="shared" si="29"/>
        <v>2.83321985914215-0.013598140566649i</v>
      </c>
      <c r="AU50" s="233">
        <f t="shared" si="30"/>
        <v>9.0457055864759344</v>
      </c>
      <c r="AV50" s="233">
        <f t="shared" si="31"/>
        <v>-0.27499104201491054</v>
      </c>
    </row>
    <row r="51" spans="1:48" x14ac:dyDescent="0.25">
      <c r="A51" s="236" t="s">
        <v>46</v>
      </c>
      <c r="B51" s="238">
        <v>1000</v>
      </c>
      <c r="C51" s="238"/>
      <c r="D51" s="244"/>
      <c r="F51" s="233">
        <v>49</v>
      </c>
      <c r="G51" s="249">
        <f t="shared" si="0"/>
        <v>168.59523340327871</v>
      </c>
      <c r="H51" s="249">
        <f t="shared" si="1"/>
        <v>168.57881372500071</v>
      </c>
      <c r="I51" s="234">
        <f t="shared" si="2"/>
        <v>1</v>
      </c>
      <c r="J51" s="233">
        <f t="shared" si="19"/>
        <v>1</v>
      </c>
      <c r="K51" s="233">
        <f t="shared" si="20"/>
        <v>1</v>
      </c>
      <c r="L51" s="233">
        <f>10^('Small Signal'!F51/30)</f>
        <v>42.986623470822771</v>
      </c>
      <c r="M51" s="233" t="str">
        <f t="shared" si="21"/>
        <v>270.092920997135i</v>
      </c>
      <c r="N51" s="233">
        <f>IF(D$31=1, IF(AND('Small Signal'!$B$61&gt;=1,FCCM=0),V51+0,S51+0), 0)</f>
        <v>8.9182514279551874</v>
      </c>
      <c r="O51" s="233">
        <f>IF(D$31=1, IF(AND('Small Signal'!$B$61&gt;=1,FCCM=0),W51,T51), 0)</f>
        <v>-0.29337125637137534</v>
      </c>
      <c r="P51" s="233">
        <f>IF(AND('Small Signal'!$B$61&gt;=1,FCCM=0),AF51+0,AC51+0)</f>
        <v>53.79449556257353</v>
      </c>
      <c r="Q51" s="233">
        <f>IF(AND('Small Signal'!$B$61&gt;=1,FCCM=0),AG51,AD51)</f>
        <v>113.42463634085453</v>
      </c>
      <c r="R51" s="233" t="str">
        <f>IMDIV(IMSUM('Small Signal'!$B$2*'Small Signal'!$B$38*'Small Signal'!$B$62,IMPRODUCT(M51,'Small Signal'!$B$2*'Small Signal'!$B$38*'Small Signal'!$B$62*'Small Signal'!$B$14*'Small Signal'!$B$15)),IMSUM(IMPRODUCT('Small Signal'!$B$12*'Small Signal'!$B$14*('Small Signal'!$B$15+'Small Signal'!$B$38),IMPOWER(M51,2)),IMSUM(IMPRODUCT(M51,('Small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2.37192923435186-0.0105975164234948i</v>
      </c>
      <c r="S51" s="233">
        <f t="shared" si="22"/>
        <v>8.9182514279551874</v>
      </c>
      <c r="T51" s="233">
        <f t="shared" si="23"/>
        <v>-0.29337125637137534</v>
      </c>
      <c r="U51" s="233" t="str">
        <f>IMDIV(IMSUM('Small Signal'!$B$74,IMPRODUCT(M51,'Small Signal'!$B$75)),IMSUM(IMPRODUCT('Small Signal'!$B$78,IMPOWER(M51,2)),IMSUM(IMPRODUCT(M51,'Small Signal'!$B$77),'Small Signal'!$B$76)))</f>
        <v>1.68278098549203-0.00781216895539143i</v>
      </c>
      <c r="V51" s="233">
        <f t="shared" si="3"/>
        <v>4.5206455198772764</v>
      </c>
      <c r="W51" s="233">
        <f t="shared" si="4"/>
        <v>-0.26598891851919371</v>
      </c>
      <c r="X51" s="233" t="str">
        <f>IMPRODUCT(IMDIV(IMSUM(IMPRODUCT(M51,'Small Signal'!$B$57*'Small Signal'!$B$6*'Small Signal'!$B$50*'Small Signal'!$B$7*'Small Signal'!$B$8),'Small Signal'!$B$57*'Small Signal'!$B$6*'Small Signal'!$B$50),IMSUM(IMSUM(IMPRODUCT(M51,('Small Signal'!$B$5+'Small Signal'!$B$6)*('Small Signal'!$B$56*'Small Signal'!$B$57)+'Small Signal'!$B$5*'Small Signal'!$B$57*('Small Signal'!$B$8+'Small Signal'!$B$9)+'Small Signal'!$B$6*'Small Signal'!$B$57*('Small Signal'!$B$8+'Small Signal'!$B$9)+'Small Signal'!$B$7*'Small Signal'!$B$8*('Small Signal'!$B$5+'Small Signal'!$B$6)),'Small Signal'!$B$6+'Small Signal'!$B$5),IMPRODUCT(IMPOWER(M51,2),'Small Signal'!$B$56*'Small Signal'!$B$57*'Small Signal'!$B$8*'Small Signal'!$B$7*('Small Signal'!$B$5+'Small Signal'!$B$6)+('Small Signal'!$B$5+'Small Signal'!$B$6)*('Small Signal'!$B$9*'Small Signal'!$B$8*'Small Signal'!$B$57*'Small Signal'!$B$7)))),-1)</f>
        <v>-70.4680990569476+160.526062034135i</v>
      </c>
      <c r="Y51" s="233">
        <f t="shared" si="5"/>
        <v>44.876244134618354</v>
      </c>
      <c r="Z51" s="233">
        <f t="shared" si="6"/>
        <v>113.71800759722592</v>
      </c>
      <c r="AA51" s="233" t="str">
        <f t="shared" si="7"/>
        <v>1.00000007388917+0.000303405029168555i</v>
      </c>
      <c r="AB51" s="233" t="str">
        <f t="shared" si="8"/>
        <v>-194.584532455251+449.128384421411i</v>
      </c>
      <c r="AC51" s="230">
        <f t="shared" si="24"/>
        <v>53.79449556257353</v>
      </c>
      <c r="AD51" s="233">
        <f t="shared" si="25"/>
        <v>113.42463634085453</v>
      </c>
      <c r="AE51" s="233" t="str">
        <f t="shared" si="9"/>
        <v>-117.328320458446+270.680713562755i</v>
      </c>
      <c r="AF51" s="230">
        <f t="shared" si="10"/>
        <v>49.396888612914474</v>
      </c>
      <c r="AG51" s="233">
        <f t="shared" si="11"/>
        <v>113.4346348528702</v>
      </c>
      <c r="AI51" s="233" t="str">
        <f t="shared" si="12"/>
        <v>0.002-37.5119504130925i</v>
      </c>
      <c r="AJ51" s="233">
        <f t="shared" si="13"/>
        <v>0.33750000000000002</v>
      </c>
      <c r="AK51" s="233" t="str">
        <f t="shared" si="14"/>
        <v>0.15-37024.2950577223i</v>
      </c>
      <c r="AL51" s="233" t="str">
        <f t="shared" si="15"/>
        <v>0.337472464878163-0.00303935939723935i</v>
      </c>
      <c r="AM51" s="233" t="str">
        <f t="shared" si="16"/>
        <v>0.366666666075974-0.0000147168989465598i</v>
      </c>
      <c r="AN51" s="233" t="str">
        <f t="shared" si="17"/>
        <v>0.005+0.000270092920997135i</v>
      </c>
      <c r="AO51" s="233" t="str">
        <f t="shared" si="26"/>
        <v>2.79194512661195-0.0142957058019314i</v>
      </c>
      <c r="AP51" s="233">
        <f t="shared" si="27"/>
        <v>8.9182514279551874</v>
      </c>
      <c r="AQ51" s="233">
        <f t="shared" si="28"/>
        <v>-0.29337125637137534</v>
      </c>
      <c r="AS51" s="233" t="str">
        <f t="shared" si="18"/>
        <v>0.378068739123338-0.0000156464200816328i</v>
      </c>
      <c r="AT51" s="233" t="str">
        <f t="shared" si="29"/>
        <v>2.83321029653886-0.0146828914495833i</v>
      </c>
      <c r="AU51" s="233">
        <f t="shared" si="30"/>
        <v>9.0456928681739672</v>
      </c>
      <c r="AV51" s="233">
        <f t="shared" si="31"/>
        <v>-0.29692825160570568</v>
      </c>
    </row>
    <row r="52" spans="1:48" x14ac:dyDescent="0.25">
      <c r="A52" s="236" t="s">
        <v>47</v>
      </c>
      <c r="B52" s="239">
        <f>2*PI()*LOOKUP('Design Equations CCM'!B3,partdata!A2:A20,partdata!R2:R20)</f>
        <v>43982297.150257103</v>
      </c>
      <c r="C52" s="238"/>
      <c r="D52" s="244"/>
      <c r="F52" s="233">
        <v>50</v>
      </c>
      <c r="G52" s="249">
        <f t="shared" si="0"/>
        <v>168.59654328535029</v>
      </c>
      <c r="H52" s="249">
        <f t="shared" si="1"/>
        <v>168.57881372500071</v>
      </c>
      <c r="I52" s="234">
        <f t="shared" si="2"/>
        <v>1</v>
      </c>
      <c r="J52" s="233">
        <f t="shared" si="19"/>
        <v>1</v>
      </c>
      <c r="K52" s="233">
        <f t="shared" si="20"/>
        <v>1</v>
      </c>
      <c r="L52" s="233">
        <f>10^('Small Signal'!F52/30)</f>
        <v>46.415888336127807</v>
      </c>
      <c r="M52" s="233" t="str">
        <f t="shared" si="21"/>
        <v>291.639627613247i</v>
      </c>
      <c r="N52" s="233">
        <f>IF(D$31=1, IF(AND('Small Signal'!$B$61&gt;=1,FCCM=0),V52+0,S52+0), 0)</f>
        <v>8.9182371434562402</v>
      </c>
      <c r="O52" s="233">
        <f>IF(D$31=1, IF(AND('Small Signal'!$B$61&gt;=1,FCCM=0),W52,T52), 0)</f>
        <v>-0.31677470499147026</v>
      </c>
      <c r="P52" s="233">
        <f>IF(AND('Small Signal'!$B$61&gt;=1,FCCM=0),AF52+0,AC52+0)</f>
        <v>53.224744033242629</v>
      </c>
      <c r="Q52" s="233">
        <f>IF(AND('Small Signal'!$B$61&gt;=1,FCCM=0),AG52,AD52)</f>
        <v>111.89435056440139</v>
      </c>
      <c r="R52" s="233" t="str">
        <f>IMDIV(IMSUM('Small Signal'!$B$2*'Small Signal'!$B$38*'Small Signal'!$B$62,IMPRODUCT(M52,'Small Signal'!$B$2*'Small Signal'!$B$38*'Small Signal'!$B$62*'Small Signal'!$B$14*'Small Signal'!$B$15)),IMSUM(IMPRODUCT('Small Signal'!$B$12*'Small Signal'!$B$14*('Small Signal'!$B$15+'Small Signal'!$B$38),IMPOWER(M52,2)),IMSUM(IMPRODUCT(M52,('Small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2.37192285990035-0.011442911495322i</v>
      </c>
      <c r="S52" s="233">
        <f t="shared" si="22"/>
        <v>8.9182371434562402</v>
      </c>
      <c r="T52" s="233">
        <f t="shared" si="23"/>
        <v>-0.31677470499147026</v>
      </c>
      <c r="U52" s="233" t="str">
        <f>IMDIV(IMSUM('Small Signal'!$B$74,IMPRODUCT(M52,'Small Signal'!$B$75)),IMSUM(IMPRODUCT('Small Signal'!$B$78,IMPOWER(M52,2)),IMSUM(IMPRODUCT(M52,'Small Signal'!$B$77),'Small Signal'!$B$76)))</f>
        <v>1.68277640122704-0.0084353702875364i</v>
      </c>
      <c r="V52" s="233">
        <f t="shared" si="3"/>
        <v>4.5206373868632346</v>
      </c>
      <c r="W52" s="233">
        <f t="shared" si="4"/>
        <v>-0.28720813271650408</v>
      </c>
      <c r="X52" s="233" t="str">
        <f>IMPRODUCT(IMDIV(IMSUM(IMPRODUCT(M52,'Small Signal'!$B$57*'Small Signal'!$B$6*'Small Signal'!$B$50*'Small Signal'!$B$7*'Small Signal'!$B$8),'Small Signal'!$B$57*'Small Signal'!$B$6*'Small Signal'!$B$50),IMSUM(IMSUM(IMPRODUCT(M52,('Small Signal'!$B$5+'Small Signal'!$B$6)*('Small Signal'!$B$56*'Small Signal'!$B$57)+'Small Signal'!$B$5*'Small Signal'!$B$57*('Small Signal'!$B$8+'Small Signal'!$B$9)+'Small Signal'!$B$6*'Small Signal'!$B$57*('Small Signal'!$B$8+'Small Signal'!$B$9)+'Small Signal'!$B$7*'Small Signal'!$B$8*('Small Signal'!$B$5+'Small Signal'!$B$6)),'Small Signal'!$B$6+'Small Signal'!$B$5),IMPRODUCT(IMPOWER(M52,2),'Small Signal'!$B$56*'Small Signal'!$B$57*'Small Signal'!$B$8*'Small Signal'!$B$7*('Small Signal'!$B$5+'Small Signal'!$B$6)+('Small Signal'!$B$5+'Small Signal'!$B$6)*('Small Signal'!$B$9*'Small Signal'!$B$8*'Small Signal'!$B$57*'Small Signal'!$B$7)))),-1)</f>
        <v>-62.0143348016734+152.01947038668i</v>
      </c>
      <c r="Y52" s="233">
        <f t="shared" si="5"/>
        <v>44.306506889786391</v>
      </c>
      <c r="Z52" s="233">
        <f t="shared" si="6"/>
        <v>112.21112526939289</v>
      </c>
      <c r="AA52" s="233" t="str">
        <f t="shared" si="7"/>
        <v>1.00000008614845+0.000327609211397809i</v>
      </c>
      <c r="AB52" s="233" t="str">
        <f t="shared" si="8"/>
        <v>-170.932746161284+425.32974086805i</v>
      </c>
      <c r="AC52" s="230">
        <f t="shared" si="24"/>
        <v>53.224744033242629</v>
      </c>
      <c r="AD52" s="233">
        <f t="shared" si="25"/>
        <v>111.89435056440139</v>
      </c>
      <c r="AE52" s="233" t="str">
        <f t="shared" si="9"/>
        <v>-103.073918618422+256.337891170925i</v>
      </c>
      <c r="AF52" s="230">
        <f t="shared" si="10"/>
        <v>48.827143062255132</v>
      </c>
      <c r="AG52" s="233">
        <f t="shared" si="11"/>
        <v>111.90514651382234</v>
      </c>
      <c r="AI52" s="233" t="str">
        <f t="shared" si="12"/>
        <v>0.002-34.7405198062035i</v>
      </c>
      <c r="AJ52" s="233">
        <f t="shared" si="13"/>
        <v>0.33750000000000002</v>
      </c>
      <c r="AK52" s="233" t="str">
        <f t="shared" si="14"/>
        <v>0.15-34288.8930487229i</v>
      </c>
      <c r="AL52" s="233" t="str">
        <f t="shared" si="15"/>
        <v>0.337467896842038-0.00328178010090297i</v>
      </c>
      <c r="AM52" s="233" t="str">
        <f t="shared" si="16"/>
        <v>0.366666665977971-0.0000158909419447347i</v>
      </c>
      <c r="AN52" s="233" t="str">
        <f t="shared" si="17"/>
        <v>0.005+0.000291639627613247i</v>
      </c>
      <c r="AO52" s="233" t="str">
        <f t="shared" si="26"/>
        <v>2.79193446285509-0.0154360972973843i</v>
      </c>
      <c r="AP52" s="233">
        <f t="shared" si="27"/>
        <v>8.9182371434562402</v>
      </c>
      <c r="AQ52" s="233">
        <f t="shared" si="28"/>
        <v>-0.31677470499147026</v>
      </c>
      <c r="AS52" s="233" t="str">
        <f t="shared" si="18"/>
        <v>0.378068739015905-0.0000168946157786917i</v>
      </c>
      <c r="AT52" s="233" t="str">
        <f t="shared" si="29"/>
        <v>2.83319914743124-0.0158541673799058i</v>
      </c>
      <c r="AU52" s="233">
        <f t="shared" si="30"/>
        <v>9.0456780397673811</v>
      </c>
      <c r="AV52" s="233">
        <f t="shared" si="31"/>
        <v>-0.32061544210709431</v>
      </c>
    </row>
    <row r="53" spans="1:48" x14ac:dyDescent="0.25">
      <c r="A53" s="236" t="s">
        <v>42</v>
      </c>
      <c r="B53" s="238">
        <f>1/'Design Equations CCM'!B178</f>
        <v>6.25E-2</v>
      </c>
      <c r="C53" s="238"/>
      <c r="D53" s="244"/>
      <c r="F53" s="233">
        <v>51</v>
      </c>
      <c r="G53" s="249">
        <f t="shared" si="0"/>
        <v>168.59795766336583</v>
      </c>
      <c r="H53" s="249">
        <f t="shared" si="1"/>
        <v>168.57881372500071</v>
      </c>
      <c r="I53" s="234">
        <f t="shared" si="2"/>
        <v>1</v>
      </c>
      <c r="J53" s="233">
        <f t="shared" si="19"/>
        <v>1</v>
      </c>
      <c r="K53" s="233">
        <f t="shared" si="20"/>
        <v>1</v>
      </c>
      <c r="L53" s="233">
        <f>10^('Small Signal'!F53/30)</f>
        <v>50.118723362727238</v>
      </c>
      <c r="M53" s="233" t="str">
        <f t="shared" si="21"/>
        <v>314.905226247286i</v>
      </c>
      <c r="N53" s="233">
        <f>IF(D$31=1, IF(AND('Small Signal'!$B$61&gt;=1,FCCM=0),V53+0,S53+0), 0)</f>
        <v>8.9182204890092454</v>
      </c>
      <c r="O53" s="233">
        <f>IF(D$31=1, IF(AND('Small Signal'!$B$61&gt;=1,FCCM=0),W53,T53), 0)</f>
        <v>-0.34204509218386919</v>
      </c>
      <c r="P53" s="233">
        <f>IF(AND('Small Signal'!$B$61&gt;=1,FCCM=0),AF53+0,AC53+0)</f>
        <v>52.642972168833097</v>
      </c>
      <c r="Q53" s="233">
        <f>IF(AND('Small Signal'!$B$61&gt;=1,FCCM=0),AG53,AD53)</f>
        <v>110.44974007472452</v>
      </c>
      <c r="R53" s="233" t="str">
        <f>IMDIV(IMSUM('Small Signal'!$B$2*'Small Signal'!$B$38*'Small Signal'!$B$62,IMPRODUCT(M53,'Small Signal'!$B$2*'Small Signal'!$B$38*'Small Signal'!$B$62*'Small Signal'!$B$14*'Small Signal'!$B$15)),IMSUM(IMPRODUCT('Small Signal'!$B$12*'Small Signal'!$B$14*('Small Signal'!$B$15+'Small Signal'!$B$38),IMPOWER(M53,2)),IMSUM(IMPRODUCT(M53,('Small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2.37191542786611-0.0123557420061362i</v>
      </c>
      <c r="S53" s="233">
        <f t="shared" si="22"/>
        <v>8.9182204890092454</v>
      </c>
      <c r="T53" s="233">
        <f t="shared" si="23"/>
        <v>-0.34204509218386919</v>
      </c>
      <c r="U53" s="233" t="str">
        <f>IMDIV(IMSUM('Small Signal'!$B$74,IMPRODUCT(M53,'Small Signal'!$B$75)),IMSUM(IMPRODUCT('Small Signal'!$B$78,IMPOWER(M53,2)),IMSUM(IMPRODUCT(M53,'Small Signal'!$B$77),'Small Signal'!$B$76)))</f>
        <v>1.68277105638476-0.00910828353831972i</v>
      </c>
      <c r="V53" s="233">
        <f t="shared" si="3"/>
        <v>4.5206279044754956</v>
      </c>
      <c r="W53" s="233">
        <f t="shared" si="4"/>
        <v>-0.31012008858479129</v>
      </c>
      <c r="X53" s="233" t="str">
        <f>IMPRODUCT(IMDIV(IMSUM(IMPRODUCT(M53,'Small Signal'!$B$57*'Small Signal'!$B$6*'Small Signal'!$B$50*'Small Signal'!$B$7*'Small Signal'!$B$8),'Small Signal'!$B$57*'Small Signal'!$B$6*'Small Signal'!$B$50),IMSUM(IMSUM(IMPRODUCT(M53,('Small Signal'!$B$5+'Small Signal'!$B$6)*('Small Signal'!$B$56*'Small Signal'!$B$57)+'Small Signal'!$B$5*'Small Signal'!$B$57*('Small Signal'!$B$8+'Small Signal'!$B$9)+'Small Signal'!$B$6*'Small Signal'!$B$57*('Small Signal'!$B$8+'Small Signal'!$B$9)+'Small Signal'!$B$7*'Small Signal'!$B$8*('Small Signal'!$B$5+'Small Signal'!$B$6)),'Small Signal'!$B$6+'Small Signal'!$B$5),IMPRODUCT(IMPOWER(M53,2),'Small Signal'!$B$56*'Small Signal'!$B$57*'Small Signal'!$B$8*'Small Signal'!$B$7*('Small Signal'!$B$5+'Small Signal'!$B$6)+('Small Signal'!$B$5+'Small Signal'!$B$6)*('Small Signal'!$B$9*'Small Signal'!$B$8*'Small Signal'!$B$57*'Small Signal'!$B$7)))),-1)</f>
        <v>-54.4537662859665+143.565502582561i</v>
      </c>
      <c r="Y53" s="233">
        <f t="shared" si="5"/>
        <v>43.724751679823854</v>
      </c>
      <c r="Z53" s="233">
        <f t="shared" si="6"/>
        <v>110.79178516690844</v>
      </c>
      <c r="AA53" s="233" t="str">
        <f t="shared" si="7"/>
        <v>1.00000010044172+0.00035374428535871i</v>
      </c>
      <c r="AB53" s="233" t="str">
        <f t="shared" si="8"/>
        <v>-149.77992396768+401.678401688115i</v>
      </c>
      <c r="AC53" s="230">
        <f t="shared" si="24"/>
        <v>52.642972168833097</v>
      </c>
      <c r="AD53" s="233">
        <f t="shared" si="25"/>
        <v>110.44974007472452</v>
      </c>
      <c r="AE53" s="233" t="str">
        <f t="shared" si="9"/>
        <v>-90.3255865133213+242.083852784327i</v>
      </c>
      <c r="AF53" s="230">
        <f t="shared" si="10"/>
        <v>48.245378168419357</v>
      </c>
      <c r="AG53" s="233">
        <f t="shared" si="11"/>
        <v>110.4613970266269</v>
      </c>
      <c r="AI53" s="233" t="str">
        <f t="shared" si="12"/>
        <v>0.002-32.1738460174545i</v>
      </c>
      <c r="AJ53" s="233">
        <f t="shared" si="13"/>
        <v>0.33750000000000002</v>
      </c>
      <c r="AK53" s="233" t="str">
        <f t="shared" si="14"/>
        <v>0.15-31755.5860192275i</v>
      </c>
      <c r="AL53" s="233" t="str">
        <f t="shared" si="15"/>
        <v>0.337462571060001-0.00354352838696853i</v>
      </c>
      <c r="AM53" s="233" t="str">
        <f t="shared" si="16"/>
        <v>0.366666665863706-0.000017158644412569i</v>
      </c>
      <c r="AN53" s="233" t="str">
        <f t="shared" si="17"/>
        <v>0.005+0.000314905226247286i</v>
      </c>
      <c r="AO53" s="233" t="str">
        <f t="shared" si="26"/>
        <v>2.79192202991389-0.0166674505680622i</v>
      </c>
      <c r="AP53" s="233">
        <f t="shared" si="27"/>
        <v>8.9182204890092454</v>
      </c>
      <c r="AQ53" s="233">
        <f t="shared" si="28"/>
        <v>-0.34204509218386919</v>
      </c>
      <c r="AS53" s="233" t="str">
        <f t="shared" si="18"/>
        <v>0.378068738890645-0.0000182423864888572i</v>
      </c>
      <c r="AT53" s="233" t="str">
        <f t="shared" si="29"/>
        <v>2.83318614862023-0.0171188680255353i</v>
      </c>
      <c r="AU53" s="233">
        <f t="shared" si="30"/>
        <v>9.0456607511754328</v>
      </c>
      <c r="AV53" s="233">
        <f t="shared" si="31"/>
        <v>-0.34619220207728041</v>
      </c>
    </row>
    <row r="54" spans="1:48" x14ac:dyDescent="0.25">
      <c r="A54" s="236" t="s">
        <v>45</v>
      </c>
      <c r="B54" s="239">
        <f>IF(B3/B2&gt;0.1,'Design Equations CCM'!B179*fsw_ss*Ri,0)*1</f>
        <v>262500</v>
      </c>
      <c r="C54" s="238"/>
      <c r="D54" s="244"/>
      <c r="F54" s="233">
        <v>52</v>
      </c>
      <c r="G54" s="249">
        <f t="shared" si="0"/>
        <v>168.59948487347754</v>
      </c>
      <c r="H54" s="249">
        <f t="shared" si="1"/>
        <v>168.57881372500071</v>
      </c>
      <c r="I54" s="234">
        <f t="shared" si="2"/>
        <v>1</v>
      </c>
      <c r="J54" s="233">
        <f t="shared" si="19"/>
        <v>1</v>
      </c>
      <c r="K54" s="233">
        <f t="shared" si="20"/>
        <v>1</v>
      </c>
      <c r="L54" s="233">
        <f>10^('Small Signal'!F54/30)</f>
        <v>54.11695265464639</v>
      </c>
      <c r="M54" s="233" t="str">
        <f t="shared" si="21"/>
        <v>340.026841789008i</v>
      </c>
      <c r="N54" s="233">
        <f>IF(D$31=1, IF(AND('Small Signal'!$B$61&gt;=1,FCCM=0),V54+0,S54+0), 0)</f>
        <v>8.9182010714259476</v>
      </c>
      <c r="O54" s="233">
        <f>IF(D$31=1, IF(AND('Small Signal'!$B$61&gt;=1,FCCM=0),W54,T54), 0)</f>
        <v>-0.3693313337693937</v>
      </c>
      <c r="P54" s="233">
        <f>IF(AND('Small Signal'!$B$61&gt;=1,FCCM=0),AF54+0,AC54+0)</f>
        <v>52.050480223978646</v>
      </c>
      <c r="Q54" s="233">
        <f>IF(AND('Small Signal'!$B$61&gt;=1,FCCM=0),AG54,AD54)</f>
        <v>109.08997973069295</v>
      </c>
      <c r="R54" s="233" t="str">
        <f>IMDIV(IMSUM('Small Signal'!$B$2*'Small Signal'!$B$38*'Small Signal'!$B$62,IMPRODUCT(M54,'Small Signal'!$B$2*'Small Signal'!$B$38*'Small Signal'!$B$62*'Small Signal'!$B$14*'Small Signal'!$B$15)),IMSUM(IMPRODUCT('Small Signal'!$B$12*'Small Signal'!$B$14*('Small Signal'!$B$15+'Small Signal'!$B$38),IMPOWER(M54,2)),IMSUM(IMPRODUCT(M54,('Small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2.37190676279192-0.0133413860522032i</v>
      </c>
      <c r="S54" s="233">
        <f t="shared" si="22"/>
        <v>8.9182010714259476</v>
      </c>
      <c r="T54" s="233">
        <f t="shared" si="23"/>
        <v>-0.3693313337693937</v>
      </c>
      <c r="U54" s="233" t="str">
        <f>IMDIV(IMSUM('Small Signal'!$B$74,IMPRODUCT(M54,'Small Signal'!$B$75)),IMSUM(IMPRODUCT('Small Signal'!$B$78,IMPOWER(M54,2)),IMSUM(IMPRODUCT(M54,'Small Signal'!$B$77),'Small Signal'!$B$76)))</f>
        <v>1.68276482478105-0.00983487343063474i</v>
      </c>
      <c r="V54" s="233">
        <f t="shared" si="3"/>
        <v>4.520616848837359</v>
      </c>
      <c r="W54" s="233">
        <f t="shared" si="4"/>
        <v>-0.3348598184997556</v>
      </c>
      <c r="X54" s="233" t="str">
        <f>IMPRODUCT(IMDIV(IMSUM(IMPRODUCT(M54,'Small Signal'!$B$57*'Small Signal'!$B$6*'Small Signal'!$B$50*'Small Signal'!$B$7*'Small Signal'!$B$8),'Small Signal'!$B$57*'Small Signal'!$B$6*'Small Signal'!$B$50),IMSUM(IMSUM(IMPRODUCT(M54,('Small Signal'!$B$5+'Small Signal'!$B$6)*('Small Signal'!$B$56*'Small Signal'!$B$57)+'Small Signal'!$B$5*'Small Signal'!$B$57*('Small Signal'!$B$8+'Small Signal'!$B$9)+'Small Signal'!$B$6*'Small Signal'!$B$57*('Small Signal'!$B$8+'Small Signal'!$B$9)+'Small Signal'!$B$7*'Small Signal'!$B$8*('Small Signal'!$B$5+'Small Signal'!$B$6)),'Small Signal'!$B$6+'Small Signal'!$B$5),IMPRODUCT(IMPOWER(M54,2),'Small Signal'!$B$56*'Small Signal'!$B$57*'Small Signal'!$B$8*'Small Signal'!$B$7*('Small Signal'!$B$5+'Small Signal'!$B$6)+('Small Signal'!$B$5+'Small Signal'!$B$6)*('Small Signal'!$B$9*'Small Signal'!$B$8*'Small Signal'!$B$57*'Small Signal'!$B$7)))),-1)</f>
        <v>-47.7273603611415+135.247141343695i</v>
      </c>
      <c r="Y54" s="233">
        <f t="shared" si="5"/>
        <v>43.132279152552691</v>
      </c>
      <c r="Z54" s="233">
        <f t="shared" si="6"/>
        <v>109.45931106446236</v>
      </c>
      <c r="AA54" s="233" t="str">
        <f t="shared" si="7"/>
        <v>1.00000011710644+0.000381964288036462i</v>
      </c>
      <c r="AB54" s="233" t="str">
        <f t="shared" si="8"/>
        <v>-130.960903824645+378.406540257866i</v>
      </c>
      <c r="AC54" s="230">
        <f t="shared" si="24"/>
        <v>52.050480223978646</v>
      </c>
      <c r="AD54" s="233">
        <f t="shared" si="25"/>
        <v>109.08997973069295</v>
      </c>
      <c r="AE54" s="233" t="str">
        <f t="shared" si="9"/>
        <v>-78.9837846784079+228.058524653691i</v>
      </c>
      <c r="AF54" s="230">
        <f t="shared" si="10"/>
        <v>47.652894350595297</v>
      </c>
      <c r="AG54" s="233">
        <f t="shared" si="11"/>
        <v>109.10256630796057</v>
      </c>
      <c r="AI54" s="233" t="str">
        <f t="shared" si="12"/>
        <v>0.002-29.7968013526965i</v>
      </c>
      <c r="AJ54" s="233">
        <f t="shared" si="13"/>
        <v>0.33750000000000002</v>
      </c>
      <c r="AK54" s="233" t="str">
        <f t="shared" si="14"/>
        <v>0.15-29409.4429351114i</v>
      </c>
      <c r="AL54" s="233" t="str">
        <f t="shared" si="15"/>
        <v>0.337456361867524-0.00382614312183507i</v>
      </c>
      <c r="AM54" s="233" t="str">
        <f t="shared" si="16"/>
        <v>0.366666665730482-0.0000185274780491734i</v>
      </c>
      <c r="AN54" s="233" t="str">
        <f t="shared" si="17"/>
        <v>0.005+0.000340026841789008i</v>
      </c>
      <c r="AO54" s="233" t="str">
        <f t="shared" si="26"/>
        <v>2.79190753428631-0.0179970187019031i</v>
      </c>
      <c r="AP54" s="233">
        <f t="shared" si="27"/>
        <v>8.9182010714259476</v>
      </c>
      <c r="AQ54" s="233">
        <f t="shared" si="28"/>
        <v>-0.3693313337693937</v>
      </c>
      <c r="AS54" s="233" t="str">
        <f t="shared" si="18"/>
        <v>0.378068738744603-0.0000196976758246417i</v>
      </c>
      <c r="AT54" s="233" t="str">
        <f t="shared" si="29"/>
        <v>2.83317099324722-0.0184844427304251i</v>
      </c>
      <c r="AU54" s="233">
        <f t="shared" si="30"/>
        <v>9.0456405942397957</v>
      </c>
      <c r="AV54" s="233">
        <f t="shared" si="31"/>
        <v>-0.3738092515144939</v>
      </c>
    </row>
    <row r="55" spans="1:48" x14ac:dyDescent="0.25">
      <c r="A55" s="236"/>
      <c r="B55" s="238"/>
      <c r="C55" s="238"/>
      <c r="D55" s="244"/>
      <c r="F55" s="233">
        <v>53</v>
      </c>
      <c r="G55" s="249">
        <f t="shared" si="0"/>
        <v>168.60113391684797</v>
      </c>
      <c r="H55" s="249">
        <f t="shared" si="1"/>
        <v>168.57881372500071</v>
      </c>
      <c r="I55" s="234">
        <f t="shared" si="2"/>
        <v>1</v>
      </c>
      <c r="J55" s="233">
        <f t="shared" si="19"/>
        <v>1</v>
      </c>
      <c r="K55" s="233">
        <f t="shared" si="20"/>
        <v>1</v>
      </c>
      <c r="L55" s="233">
        <f>10^('Small Signal'!F55/30)</f>
        <v>58.434141337351775</v>
      </c>
      <c r="M55" s="233" t="str">
        <f t="shared" si="21"/>
        <v>367.152538288504i</v>
      </c>
      <c r="N55" s="233">
        <f>IF(D$31=1, IF(AND('Small Signal'!$B$61&gt;=1,FCCM=0),V55+0,S55+0), 0)</f>
        <v>8.9181784322897339</v>
      </c>
      <c r="O55" s="233">
        <f>IF(D$31=1, IF(AND('Small Signal'!$B$61&gt;=1,FCCM=0),W55,T55), 0)</f>
        <v>-0.3987942203021605</v>
      </c>
      <c r="P55" s="233">
        <f>IF(AND('Small Signal'!$B$61&gt;=1,FCCM=0),AF55+0,AC55+0)</f>
        <v>51.448475649691531</v>
      </c>
      <c r="Q55" s="233">
        <f>IF(AND('Small Signal'!$B$61&gt;=1,FCCM=0),AG55,AD55)</f>
        <v>107.81350973616192</v>
      </c>
      <c r="R55" s="233" t="str">
        <f>IMDIV(IMSUM('Small Signal'!$B$2*'Small Signal'!$B$38*'Small Signal'!$B$62,IMPRODUCT(M55,'Small Signal'!$B$2*'Small Signal'!$B$38*'Small Signal'!$B$62*'Small Signal'!$B$14*'Small Signal'!$B$15)),IMSUM(IMPRODUCT('Small Signal'!$B$12*'Small Signal'!$B$14*('Small Signal'!$B$15+'Small Signal'!$B$38),IMPOWER(M55,2)),IMSUM(IMPRODUCT(M55,('Small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2.37189666011363-0.0144056503600372i</v>
      </c>
      <c r="S55" s="233">
        <f t="shared" si="22"/>
        <v>8.9181784322897339</v>
      </c>
      <c r="T55" s="233">
        <f t="shared" si="23"/>
        <v>-0.3987942203021605</v>
      </c>
      <c r="U55" s="233" t="str">
        <f>IMDIV(IMSUM('Small Signal'!$B$74,IMPRODUCT(M55,'Small Signal'!$B$75)),IMSUM(IMPRODUCT('Small Signal'!$B$78,IMPOWER(M55,2)),IMSUM(IMPRODUCT(M55,'Small Signal'!$B$77),'Small Signal'!$B$76)))</f>
        <v>1.68275755929836-0.0106194207010262i</v>
      </c>
      <c r="V55" s="233">
        <f t="shared" si="3"/>
        <v>4.5206039589290672</v>
      </c>
      <c r="W55" s="233">
        <f t="shared" si="4"/>
        <v>-0.36157312541852554</v>
      </c>
      <c r="X55" s="233" t="str">
        <f>IMPRODUCT(IMDIV(IMSUM(IMPRODUCT(M55,'Small Signal'!$B$57*'Small Signal'!$B$6*'Small Signal'!$B$50*'Small Signal'!$B$7*'Small Signal'!$B$8),'Small Signal'!$B$57*'Small Signal'!$B$6*'Small Signal'!$B$50),IMSUM(IMSUM(IMPRODUCT(M55,('Small Signal'!$B$5+'Small Signal'!$B$6)*('Small Signal'!$B$56*'Small Signal'!$B$57)+'Small Signal'!$B$5*'Small Signal'!$B$57*('Small Signal'!$B$8+'Small Signal'!$B$9)+'Small Signal'!$B$6*'Small Signal'!$B$57*('Small Signal'!$B$8+'Small Signal'!$B$9)+'Small Signal'!$B$7*'Small Signal'!$B$8*('Small Signal'!$B$5+'Small Signal'!$B$6)),'Small Signal'!$B$6+'Small Signal'!$B$5),IMPRODUCT(IMPOWER(M55,2),'Small Signal'!$B$56*'Small Signal'!$B$57*'Small Signal'!$B$8*'Small Signal'!$B$7*('Small Signal'!$B$5+'Small Signal'!$B$6)+('Small Signal'!$B$5+'Small Signal'!$B$6)*('Small Signal'!$B$9*'Small Signal'!$B$8*'Small Signal'!$B$57*'Small Signal'!$B$7)))),-1)</f>
        <v>-41.7709242845746+127.131687492246i</v>
      </c>
      <c r="Y55" s="233">
        <f t="shared" si="5"/>
        <v>42.530297217401795</v>
      </c>
      <c r="Z55" s="233">
        <f t="shared" si="6"/>
        <v>108.21230395646407</v>
      </c>
      <c r="AA55" s="233" t="str">
        <f t="shared" si="7"/>
        <v>1.00000013653609+0.000412435544685809i</v>
      </c>
      <c r="AB55" s="233" t="str">
        <f t="shared" si="8"/>
        <v>-114.296088228468+355.702455912403i</v>
      </c>
      <c r="AC55" s="230">
        <f t="shared" si="24"/>
        <v>51.448475649691531</v>
      </c>
      <c r="AD55" s="233">
        <f t="shared" si="25"/>
        <v>107.81350973616192</v>
      </c>
      <c r="AE55" s="233" t="str">
        <f t="shared" si="9"/>
        <v>-68.9402737248358+214.375391171982i</v>
      </c>
      <c r="AF55" s="230">
        <f t="shared" si="10"/>
        <v>47.050899251645504</v>
      </c>
      <c r="AG55" s="233">
        <f t="shared" si="11"/>
        <v>107.82710001958026</v>
      </c>
      <c r="AI55" s="233" t="str">
        <f t="shared" si="12"/>
        <v>0.002-27.5953757710657i</v>
      </c>
      <c r="AJ55" s="233">
        <f t="shared" si="13"/>
        <v>0.33750000000000002</v>
      </c>
      <c r="AK55" s="233" t="str">
        <f t="shared" si="14"/>
        <v>0.15-27236.6358860418i</v>
      </c>
      <c r="AL55" s="233" t="str">
        <f t="shared" si="15"/>
        <v>0.337449122770801-0.00413128516019687i</v>
      </c>
      <c r="AM55" s="233" t="str">
        <f t="shared" si="16"/>
        <v>0.366666665575157-0.0000200055106095946i</v>
      </c>
      <c r="AN55" s="233" t="str">
        <f t="shared" si="17"/>
        <v>0.005+0.000367152538288504i</v>
      </c>
      <c r="AO55" s="233" t="str">
        <f t="shared" si="26"/>
        <v>2.79189063378526-0.0194326325222298i</v>
      </c>
      <c r="AP55" s="233">
        <f t="shared" si="27"/>
        <v>8.9181784322897339</v>
      </c>
      <c r="AQ55" s="233">
        <f t="shared" si="28"/>
        <v>-0.3987942203021605</v>
      </c>
      <c r="AS55" s="233" t="str">
        <f t="shared" si="18"/>
        <v>0.378068738574331-0.0000212690611014521i</v>
      </c>
      <c r="AT55" s="233" t="str">
        <f t="shared" si="29"/>
        <v>2.83315332355354-0.01995893417191i</v>
      </c>
      <c r="AU55" s="233">
        <f t="shared" si="30"/>
        <v>9.045617093090808</v>
      </c>
      <c r="AV55" s="233">
        <f t="shared" si="31"/>
        <v>-0.40362932876656077</v>
      </c>
    </row>
    <row r="56" spans="1:48" x14ac:dyDescent="0.25">
      <c r="A56" s="236" t="s">
        <v>55</v>
      </c>
      <c r="B56" s="239">
        <f>B50/B52</f>
        <v>5.9114693148418267E-12</v>
      </c>
      <c r="C56" s="239"/>
      <c r="D56" s="245"/>
      <c r="F56" s="233">
        <v>54</v>
      </c>
      <c r="G56" s="249">
        <f t="shared" si="0"/>
        <v>168.60291451269967</v>
      </c>
      <c r="H56" s="249">
        <f t="shared" si="1"/>
        <v>168.57881372500071</v>
      </c>
      <c r="I56" s="234">
        <f t="shared" si="2"/>
        <v>1</v>
      </c>
      <c r="J56" s="233">
        <f t="shared" si="19"/>
        <v>1</v>
      </c>
      <c r="K56" s="233">
        <f t="shared" si="20"/>
        <v>1</v>
      </c>
      <c r="L56" s="233">
        <f>10^('Small Signal'!F56/30)</f>
        <v>63.095734448019364</v>
      </c>
      <c r="M56" s="233" t="str">
        <f t="shared" si="21"/>
        <v>396.4421916295i</v>
      </c>
      <c r="N56" s="233">
        <f>IF(D$31=1, IF(AND('Small Signal'!$B$61&gt;=1,FCCM=0),V56+0,S56+0), 0)</f>
        <v>8.9181520371358296</v>
      </c>
      <c r="O56" s="233">
        <f>IF(D$31=1, IF(AND('Small Signal'!$B$61&gt;=1,FCCM=0),W56,T56), 0)</f>
        <v>-0.43060736307082836</v>
      </c>
      <c r="P56" s="233">
        <f>IF(AND('Small Signal'!$B$61&gt;=1,FCCM=0),AF56+0,AC56+0)</f>
        <v>50.838067672266796</v>
      </c>
      <c r="Q56" s="233">
        <f>IF(AND('Small Signal'!$B$61&gt;=1,FCCM=0),AG56,AD56)</f>
        <v>106.61818678898493</v>
      </c>
      <c r="R56" s="233" t="str">
        <f>IMDIV(IMSUM('Small Signal'!$B$2*'Small Signal'!$B$38*'Small Signal'!$B$62,IMPRODUCT(M56,'Small Signal'!$B$2*'Small Signal'!$B$38*'Small Signal'!$B$62*'Small Signal'!$B$14*'Small Signal'!$B$15)),IMSUM(IMPRODUCT('Small Signal'!$B$12*'Small Signal'!$B$14*('Small Signal'!$B$15+'Small Signal'!$B$38),IMPOWER(M56,2)),IMSUM(IMPRODUCT(M56,('Small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2.37188488133232-0.015554804374753i</v>
      </c>
      <c r="S56" s="233">
        <f t="shared" si="22"/>
        <v>8.9181520371358296</v>
      </c>
      <c r="T56" s="233">
        <f t="shared" si="23"/>
        <v>-0.43060736307082836</v>
      </c>
      <c r="U56" s="233" t="str">
        <f>IMDIV(IMSUM('Small Signal'!$B$74,IMPRODUCT(M56,'Small Signal'!$B$75)),IMSUM(IMPRODUCT('Small Signal'!$B$78,IMPOWER(M56,2)),IMSUM(IMPRODUCT(M56,'Small Signal'!$B$77),'Small Signal'!$B$76)))</f>
        <v>1.68274908841343-0.0114665472391129i</v>
      </c>
      <c r="V56" s="233">
        <f t="shared" si="3"/>
        <v>4.5205889304257747</v>
      </c>
      <c r="W56" s="233">
        <f t="shared" si="4"/>
        <v>-0.39041744167780323</v>
      </c>
      <c r="X56" s="233" t="str">
        <f>IMPRODUCT(IMDIV(IMSUM(IMPRODUCT(M56,'Small Signal'!$B$57*'Small Signal'!$B$6*'Small Signal'!$B$50*'Small Signal'!$B$7*'Small Signal'!$B$8),'Small Signal'!$B$57*'Small Signal'!$B$6*'Small Signal'!$B$50),IMSUM(IMSUM(IMPRODUCT(M56,('Small Signal'!$B$5+'Small Signal'!$B$6)*('Small Signal'!$B$56*'Small Signal'!$B$57)+'Small Signal'!$B$5*'Small Signal'!$B$57*('Small Signal'!$B$8+'Small Signal'!$B$9)+'Small Signal'!$B$6*'Small Signal'!$B$57*('Small Signal'!$B$8+'Small Signal'!$B$9)+'Small Signal'!$B$7*'Small Signal'!$B$8*('Small Signal'!$B$5+'Small Signal'!$B$6)),'Small Signal'!$B$6+'Small Signal'!$B$5),IMPRODUCT(IMPOWER(M56,2),'Small Signal'!$B$56*'Small Signal'!$B$57*'Small Signal'!$B$8*'Small Signal'!$B$7*('Small Signal'!$B$5+'Small Signal'!$B$6)+('Small Signal'!$B$5+'Small Signal'!$B$6)*('Small Signal'!$B$9*'Small Signal'!$B$8*'Small Signal'!$B$57*'Small Signal'!$B$7)))),-1)</f>
        <v>-36.5180617134747+119.271862526028i</v>
      </c>
      <c r="Y56" s="233">
        <f t="shared" si="5"/>
        <v>41.919915635130955</v>
      </c>
      <c r="Z56" s="233">
        <f t="shared" si="6"/>
        <v>107.04879415205578</v>
      </c>
      <c r="AA56" s="233" t="str">
        <f t="shared" si="7"/>
        <v>1.00000015918939+0.000445337649115238i</v>
      </c>
      <c r="AB56" s="233" t="str">
        <f t="shared" si="8"/>
        <v>-99.5997144362699+333.713658747127i</v>
      </c>
      <c r="AC56" s="230">
        <f t="shared" si="24"/>
        <v>50.838067672266796</v>
      </c>
      <c r="AD56" s="233">
        <f t="shared" si="25"/>
        <v>106.61818678898493</v>
      </c>
      <c r="AE56" s="233" t="str">
        <f t="shared" si="9"/>
        <v>-60.0830986130232+201.123354018764i</v>
      </c>
      <c r="AF56" s="230">
        <f t="shared" si="10"/>
        <v>46.440502321538503</v>
      </c>
      <c r="AG56" s="233">
        <f t="shared" si="11"/>
        <v>106.63286074837409</v>
      </c>
      <c r="AI56" s="233" t="str">
        <f t="shared" si="12"/>
        <v>0.002-25.5565943113355i</v>
      </c>
      <c r="AJ56" s="233">
        <f t="shared" si="13"/>
        <v>0.33750000000000002</v>
      </c>
      <c r="AK56" s="233" t="str">
        <f t="shared" si="14"/>
        <v>0.15-25224.3585852881i</v>
      </c>
      <c r="AL56" s="233" t="str">
        <f t="shared" si="15"/>
        <v>0.337440682998146-0.00446074687617664i</v>
      </c>
      <c r="AM56" s="233" t="str">
        <f t="shared" si="16"/>
        <v>0.366666665394059-0.0000216014534552548i</v>
      </c>
      <c r="AN56" s="233" t="str">
        <f t="shared" si="17"/>
        <v>0.005+0.0003964421916295i</v>
      </c>
      <c r="AO56" s="233" t="str">
        <f t="shared" si="26"/>
        <v>2.79187092946504-0.0209827464486469i</v>
      </c>
      <c r="AP56" s="233">
        <f t="shared" si="27"/>
        <v>8.9181520371358296</v>
      </c>
      <c r="AQ56" s="233">
        <f t="shared" si="28"/>
        <v>-0.43060736307082836</v>
      </c>
      <c r="AS56" s="233" t="str">
        <f t="shared" si="18"/>
        <v>0.378068738375808-0.0000229658038913191i</v>
      </c>
      <c r="AT56" s="233" t="str">
        <f t="shared" si="29"/>
        <v>2.83313272243963-0.0215510254508303i</v>
      </c>
      <c r="AU56" s="233">
        <f t="shared" si="30"/>
        <v>9.0455896929155557</v>
      </c>
      <c r="AV56" s="233">
        <f t="shared" si="31"/>
        <v>-0.4358281479083454</v>
      </c>
    </row>
    <row r="57" spans="1:48" x14ac:dyDescent="0.25">
      <c r="A57" s="236" t="s">
        <v>56</v>
      </c>
      <c r="B57" s="239">
        <f>B51/B50</f>
        <v>3846153.8461538465</v>
      </c>
      <c r="C57" s="241"/>
      <c r="D57" s="246"/>
      <c r="F57" s="233">
        <v>55</v>
      </c>
      <c r="G57" s="249">
        <f t="shared" si="0"/>
        <v>168.60483715559585</v>
      </c>
      <c r="H57" s="249">
        <f t="shared" si="1"/>
        <v>168.57881372500071</v>
      </c>
      <c r="I57" s="234">
        <f t="shared" si="2"/>
        <v>1</v>
      </c>
      <c r="J57" s="233">
        <f t="shared" si="19"/>
        <v>1</v>
      </c>
      <c r="K57" s="233">
        <f t="shared" si="20"/>
        <v>1</v>
      </c>
      <c r="L57" s="233">
        <f>10^('Small Signal'!F57/30)</f>
        <v>68.129206905796124</v>
      </c>
      <c r="M57" s="233" t="str">
        <f t="shared" si="21"/>
        <v>428.068431820296i</v>
      </c>
      <c r="N57" s="233">
        <f>IF(D$31=1, IF(AND('Small Signal'!$B$61&gt;=1,FCCM=0),V57+0,S57+0), 0)</f>
        <v>8.9181212628374578</v>
      </c>
      <c r="O57" s="233">
        <f>IF(D$31=1, IF(AND('Small Signal'!$B$61&gt;=1,FCCM=0),W57,T57), 0)</f>
        <v>-0.46495821522872444</v>
      </c>
      <c r="P57" s="233">
        <f>IF(AND('Small Signal'!$B$61&gt;=1,FCCM=0),AF57+0,AC57+0)</f>
        <v>50.22026585712937</v>
      </c>
      <c r="Q57" s="233">
        <f>IF(AND('Small Signal'!$B$61&gt;=1,FCCM=0),AG57,AD57)</f>
        <v>105.50142243273916</v>
      </c>
      <c r="R57" s="233" t="str">
        <f>IMDIV(IMSUM('Small Signal'!$B$2*'Small Signal'!$B$38*'Small Signal'!$B$62,IMPRODUCT(M57,'Small Signal'!$B$2*'Small Signal'!$B$38*'Small Signal'!$B$62*'Small Signal'!$B$14*'Small Signal'!$B$15)),IMSUM(IMPRODUCT('Small Signal'!$B$12*'Small Signal'!$B$14*('Small Signal'!$B$15+'Small Signal'!$B$38),IMPOWER(M57,2)),IMSUM(IMPRODUCT(M57,('Small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2.37187114838596-0.0167956170404605i</v>
      </c>
      <c r="S57" s="233">
        <f t="shared" si="22"/>
        <v>8.9181212628374578</v>
      </c>
      <c r="T57" s="233">
        <f t="shared" si="23"/>
        <v>-0.46495821522872444</v>
      </c>
      <c r="U57" s="233" t="str">
        <f>IMDIV(IMSUM('Small Signal'!$B$74,IMPRODUCT(M57,'Small Signal'!$B$75)),IMSUM(IMPRODUCT('Small Signal'!$B$78,IMPOWER(M57,2)),IMSUM(IMPRODUCT(M57,'Small Signal'!$B$77),'Small Signal'!$B$76)))</f>
        <v>1.68273921214916-0.0123812432142288i</v>
      </c>
      <c r="V57" s="233">
        <f t="shared" si="3"/>
        <v>4.5205714085131063</v>
      </c>
      <c r="W57" s="233">
        <f t="shared" si="4"/>
        <v>-0.42156275619224853</v>
      </c>
      <c r="X57" s="233" t="str">
        <f>IMPRODUCT(IMDIV(IMSUM(IMPRODUCT(M57,'Small Signal'!$B$57*'Small Signal'!$B$6*'Small Signal'!$B$50*'Small Signal'!$B$7*'Small Signal'!$B$8),'Small Signal'!$B$57*'Small Signal'!$B$6*'Small Signal'!$B$50),IMSUM(IMSUM(IMPRODUCT(M57,('Small Signal'!$B$5+'Small Signal'!$B$6)*('Small Signal'!$B$56*'Small Signal'!$B$57)+'Small Signal'!$B$5*'Small Signal'!$B$57*('Small Signal'!$B$8+'Small Signal'!$B$9)+'Small Signal'!$B$6*'Small Signal'!$B$57*('Small Signal'!$B$8+'Small Signal'!$B$9)+'Small Signal'!$B$7*'Small Signal'!$B$8*('Small Signal'!$B$5+'Small Signal'!$B$6)),'Small Signal'!$B$6+'Small Signal'!$B$5),IMPRODUCT(IMPOWER(M57,2),'Small Signal'!$B$56*'Small Signal'!$B$57*'Small Signal'!$B$8*'Small Signal'!$B$7*('Small Signal'!$B$5+'Small Signal'!$B$6)+('Small Signal'!$B$5+'Small Signal'!$B$6)*('Small Signal'!$B$9*'Small Signal'!$B$8*'Small Signal'!$B$57*'Small Signal'!$B$7)))),-1)</f>
        <v>-31.9025140796396+111.707265940669i</v>
      </c>
      <c r="Y57" s="233">
        <f t="shared" si="5"/>
        <v>41.302144594291917</v>
      </c>
      <c r="Z57" s="233">
        <f t="shared" si="6"/>
        <v>105.96638064796788</v>
      </c>
      <c r="AA57" s="233" t="str">
        <f t="shared" si="7"/>
        <v>1.00000018560119+0.000480864522169775i</v>
      </c>
      <c r="AB57" s="233" t="str">
        <f t="shared" si="8"/>
        <v>-86.686405110491+312.550946925766i</v>
      </c>
      <c r="AC57" s="230">
        <f t="shared" si="24"/>
        <v>50.22026585712937</v>
      </c>
      <c r="AD57" s="233">
        <f t="shared" si="25"/>
        <v>105.50142243273916</v>
      </c>
      <c r="AE57" s="233" t="str">
        <f t="shared" si="9"/>
        <v>-52.3005365795423+188.369189466303i</v>
      </c>
      <c r="AF57" s="230">
        <f t="shared" si="10"/>
        <v>45.822713386472067</v>
      </c>
      <c r="AG57" s="233">
        <f t="shared" si="11"/>
        <v>105.51726639137495</v>
      </c>
      <c r="AI57" s="233" t="str">
        <f t="shared" si="12"/>
        <v>0.002-23.6684406189176i</v>
      </c>
      <c r="AJ57" s="233">
        <f t="shared" si="13"/>
        <v>0.33750000000000002</v>
      </c>
      <c r="AK57" s="233" t="str">
        <f t="shared" si="14"/>
        <v>0.15-23360.7508908716i</v>
      </c>
      <c r="AL57" s="233" t="str">
        <f t="shared" si="15"/>
        <v>0.337430843481845-0.00481646240297014i</v>
      </c>
      <c r="AM57" s="233" t="str">
        <f t="shared" si="16"/>
        <v>0.366666665182915-0.0000233247128977306i</v>
      </c>
      <c r="AN57" s="233" t="str">
        <f t="shared" si="17"/>
        <v>0.005+0.000428068431820296i</v>
      </c>
      <c r="AO57" s="233" t="str">
        <f t="shared" si="26"/>
        <v>2.79184795620976-0.0226564879574732i</v>
      </c>
      <c r="AP57" s="233">
        <f t="shared" si="27"/>
        <v>8.9181212628374578</v>
      </c>
      <c r="AQ57" s="233">
        <f t="shared" si="28"/>
        <v>-0.46495821522872444</v>
      </c>
      <c r="AS57" s="233" t="str">
        <f t="shared" si="18"/>
        <v>0.378068738144349-0.0000247979046095537i</v>
      </c>
      <c r="AT57" s="233" t="str">
        <f t="shared" si="29"/>
        <v>2.83310870362567-0.0232700908753449i</v>
      </c>
      <c r="AU57" s="233">
        <f t="shared" si="30"/>
        <v>9.0455577468645334</v>
      </c>
      <c r="AV57" s="233">
        <f t="shared" si="31"/>
        <v>-0.47059543213466837</v>
      </c>
    </row>
    <row r="58" spans="1:48" x14ac:dyDescent="0.25">
      <c r="A58" s="236" t="s">
        <v>40</v>
      </c>
      <c r="B58" s="239">
        <f>((1/(B14*B12))^0.5)*(1/(2*3.14159))</f>
        <v>16019.978250895625</v>
      </c>
      <c r="C58" s="238"/>
      <c r="D58" s="244"/>
      <c r="F58" s="233">
        <v>56</v>
      </c>
      <c r="G58" s="249">
        <f t="shared" si="0"/>
        <v>168.60691317729038</v>
      </c>
      <c r="H58" s="249">
        <f t="shared" si="1"/>
        <v>168.57881372500071</v>
      </c>
      <c r="I58" s="234">
        <f t="shared" si="2"/>
        <v>1</v>
      </c>
      <c r="J58" s="233">
        <f t="shared" si="19"/>
        <v>1</v>
      </c>
      <c r="K58" s="233">
        <f t="shared" si="20"/>
        <v>1</v>
      </c>
      <c r="L58" s="233">
        <f>10^('Small Signal'!F58/30)</f>
        <v>73.564225445964155</v>
      </c>
      <c r="M58" s="233" t="str">
        <f t="shared" si="21"/>
        <v>462.217660456129i</v>
      </c>
      <c r="N58" s="233">
        <f>IF(D$31=1, IF(AND('Small Signal'!$B$61&gt;=1,FCCM=0),V58+0,S58+0), 0)</f>
        <v>8.9180853829002924</v>
      </c>
      <c r="O58" s="233">
        <f>IF(D$31=1, IF(AND('Small Signal'!$B$61&gt;=1,FCCM=0),W58,T58), 0)</f>
        <v>-0.50204917395875603</v>
      </c>
      <c r="P58" s="233">
        <f>IF(AND('Small Signal'!$B$61&gt;=1,FCCM=0),AF58+0,AC58+0)</f>
        <v>49.595981756985168</v>
      </c>
      <c r="Q58" s="233">
        <f>IF(AND('Small Signal'!$B$61&gt;=1,FCCM=0),AG58,AD58)</f>
        <v>104.46030601890088</v>
      </c>
      <c r="R58" s="233" t="str">
        <f>IMDIV(IMSUM('Small Signal'!$B$2*'Small Signal'!$B$38*'Small Signal'!$B$62,IMPRODUCT(M58,'Small Signal'!$B$2*'Small Signal'!$B$38*'Small Signal'!$B$62*'Small Signal'!$B$14*'Small Signal'!$B$15)),IMSUM(IMPRODUCT('Small Signal'!$B$12*'Small Signal'!$B$14*('Small Signal'!$B$15+'Small Signal'!$B$38),IMPOWER(M58,2)),IMSUM(IMPRODUCT(M58,('Small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2.37185513708794-0.0181353964803785i</v>
      </c>
      <c r="S58" s="233">
        <f t="shared" si="22"/>
        <v>8.9180853829002924</v>
      </c>
      <c r="T58" s="233">
        <f t="shared" si="23"/>
        <v>-0.50204917395875603</v>
      </c>
      <c r="U58" s="233" t="str">
        <f>IMDIV(IMSUM('Small Signal'!$B$74,IMPRODUCT(M58,'Small Signal'!$B$75)),IMSUM(IMPRODUCT('Small Signal'!$B$78,IMPOWER(M58,2)),IMSUM(IMPRODUCT(M58,'Small Signal'!$B$77),'Small Signal'!$B$76)))</f>
        <v>1.68272769735537-0.0133688963430827i</v>
      </c>
      <c r="V58" s="233">
        <f t="shared" si="3"/>
        <v>4.5205509795116345</v>
      </c>
      <c r="W58" s="233">
        <f t="shared" si="4"/>
        <v>-0.45519261548116036</v>
      </c>
      <c r="X58" s="233" t="str">
        <f>IMPRODUCT(IMDIV(IMSUM(IMPRODUCT(M58,'Small Signal'!$B$57*'Small Signal'!$B$6*'Small Signal'!$B$50*'Small Signal'!$B$7*'Small Signal'!$B$8),'Small Signal'!$B$57*'Small Signal'!$B$6*'Small Signal'!$B$50),IMSUM(IMSUM(IMPRODUCT(M58,('Small Signal'!$B$5+'Small Signal'!$B$6)*('Small Signal'!$B$56*'Small Signal'!$B$57)+'Small Signal'!$B$5*'Small Signal'!$B$57*('Small Signal'!$B$8+'Small Signal'!$B$9)+'Small Signal'!$B$6*'Small Signal'!$B$57*('Small Signal'!$B$8+'Small Signal'!$B$9)+'Small Signal'!$B$7*'Small Signal'!$B$8*('Small Signal'!$B$5+'Small Signal'!$B$6)),'Small Signal'!$B$6+'Small Signal'!$B$5),IMPRODUCT(IMPOWER(M58,2),'Small Signal'!$B$56*'Small Signal'!$B$57*'Small Signal'!$B$8*'Small Signal'!$B$7*('Small Signal'!$B$5+'Small Signal'!$B$6)+('Small Signal'!$B$5+'Small Signal'!$B$6)*('Small Signal'!$B$9*'Small Signal'!$B$8*'Small Signal'!$B$57*'Small Signal'!$B$7)))),-1)</f>
        <v>-27.8599235230264+104.466008527989i</v>
      </c>
      <c r="Y58" s="233">
        <f t="shared" si="5"/>
        <v>40.677896374084874</v>
      </c>
      <c r="Z58" s="233">
        <f t="shared" si="6"/>
        <v>104.96235519285965</v>
      </c>
      <c r="AA58" s="233" t="str">
        <f t="shared" si="7"/>
        <v>1.0000002163951+0.000519225554649682i</v>
      </c>
      <c r="AB58" s="233" t="str">
        <f t="shared" si="8"/>
        <v>-75.3761006105227+292.292976334368i</v>
      </c>
      <c r="AC58" s="230">
        <f t="shared" si="24"/>
        <v>49.595981756985168</v>
      </c>
      <c r="AD58" s="233">
        <f t="shared" si="25"/>
        <v>104.46030601890088</v>
      </c>
      <c r="AE58" s="233" t="str">
        <f t="shared" si="9"/>
        <v>-45.4840697190126+176.160302411915i</v>
      </c>
      <c r="AF58" s="230">
        <f t="shared" si="10"/>
        <v>45.198444303176444</v>
      </c>
      <c r="AG58" s="233">
        <f t="shared" si="11"/>
        <v>104.47741315359276</v>
      </c>
      <c r="AI58" s="233" t="str">
        <f t="shared" si="12"/>
        <v>0.002-21.9197861227838i</v>
      </c>
      <c r="AJ58" s="233">
        <f t="shared" si="13"/>
        <v>0.33750000000000002</v>
      </c>
      <c r="AK58" s="233" t="str">
        <f t="shared" si="14"/>
        <v>0.15-21634.8289031876i</v>
      </c>
      <c r="AL58" s="233" t="str">
        <f t="shared" si="15"/>
        <v>0.337419372176882-0.00520051862413962i</v>
      </c>
      <c r="AM58" s="233" t="str">
        <f t="shared" si="16"/>
        <v>0.36666666493674-0.0000251854456384852i</v>
      </c>
      <c r="AN58" s="233" t="str">
        <f t="shared" si="17"/>
        <v>0.005+0.000462217660456129i</v>
      </c>
      <c r="AO58" s="233" t="str">
        <f t="shared" si="26"/>
        <v>2.79182117176215-0.0244637109135942i</v>
      </c>
      <c r="AP58" s="233">
        <f t="shared" si="27"/>
        <v>8.9180853829002924</v>
      </c>
      <c r="AQ58" s="233">
        <f t="shared" si="28"/>
        <v>-0.50204917395875603</v>
      </c>
      <c r="AS58" s="233" t="str">
        <f t="shared" si="18"/>
        <v>0.378068737874485-0.0000267761614560553i</v>
      </c>
      <c r="AT58" s="233" t="str">
        <f t="shared" si="29"/>
        <v>2.83308070018148-0.0251262507168158i</v>
      </c>
      <c r="AU58" s="233">
        <f t="shared" si="30"/>
        <v>9.0455205007861164</v>
      </c>
      <c r="AV58" s="233">
        <f t="shared" si="31"/>
        <v>-0.50813602913994715</v>
      </c>
    </row>
    <row r="59" spans="1:48" x14ac:dyDescent="0.25">
      <c r="A59" s="236" t="s">
        <v>41</v>
      </c>
      <c r="B59" s="239">
        <f>1/(B14*B15*2*3.14159)</f>
        <v>806256.72504781291</v>
      </c>
      <c r="C59" s="238"/>
      <c r="D59" s="244"/>
      <c r="F59" s="233">
        <v>57</v>
      </c>
      <c r="G59" s="249">
        <f t="shared" si="0"/>
        <v>168.609154813511</v>
      </c>
      <c r="H59" s="249">
        <f t="shared" si="1"/>
        <v>168.57881372500071</v>
      </c>
      <c r="I59" s="234">
        <f t="shared" si="2"/>
        <v>1</v>
      </c>
      <c r="J59" s="233">
        <f t="shared" si="19"/>
        <v>1</v>
      </c>
      <c r="K59" s="233">
        <f t="shared" si="20"/>
        <v>1</v>
      </c>
      <c r="L59" s="233">
        <f>10^('Small Signal'!F59/30)</f>
        <v>79.432823472428197</v>
      </c>
      <c r="M59" s="233" t="str">
        <f t="shared" si="21"/>
        <v>499.091149349751i</v>
      </c>
      <c r="N59" s="233">
        <f>IF(D$31=1, IF(AND('Small Signal'!$B$61&gt;=1,FCCM=0),V59+0,S59+0), 0)</f>
        <v>8.9180435503190338</v>
      </c>
      <c r="O59" s="233">
        <f>IF(D$31=1, IF(AND('Small Signal'!$B$61&gt;=1,FCCM=0),W59,T59), 0)</f>
        <v>-0.54209877002726869</v>
      </c>
      <c r="P59" s="233">
        <f>IF(AND('Small Signal'!$B$61&gt;=1,FCCM=0),AF59+0,AC59+0)</f>
        <v>48.966032823291741</v>
      </c>
      <c r="Q59" s="233">
        <f>IF(AND('Small Signal'!$B$61&gt;=1,FCCM=0),AG59,AD59)</f>
        <v>103.4917112493889</v>
      </c>
      <c r="R59" s="233" t="str">
        <f>IMDIV(IMSUM('Small Signal'!$B$2*'Small Signal'!$B$38*'Small Signal'!$B$62,IMPRODUCT(M59,'Small Signal'!$B$2*'Small Signal'!$B$38*'Small Signal'!$B$62*'Small Signal'!$B$14*'Small Signal'!$B$15)),IMSUM(IMPRODUCT('Small Signal'!$B$12*'Small Signal'!$B$14*('Small Signal'!$B$15+'Small Signal'!$B$38),IMPOWER(M59,2)),IMSUM(IMPRODUCT(M59,('Small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2.37183646947789-0.0195820327990764i</v>
      </c>
      <c r="S59" s="233">
        <f t="shared" si="22"/>
        <v>8.9180435503190338</v>
      </c>
      <c r="T59" s="233">
        <f t="shared" si="23"/>
        <v>-0.54209877002726869</v>
      </c>
      <c r="U59" s="233" t="str">
        <f>IMDIV(IMSUM('Small Signal'!$B$74,IMPRODUCT(M59,'Small Signal'!$B$75)),IMSUM(IMPRODUCT('Small Signal'!$B$78,IMPOWER(M59,2)),IMSUM(IMPRODUCT(M59,'Small Signal'!$B$77),'Small Signal'!$B$76)))</f>
        <v>1.68271427220691-0.0144353234632797i</v>
      </c>
      <c r="V59" s="233">
        <f t="shared" si="3"/>
        <v>4.5205271611108442</v>
      </c>
      <c r="W59" s="233">
        <f t="shared" si="4"/>
        <v>-0.49150520437718914</v>
      </c>
      <c r="X59" s="233" t="str">
        <f>IMPRODUCT(IMDIV(IMSUM(IMPRODUCT(M59,'Small Signal'!$B$57*'Small Signal'!$B$6*'Small Signal'!$B$50*'Small Signal'!$B$7*'Small Signal'!$B$8),'Small Signal'!$B$57*'Small Signal'!$B$6*'Small Signal'!$B$50),IMSUM(IMSUM(IMPRODUCT(M59,('Small Signal'!$B$5+'Small Signal'!$B$6)*('Small Signal'!$B$56*'Small Signal'!$B$57)+'Small Signal'!$B$5*'Small Signal'!$B$57*('Small Signal'!$B$8+'Small Signal'!$B$9)+'Small Signal'!$B$6*'Small Signal'!$B$57*('Small Signal'!$B$8+'Small Signal'!$B$9)+'Small Signal'!$B$7*'Small Signal'!$B$8*('Small Signal'!$B$5+'Small Signal'!$B$6)),'Small Signal'!$B$6+'Small Signal'!$B$5),IMPRODUCT(IMPOWER(M59,2),'Small Signal'!$B$56*'Small Signal'!$B$57*'Small Signal'!$B$8*'Small Signal'!$B$7*('Small Signal'!$B$5+'Small Signal'!$B$6)+('Small Signal'!$B$5+'Small Signal'!$B$6)*('Small Signal'!$B$9*'Small Signal'!$B$8*'Small Signal'!$B$57*'Small Signal'!$B$7)))),-1)</f>
        <v>-24.3290839134676+97.566385302074i</v>
      </c>
      <c r="Y59" s="233">
        <f t="shared" si="5"/>
        <v>40.0479892729727</v>
      </c>
      <c r="Z59" s="233">
        <f t="shared" si="6"/>
        <v>104.03381001941617</v>
      </c>
      <c r="AA59" s="233" t="str">
        <f t="shared" si="7"/>
        <v>1.00000025229816+0.000560646841399731i</v>
      </c>
      <c r="AB59" s="233" t="str">
        <f t="shared" si="8"/>
        <v>-65.4975590657381+272.990941108269i</v>
      </c>
      <c r="AC59" s="230">
        <f t="shared" si="24"/>
        <v>48.966032823291741</v>
      </c>
      <c r="AD59" s="233">
        <f t="shared" si="25"/>
        <v>103.4917112493889</v>
      </c>
      <c r="AE59" s="233" t="str">
        <f t="shared" si="9"/>
        <v>-39.5304943999331+164.527547231295i</v>
      </c>
      <c r="AF59" s="230">
        <f t="shared" si="10"/>
        <v>44.568512877555158</v>
      </c>
      <c r="AG59" s="233">
        <f t="shared" si="11"/>
        <v>103.51018212869957</v>
      </c>
      <c r="AI59" s="233" t="str">
        <f t="shared" si="12"/>
        <v>0.002-20.3003244448877i</v>
      </c>
      <c r="AJ59" s="233">
        <f t="shared" si="13"/>
        <v>0.33750000000000002</v>
      </c>
      <c r="AK59" s="233" t="str">
        <f t="shared" si="14"/>
        <v>0.15-20036.420227104i</v>
      </c>
      <c r="AL59" s="233" t="str">
        <f t="shared" si="15"/>
        <v>0.337405998607813-0.0056151669596863i</v>
      </c>
      <c r="AM59" s="233" t="str">
        <f t="shared" si="16"/>
        <v>0.36666666464972-0.0000271946186313036i</v>
      </c>
      <c r="AN59" s="233" t="str">
        <f t="shared" si="17"/>
        <v>0.005+0.000499091149349751i</v>
      </c>
      <c r="AO59" s="233" t="str">
        <f t="shared" si="26"/>
        <v>2.79178994393484-0.0264150530633501i</v>
      </c>
      <c r="AP59" s="233">
        <f t="shared" si="27"/>
        <v>8.9180435503190338</v>
      </c>
      <c r="AQ59" s="233">
        <f t="shared" si="28"/>
        <v>-0.54209877002726869</v>
      </c>
      <c r="AS59" s="233" t="str">
        <f t="shared" si="18"/>
        <v>0.378068737559849-0.0000289122340586637i</v>
      </c>
      <c r="AT59" s="233" t="str">
        <f t="shared" si="29"/>
        <v>2.83304805115648-0.0271304302341404i</v>
      </c>
      <c r="AU59" s="233">
        <f t="shared" si="30"/>
        <v>9.0454770754308669</v>
      </c>
      <c r="AV59" s="233">
        <f t="shared" si="31"/>
        <v>-0.54867111490787301</v>
      </c>
    </row>
    <row r="60" spans="1:48" x14ac:dyDescent="0.25">
      <c r="A60" s="236"/>
      <c r="B60" s="238"/>
      <c r="C60" s="238"/>
      <c r="D60" s="244"/>
      <c r="F60" s="233">
        <v>58</v>
      </c>
      <c r="G60" s="249">
        <f t="shared" si="0"/>
        <v>168.61157527606903</v>
      </c>
      <c r="H60" s="249">
        <f t="shared" si="1"/>
        <v>168.57881372500071</v>
      </c>
      <c r="I60" s="234">
        <f t="shared" si="2"/>
        <v>1</v>
      </c>
      <c r="J60" s="233">
        <f t="shared" si="19"/>
        <v>1</v>
      </c>
      <c r="K60" s="233">
        <f t="shared" si="20"/>
        <v>1</v>
      </c>
      <c r="L60" s="233">
        <f>10^('Small Signal'!F60/30)</f>
        <v>85.769589859089479</v>
      </c>
      <c r="M60" s="233" t="str">
        <f t="shared" si="21"/>
        <v>538.90622680545i</v>
      </c>
      <c r="N60" s="233">
        <f>IF(D$31=1, IF(AND('Small Signal'!$B$61&gt;=1,FCCM=0),V60+0,S60+0), 0)</f>
        <v>8.9179947775915664</v>
      </c>
      <c r="O60" s="233">
        <f>IF(D$31=1, IF(AND('Small Signal'!$B$61&gt;=1,FCCM=0),W60,T60), 0)</f>
        <v>-0.58534295155965932</v>
      </c>
      <c r="P60" s="233">
        <f>IF(AND('Small Signal'!$B$61&gt;=1,FCCM=0),AF60+0,AC60+0)</f>
        <v>48.331147872620434</v>
      </c>
      <c r="Q60" s="233">
        <f>IF(AND('Small Signal'!$B$61&gt;=1,FCCM=0),AG60,AD60)</f>
        <v>102.59238641969563</v>
      </c>
      <c r="R60" s="233" t="str">
        <f>IMDIV(IMSUM('Small Signal'!$B$2*'Small Signal'!$B$38*'Small Signal'!$B$62,IMPRODUCT(M60,'Small Signal'!$B$2*'Small Signal'!$B$38*'Small Signal'!$B$62*'Small Signal'!$B$14*'Small Signal'!$B$15)),IMSUM(IMPRODUCT('Small Signal'!$B$12*'Small Signal'!$B$14*('Small Signal'!$B$15+'Small Signal'!$B$38),IMPOWER(M60,2)),IMSUM(IMPRODUCT(M60,('Small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2.37181470490472-0.0211440442446955i</v>
      </c>
      <c r="S60" s="233">
        <f t="shared" si="22"/>
        <v>8.9179947775915664</v>
      </c>
      <c r="T60" s="233">
        <f t="shared" si="23"/>
        <v>-0.58534295155965932</v>
      </c>
      <c r="U60" s="233" t="str">
        <f>IMDIV(IMSUM('Small Signal'!$B$74,IMPRODUCT(M60,'Small Signal'!$B$75)),IMSUM(IMPRODUCT('Small Signal'!$B$78,IMPOWER(M60,2)),IMSUM(IMPRODUCT(M60,'Small Signal'!$B$77),'Small Signal'!$B$76)))</f>
        <v>1.68269861978993-0.015586804589154i</v>
      </c>
      <c r="V60" s="233">
        <f t="shared" si="3"/>
        <v>4.5204993909844546</v>
      </c>
      <c r="W60" s="233">
        <f t="shared" si="4"/>
        <v>-0.5307145127282028</v>
      </c>
      <c r="X60" s="233" t="str">
        <f>IMPRODUCT(IMDIV(IMSUM(IMPRODUCT(M60,'Small Signal'!$B$57*'Small Signal'!$B$6*'Small Signal'!$B$50*'Small Signal'!$B$7*'Small Signal'!$B$8),'Small Signal'!$B$57*'Small Signal'!$B$6*'Small Signal'!$B$50),IMSUM(IMSUM(IMPRODUCT(M60,('Small Signal'!$B$5+'Small Signal'!$B$6)*('Small Signal'!$B$56*'Small Signal'!$B$57)+'Small Signal'!$B$5*'Small Signal'!$B$57*('Small Signal'!$B$8+'Small Signal'!$B$9)+'Small Signal'!$B$6*'Small Signal'!$B$57*('Small Signal'!$B$8+'Small Signal'!$B$9)+'Small Signal'!$B$7*'Small Signal'!$B$8*('Small Signal'!$B$5+'Small Signal'!$B$6)),'Small Signal'!$B$6+'Small Signal'!$B$5),IMPRODUCT(IMPOWER(M60,2),'Small Signal'!$B$56*'Small Signal'!$B$57*'Small Signal'!$B$8*'Small Signal'!$B$7*('Small Signal'!$B$5+'Small Signal'!$B$6)+('Small Signal'!$B$5+'Small Signal'!$B$6)*('Small Signal'!$B$9*'Small Signal'!$B$8*'Small Signal'!$B$57*'Small Signal'!$B$7)))),-1)</f>
        <v>-21.2527606495019+91.0184916178288i</v>
      </c>
      <c r="Y60" s="233">
        <f t="shared" si="5"/>
        <v>39.413153095028854</v>
      </c>
      <c r="Z60" s="233">
        <f t="shared" si="6"/>
        <v>103.17772937125531</v>
      </c>
      <c r="AA60" s="233" t="str">
        <f t="shared" si="7"/>
        <v>1.00000029415804+0.00060537251384067i</v>
      </c>
      <c r="AB60" s="233" t="str">
        <f t="shared" si="8"/>
        <v>-56.8906499796857+254.673095227751i</v>
      </c>
      <c r="AC60" s="230">
        <f t="shared" si="24"/>
        <v>48.331147872620434</v>
      </c>
      <c r="AD60" s="233">
        <f t="shared" si="25"/>
        <v>102.59238641969563</v>
      </c>
      <c r="AE60" s="233" t="str">
        <f t="shared" si="9"/>
        <v>-34.3433035687959+153.487952847906i</v>
      </c>
      <c r="AF60" s="230">
        <f t="shared" si="10"/>
        <v>43.933648339406126</v>
      </c>
      <c r="AG60" s="233">
        <f t="shared" si="11"/>
        <v>102.61232958289085</v>
      </c>
      <c r="AI60" s="233" t="str">
        <f t="shared" si="12"/>
        <v>0.002-18.8005106555013i</v>
      </c>
      <c r="AJ60" s="233">
        <f t="shared" si="13"/>
        <v>0.33750000000000002</v>
      </c>
      <c r="AK60" s="233" t="str">
        <f t="shared" si="14"/>
        <v>0.15-18556.1040169797i</v>
      </c>
      <c r="AL60" s="233" t="str">
        <f t="shared" si="15"/>
        <v>0.33739040751744-0.0060628359891392i</v>
      </c>
      <c r="AM60" s="233" t="str">
        <f t="shared" si="16"/>
        <v>0.36666666431508-0.0000293640737202567i</v>
      </c>
      <c r="AN60" s="233" t="str">
        <f t="shared" si="17"/>
        <v>0.005+0.00053890622680545i</v>
      </c>
      <c r="AO60" s="233" t="str">
        <f t="shared" si="26"/>
        <v>2.79175353570329-0.0285219979962189i</v>
      </c>
      <c r="AP60" s="233">
        <f t="shared" si="27"/>
        <v>8.9179947775915664</v>
      </c>
      <c r="AQ60" s="233">
        <f t="shared" si="28"/>
        <v>-0.58534295155965932</v>
      </c>
      <c r="AS60" s="233" t="str">
        <f t="shared" si="18"/>
        <v>0.378068737193008-0.0000312187121936587i</v>
      </c>
      <c r="AT60" s="233" t="str">
        <f t="shared" si="29"/>
        <v>2.83300998599531-0.0292944232812555i</v>
      </c>
      <c r="AU60" s="233">
        <f t="shared" si="30"/>
        <v>9.0454264457057789</v>
      </c>
      <c r="AV60" s="233">
        <f t="shared" si="31"/>
        <v>-0.59243949281672648</v>
      </c>
    </row>
    <row r="61" spans="1:48" x14ac:dyDescent="0.25">
      <c r="A61" s="236" t="s">
        <v>73</v>
      </c>
      <c r="B61" s="240">
        <f>(1-(B3/B2))/(2*B12*B11/(B3/B4))</f>
        <v>0.19943181818181815</v>
      </c>
      <c r="C61" s="238"/>
      <c r="D61" s="244"/>
      <c r="F61" s="233">
        <v>59</v>
      </c>
      <c r="G61" s="249">
        <f t="shared" si="0"/>
        <v>168.61418883072065</v>
      </c>
      <c r="H61" s="249">
        <f t="shared" si="1"/>
        <v>168.57881372500071</v>
      </c>
      <c r="I61" s="234">
        <f t="shared" si="2"/>
        <v>1</v>
      </c>
      <c r="J61" s="233">
        <f t="shared" si="19"/>
        <v>1</v>
      </c>
      <c r="K61" s="233">
        <f t="shared" si="20"/>
        <v>1</v>
      </c>
      <c r="L61" s="233">
        <f>10^('Small Signal'!F61/30)</f>
        <v>92.611872812879369</v>
      </c>
      <c r="M61" s="233" t="str">
        <f t="shared" si="21"/>
        <v>581.897558528268i</v>
      </c>
      <c r="N61" s="233">
        <f>IF(D$31=1, IF(AND('Small Signal'!$B$61&gt;=1,FCCM=0),V61+0,S61+0), 0)</f>
        <v>8.9179379134207117</v>
      </c>
      <c r="O61" s="233">
        <f>IF(D$31=1, IF(AND('Small Signal'!$B$61&gt;=1,FCCM=0),W61,T61), 0)</f>
        <v>-0.63203646937945035</v>
      </c>
      <c r="P61" s="233">
        <f>IF(AND('Small Signal'!$B$61&gt;=1,FCCM=0),AF61+0,AC61+0)</f>
        <v>47.691973524045927</v>
      </c>
      <c r="Q61" s="233">
        <f>IF(AND('Small Signal'!$B$61&gt;=1,FCCM=0),AG61,AD61)</f>
        <v>101.759029264082</v>
      </c>
      <c r="R61" s="233" t="str">
        <f>IMDIV(IMSUM('Small Signal'!$B$2*'Small Signal'!$B$38*'Small Signal'!$B$62,IMPRODUCT(M61,'Small Signal'!$B$2*'Small Signal'!$B$38*'Small Signal'!$B$62*'Small Signal'!$B$14*'Small Signal'!$B$15)),IMSUM(IMPRODUCT('Small Signal'!$B$12*'Small Signal'!$B$14*('Small Signal'!$B$15+'Small Signal'!$B$38),IMPOWER(M61,2)),IMSUM(IMPRODUCT(M61,('Small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2.37178932963187-0.0228306269850648i</v>
      </c>
      <c r="S61" s="233">
        <f t="shared" si="22"/>
        <v>8.9179379134207117</v>
      </c>
      <c r="T61" s="233">
        <f t="shared" si="23"/>
        <v>-0.63203646937945035</v>
      </c>
      <c r="U61" s="233" t="str">
        <f>IMDIV(IMSUM('Small Signal'!$B$74,IMPRODUCT(M61,'Small Signal'!$B$75)),IMSUM(IMPRODUCT('Small Signal'!$B$78,IMPOWER(M61,2)),IMSUM(IMPRODUCT(M61,'Small Signal'!$B$77),'Small Signal'!$B$76)))</f>
        <v>1.6826803706249-0.0168301196385064i</v>
      </c>
      <c r="V61" s="233">
        <f t="shared" si="3"/>
        <v>4.5204670135166412</v>
      </c>
      <c r="W61" s="233">
        <f t="shared" si="4"/>
        <v>-0.57305159489562474</v>
      </c>
      <c r="X61" s="233" t="str">
        <f>IMPRODUCT(IMDIV(IMSUM(IMPRODUCT(M61,'Small Signal'!$B$57*'Small Signal'!$B$6*'Small Signal'!$B$50*'Small Signal'!$B$7*'Small Signal'!$B$8),'Small Signal'!$B$57*'Small Signal'!$B$6*'Small Signal'!$B$50),IMSUM(IMSUM(IMPRODUCT(M61,('Small Signal'!$B$5+'Small Signal'!$B$6)*('Small Signal'!$B$56*'Small Signal'!$B$57)+'Small Signal'!$B$5*'Small Signal'!$B$57*('Small Signal'!$B$8+'Small Signal'!$B$9)+'Small Signal'!$B$6*'Small Signal'!$B$57*('Small Signal'!$B$8+'Small Signal'!$B$9)+'Small Signal'!$B$7*'Small Signal'!$B$8*('Small Signal'!$B$5+'Small Signal'!$B$6)),'Small Signal'!$B$6+'Small Signal'!$B$5),IMPRODUCT(IMPOWER(M61,2),'Small Signal'!$B$56*'Small Signal'!$B$57*'Small Signal'!$B$8*'Small Signal'!$B$7*('Small Signal'!$B$5+'Small Signal'!$B$6)+('Small Signal'!$B$5+'Small Signal'!$B$6)*('Small Signal'!$B$9*'Small Signal'!$B$8*'Small Signal'!$B$57*'Small Signal'!$B$7)))),-1)</f>
        <v>-18.5781624418961+84.8257202188147i</v>
      </c>
      <c r="Y61" s="233">
        <f t="shared" si="5"/>
        <v>38.774035610625219</v>
      </c>
      <c r="Z61" s="233">
        <f t="shared" si="6"/>
        <v>102.39106573346145</v>
      </c>
      <c r="AA61" s="233" t="str">
        <f t="shared" si="7"/>
        <v>1.00000034296309+0.000653666178794193i</v>
      </c>
      <c r="AB61" s="233" t="str">
        <f t="shared" si="8"/>
        <v>-49.407674161679+237.348940983887i</v>
      </c>
      <c r="AC61" s="230">
        <f t="shared" si="24"/>
        <v>47.691973524045927</v>
      </c>
      <c r="AD61" s="233">
        <f t="shared" si="25"/>
        <v>101.759029264082</v>
      </c>
      <c r="AE61" s="233" t="str">
        <f t="shared" si="9"/>
        <v>-29.8334822435542+143.04724703288i</v>
      </c>
      <c r="AF61" s="230">
        <f t="shared" si="10"/>
        <v>43.294497789553326</v>
      </c>
      <c r="AG61" s="233">
        <f t="shared" si="11"/>
        <v>101.78056184348941</v>
      </c>
      <c r="AI61" s="233" t="str">
        <f t="shared" si="12"/>
        <v>0.002-17.4115050164447i</v>
      </c>
      <c r="AJ61" s="233">
        <f t="shared" si="13"/>
        <v>0.33750000000000002</v>
      </c>
      <c r="AK61" s="233" t="str">
        <f t="shared" si="14"/>
        <v>0.15-17185.1554512309i</v>
      </c>
      <c r="AL61" s="233" t="str">
        <f t="shared" si="15"/>
        <v>0.337372231470624-0.0065461449518249i</v>
      </c>
      <c r="AM61" s="233" t="str">
        <f t="shared" si="16"/>
        <v>0.366666663924917-0.0000317065974341547i</v>
      </c>
      <c r="AN61" s="233" t="str">
        <f t="shared" si="17"/>
        <v>0.005+0.000581897558528268i</v>
      </c>
      <c r="AO61" s="233" t="str">
        <f t="shared" si="26"/>
        <v>2.79171108783046-0.0307969419013416i</v>
      </c>
      <c r="AP61" s="233">
        <f t="shared" si="27"/>
        <v>8.9179379134207117</v>
      </c>
      <c r="AQ61" s="233">
        <f t="shared" si="28"/>
        <v>-0.63203646937945035</v>
      </c>
      <c r="AS61" s="233" t="str">
        <f t="shared" si="18"/>
        <v>0.378068736765304-0.0000337091899884352i</v>
      </c>
      <c r="AT61" s="233" t="str">
        <f t="shared" si="29"/>
        <v>2.83296560637308-0.0316309608309719i</v>
      </c>
      <c r="AU61" s="233">
        <f t="shared" si="30"/>
        <v>9.0453674164898317</v>
      </c>
      <c r="AV61" s="233">
        <f t="shared" si="31"/>
        <v>-0.63969899547860376</v>
      </c>
    </row>
    <row r="62" spans="1:48" x14ac:dyDescent="0.25">
      <c r="A62" s="236" t="s">
        <v>18</v>
      </c>
      <c r="B62" s="240">
        <f>1*B11/(B63+B54)</f>
        <v>1.3008130081300813</v>
      </c>
      <c r="C62" s="238" t="s">
        <v>344</v>
      </c>
      <c r="D62" s="244"/>
      <c r="F62" s="233">
        <v>60</v>
      </c>
      <c r="G62" s="249">
        <f t="shared" si="0"/>
        <v>168.61701088123775</v>
      </c>
      <c r="H62" s="249">
        <f t="shared" si="1"/>
        <v>168.57881372500071</v>
      </c>
      <c r="I62" s="234">
        <f t="shared" si="2"/>
        <v>1</v>
      </c>
      <c r="J62" s="233">
        <f t="shared" si="19"/>
        <v>1</v>
      </c>
      <c r="K62" s="233">
        <f t="shared" si="20"/>
        <v>1</v>
      </c>
      <c r="L62" s="233">
        <f>10^('Small Signal'!F62/30)</f>
        <v>100</v>
      </c>
      <c r="M62" s="233" t="str">
        <f t="shared" si="21"/>
        <v>628.318530717959i</v>
      </c>
      <c r="N62" s="233">
        <f>IF(D$31=1, IF(AND('Small Signal'!$B$61&gt;=1,FCCM=0),V62+0,S62+0), 0)</f>
        <v>8.9178716155545672</v>
      </c>
      <c r="O62" s="233">
        <f>IF(D$31=1, IF(AND('Small Signal'!$B$61&gt;=1,FCCM=0),W62,T62), 0)</f>
        <v>-0.6824543717932976</v>
      </c>
      <c r="P62" s="233">
        <f>IF(AND('Small Signal'!$B$61&gt;=1,FCCM=0),AF62+0,AC62+0)</f>
        <v>47.049081145966333</v>
      </c>
      <c r="Q62" s="233">
        <f>IF(AND('Small Signal'!$B$61&gt;=1,FCCM=0),AG62,AD62)</f>
        <v>100.98834778089534</v>
      </c>
      <c r="R62" s="233" t="str">
        <f>IMDIV(IMSUM('Small Signal'!$B$2*'Small Signal'!$B$38*'Small Signal'!$B$62,IMPRODUCT(M62,'Small Signal'!$B$2*'Small Signal'!$B$38*'Small Signal'!$B$62*'Small Signal'!$B$14*'Small Signal'!$B$15)),IMSUM(IMPRODUCT('Small Signal'!$B$12*'Small Signal'!$B$14*('Small Signal'!$B$15+'Small Signal'!$B$38),IMPOWER(M62,2)),IMSUM(IMPRODUCT(M62,('Small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2.37175974472034-0.0246517087682378i</v>
      </c>
      <c r="S62" s="233">
        <f t="shared" si="22"/>
        <v>8.9178716155545672</v>
      </c>
      <c r="T62" s="233">
        <f t="shared" si="23"/>
        <v>-0.6824543717932976</v>
      </c>
      <c r="U62" s="233" t="str">
        <f>IMDIV(IMSUM('Small Signal'!$B$74,IMPRODUCT(M62,'Small Signal'!$B$75)),IMSUM(IMPRODUCT('Small Signal'!$B$78,IMPOWER(M62,2)),IMSUM(IMPRODUCT(M62,'Small Signal'!$B$77),'Small Signal'!$B$76)))</f>
        <v>1.68265909395057-0.0181725880314321i</v>
      </c>
      <c r="V62" s="233">
        <f t="shared" si="3"/>
        <v>4.5204292643270536</v>
      </c>
      <c r="W62" s="233">
        <f t="shared" si="4"/>
        <v>-0.61876592938000463</v>
      </c>
      <c r="X62" s="233" t="str">
        <f>IMPRODUCT(IMDIV(IMSUM(IMPRODUCT(M62,'Small Signal'!$B$57*'Small Signal'!$B$6*'Small Signal'!$B$50*'Small Signal'!$B$7*'Small Signal'!$B$8),'Small Signal'!$B$57*'Small Signal'!$B$6*'Small Signal'!$B$50),IMSUM(IMSUM(IMPRODUCT(M62,('Small Signal'!$B$5+'Small Signal'!$B$6)*('Small Signal'!$B$56*'Small Signal'!$B$57)+'Small Signal'!$B$5*'Small Signal'!$B$57*('Small Signal'!$B$8+'Small Signal'!$B$9)+'Small Signal'!$B$6*'Small Signal'!$B$57*('Small Signal'!$B$8+'Small Signal'!$B$9)+'Small Signal'!$B$7*'Small Signal'!$B$8*('Small Signal'!$B$5+'Small Signal'!$B$6)),'Small Signal'!$B$6+'Small Signal'!$B$5),IMPRODUCT(IMPOWER(M62,2),'Small Signal'!$B$56*'Small Signal'!$B$57*'Small Signal'!$B$8*'Small Signal'!$B$7*('Small Signal'!$B$5+'Small Signal'!$B$6)+('Small Signal'!$B$5+'Small Signal'!$B$6)*('Small Signal'!$B$9*'Small Signal'!$B$8*'Small Signal'!$B$57*'Small Signal'!$B$7)))),-1)</f>
        <v>-16.2571433022668+78.9861041474791i</v>
      </c>
      <c r="Y62" s="233">
        <f t="shared" si="5"/>
        <v>38.131209530411745</v>
      </c>
      <c r="Z62" s="233">
        <f t="shared" si="6"/>
        <v>101.67080215268867</v>
      </c>
      <c r="AA62" s="233" t="str">
        <f t="shared" si="7"/>
        <v>1.00000039986558+0.000705812472078536i</v>
      </c>
      <c r="AB62" s="233" t="str">
        <f t="shared" si="8"/>
        <v>-42.9139288289484+221.012986205343i</v>
      </c>
      <c r="AC62" s="230">
        <f t="shared" si="24"/>
        <v>47.049081145966333</v>
      </c>
      <c r="AD62" s="233">
        <f t="shared" si="25"/>
        <v>100.98834778089534</v>
      </c>
      <c r="AE62" s="233" t="str">
        <f t="shared" si="9"/>
        <v>-25.9198480883369+133.202120807283i</v>
      </c>
      <c r="AF62" s="230">
        <f t="shared" si="10"/>
        <v>42.651633158023266</v>
      </c>
      <c r="AG62" s="233">
        <f t="shared" si="11"/>
        <v>101.01159617041675</v>
      </c>
      <c r="AI62" s="233" t="str">
        <f t="shared" si="12"/>
        <v>0.002-16.1251208806378i</v>
      </c>
      <c r="AJ62" s="233">
        <f t="shared" si="13"/>
        <v>0.33750000000000002</v>
      </c>
      <c r="AK62" s="233" t="str">
        <f t="shared" si="14"/>
        <v>0.15-15915.4943091895i</v>
      </c>
      <c r="AL62" s="233" t="str">
        <f t="shared" si="15"/>
        <v>0.337351042243073-0.00706791816085126i</v>
      </c>
      <c r="AM62" s="233" t="str">
        <f t="shared" si="16"/>
        <v>0.366666663470021-0.0000342359963488497i</v>
      </c>
      <c r="AN62" s="233" t="str">
        <f t="shared" si="17"/>
        <v>0.005+0.000628318530717959i</v>
      </c>
      <c r="AO62" s="233" t="str">
        <f t="shared" si="26"/>
        <v>2.79166159861527-0.0332532654630871i</v>
      </c>
      <c r="AP62" s="233">
        <f t="shared" si="27"/>
        <v>8.9178716155545672</v>
      </c>
      <c r="AQ62" s="233">
        <f t="shared" si="28"/>
        <v>-0.6824543717932976</v>
      </c>
      <c r="AS62" s="233" t="str">
        <f t="shared" si="18"/>
        <v>0.378068736266638-0.0000363983460436895i</v>
      </c>
      <c r="AT62" s="233" t="str">
        <f t="shared" si="29"/>
        <v>2.83291386502401-0.034153784766494i</v>
      </c>
      <c r="AU62" s="233">
        <f t="shared" si="30"/>
        <v>9.0452985944414088</v>
      </c>
      <c r="AV62" s="233">
        <f t="shared" si="31"/>
        <v>-0.69072799727478296</v>
      </c>
    </row>
    <row r="63" spans="1:48" x14ac:dyDescent="0.25">
      <c r="A63" s="236" t="s">
        <v>44</v>
      </c>
      <c r="B63" s="239">
        <f>Ri*((Vi_ss-Vo_ss)/Lo_ss)</f>
        <v>121874.99999999999</v>
      </c>
      <c r="C63" s="239">
        <f>Ri*((Vin_max-Vo_ss)/Lo_ss)</f>
        <v>132187.5</v>
      </c>
      <c r="D63" s="244"/>
      <c r="F63" s="233">
        <v>61</v>
      </c>
      <c r="G63" s="249">
        <f t="shared" si="0"/>
        <v>168.62005806018371</v>
      </c>
      <c r="H63" s="249">
        <f t="shared" si="1"/>
        <v>168.57881372500071</v>
      </c>
      <c r="I63" s="234">
        <f t="shared" si="2"/>
        <v>1</v>
      </c>
      <c r="J63" s="233">
        <f t="shared" si="19"/>
        <v>1</v>
      </c>
      <c r="K63" s="233">
        <f t="shared" si="20"/>
        <v>1</v>
      </c>
      <c r="L63" s="233">
        <f>10^('Small Signal'!F63/30)</f>
        <v>107.97751623277095</v>
      </c>
      <c r="M63" s="233" t="str">
        <f t="shared" si="21"/>
        <v>678.442743499492i</v>
      </c>
      <c r="N63" s="233">
        <f>IF(D$31=1, IF(AND('Small Signal'!$B$61&gt;=1,FCCM=0),V63+0,S63+0), 0)</f>
        <v>8.9177943191270295</v>
      </c>
      <c r="O63" s="233">
        <f>IF(D$31=1, IF(AND('Small Signal'!$B$61&gt;=1,FCCM=0),W63,T63), 0)</f>
        <v>-0.73689361727603697</v>
      </c>
      <c r="P63" s="233">
        <f>IF(AND('Small Signal'!$B$61&gt;=1,FCCM=0),AF63+0,AC63+0)</f>
        <v>46.402973962071613</v>
      </c>
      <c r="Q63" s="233">
        <f>IF(AND('Small Signal'!$B$61&gt;=1,FCCM=0),AG63,AD63)</f>
        <v>100.27710865757309</v>
      </c>
      <c r="R63" s="233" t="str">
        <f>IMDIV(IMSUM('Small Signal'!$B$2*'Small Signal'!$B$38*'Small Signal'!$B$62,IMPRODUCT(M63,'Small Signal'!$B$2*'Small Signal'!$B$38*'Small Signal'!$B$62*'Small Signal'!$B$14*'Small Signal'!$B$15)),IMSUM(IMPRODUCT('Small Signal'!$B$12*'Small Signal'!$B$14*('Small Signal'!$B$15+'Small Signal'!$B$38),IMPOWER(M63,2)),IMSUM(IMPRODUCT(M63,('Small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2.37172525190454-0.0266180067549549i</v>
      </c>
      <c r="S63" s="233">
        <f t="shared" si="22"/>
        <v>8.9177943191270295</v>
      </c>
      <c r="T63" s="233">
        <f t="shared" si="23"/>
        <v>-0.73689361727603697</v>
      </c>
      <c r="U63" s="233" t="str">
        <f>IMDIV(IMSUM('Small Signal'!$B$74,IMPRODUCT(M63,'Small Signal'!$B$75)),IMSUM(IMPRODUCT('Small Signal'!$B$78,IMPOWER(M63,2)),IMSUM(IMPRODUCT(M63,'Small Signal'!$B$77),'Small Signal'!$B$76)))</f>
        <v>1.68263428756376-0.0196221113754112i</v>
      </c>
      <c r="V63" s="233">
        <f t="shared" si="3"/>
        <v>4.520385252229544</v>
      </c>
      <c r="W63" s="233">
        <f t="shared" si="4"/>
        <v>-0.66812688647121654</v>
      </c>
      <c r="X63" s="233" t="str">
        <f>IMPRODUCT(IMDIV(IMSUM(IMPRODUCT(M63,'Small Signal'!$B$57*'Small Signal'!$B$6*'Small Signal'!$B$50*'Small Signal'!$B$7*'Small Signal'!$B$8),'Small Signal'!$B$57*'Small Signal'!$B$6*'Small Signal'!$B$50),IMSUM(IMSUM(IMPRODUCT(M63,('Small Signal'!$B$5+'Small Signal'!$B$6)*('Small Signal'!$B$56*'Small Signal'!$B$57)+'Small Signal'!$B$5*'Small Signal'!$B$57*('Small Signal'!$B$8+'Small Signal'!$B$9)+'Small Signal'!$B$6*'Small Signal'!$B$57*('Small Signal'!$B$8+'Small Signal'!$B$9)+'Small Signal'!$B$7*'Small Signal'!$B$8*('Small Signal'!$B$5+'Small Signal'!$B$6)),'Small Signal'!$B$6+'Small Signal'!$B$5),IMPRODUCT(IMPOWER(M63,2),'Small Signal'!$B$56*'Small Signal'!$B$57*'Small Signal'!$B$8*'Small Signal'!$B$7*('Small Signal'!$B$5+'Small Signal'!$B$6)+('Small Signal'!$B$5+'Small Signal'!$B$6)*('Small Signal'!$B$9*'Small Signal'!$B$8*'Small Signal'!$B$57*'Small Signal'!$B$7)))),-1)</f>
        <v>-14.246203788428+73.4934907464292i</v>
      </c>
      <c r="Y63" s="233">
        <f t="shared" si="5"/>
        <v>37.48517964294458</v>
      </c>
      <c r="Z63" s="233">
        <f t="shared" si="6"/>
        <v>101.01400227484915</v>
      </c>
      <c r="AA63" s="233" t="str">
        <f t="shared" si="7"/>
        <v>1.00000046620902+0.000762118736027413i</v>
      </c>
      <c r="AB63" s="233" t="str">
        <f t="shared" si="8"/>
        <v>-37.2877110702621+205.648028919527i</v>
      </c>
      <c r="AC63" s="230">
        <f t="shared" si="24"/>
        <v>46.402973962071613</v>
      </c>
      <c r="AD63" s="233">
        <f t="shared" si="25"/>
        <v>100.27710865757309</v>
      </c>
      <c r="AE63" s="233" t="str">
        <f t="shared" si="9"/>
        <v>-22.5290535012355+123.942208040105i</v>
      </c>
      <c r="AF63" s="230">
        <f t="shared" si="10"/>
        <v>42.005558323247271</v>
      </c>
      <c r="AG63" s="233">
        <f t="shared" si="11"/>
        <v>100.30220923012739</v>
      </c>
      <c r="AI63" s="233" t="str">
        <f t="shared" si="12"/>
        <v>0.002-14.9337764408993i</v>
      </c>
      <c r="AJ63" s="233">
        <f t="shared" si="13"/>
        <v>0.33750000000000002</v>
      </c>
      <c r="AK63" s="233" t="str">
        <f t="shared" si="14"/>
        <v>0.15-14739.6373471677i</v>
      </c>
      <c r="AL63" s="233" t="str">
        <f t="shared" si="15"/>
        <v>0.33732634079785-0.00763120036167326i</v>
      </c>
      <c r="AM63" s="233" t="str">
        <f t="shared" si="16"/>
        <v>0.366666662939652-0.0000369671784615585i</v>
      </c>
      <c r="AN63" s="233" t="str">
        <f t="shared" si="17"/>
        <v>0.005+0.000678442743499492i</v>
      </c>
      <c r="AO63" s="233" t="str">
        <f t="shared" si="26"/>
        <v>2.79160390029028-0.0359054112574018i</v>
      </c>
      <c r="AP63" s="233">
        <f t="shared" si="27"/>
        <v>8.9177943191270295</v>
      </c>
      <c r="AQ63" s="233">
        <f t="shared" si="28"/>
        <v>-0.73689361727603697</v>
      </c>
      <c r="AS63" s="233" t="str">
        <f t="shared" si="18"/>
        <v>0.378068735685236-0.0000393020299473454i</v>
      </c>
      <c r="AT63" s="233" t="str">
        <f t="shared" si="29"/>
        <v>2.83285354106751-0.0368777273094454i</v>
      </c>
      <c r="AU63" s="233">
        <f t="shared" si="30"/>
        <v>9.0452183551351037</v>
      </c>
      <c r="AV63" s="233">
        <f t="shared" si="31"/>
        <v>-0.74582704612400974</v>
      </c>
    </row>
    <row r="64" spans="1:48" x14ac:dyDescent="0.25">
      <c r="A64" s="236" t="s">
        <v>234</v>
      </c>
      <c r="B64" s="239">
        <f>Ri*((Vo_ss)/Lo_ss)</f>
        <v>84375.000000000015</v>
      </c>
      <c r="C64" s="238"/>
      <c r="D64" s="244"/>
      <c r="F64" s="233">
        <v>62</v>
      </c>
      <c r="G64" s="249">
        <f t="shared" si="0"/>
        <v>168.62334832692827</v>
      </c>
      <c r="H64" s="249">
        <f t="shared" si="1"/>
        <v>168.57881372500071</v>
      </c>
      <c r="I64" s="234">
        <f t="shared" si="2"/>
        <v>1</v>
      </c>
      <c r="J64" s="233">
        <f t="shared" si="19"/>
        <v>1</v>
      </c>
      <c r="K64" s="233">
        <f t="shared" si="20"/>
        <v>1</v>
      </c>
      <c r="L64" s="233">
        <f>10^('Small Signal'!F64/30)</f>
        <v>116.59144011798328</v>
      </c>
      <c r="M64" s="233" t="str">
        <f t="shared" si="21"/>
        <v>732.565623492221i</v>
      </c>
      <c r="N64" s="233">
        <f>IF(D$31=1, IF(AND('Small Signal'!$B$61&gt;=1,FCCM=0),V64+0,S64+0), 0)</f>
        <v>8.9177041997527358</v>
      </c>
      <c r="O64" s="233">
        <f>IF(D$31=1, IF(AND('Small Signal'!$B$61&gt;=1,FCCM=0),W64,T64), 0)</f>
        <v>-0.79567481411323515</v>
      </c>
      <c r="P64" s="233">
        <f>IF(AND('Small Signal'!$B$61&gt;=1,FCCM=0),AF64+0,AC64+0)</f>
        <v>45.754094062174445</v>
      </c>
      <c r="Q64" s="233">
        <f>IF(AND('Small Signal'!$B$61&gt;=1,FCCM=0),AG64,AD64)</f>
        <v>99.622174986105406</v>
      </c>
      <c r="R64" s="233" t="str">
        <f>IMDIV(IMSUM('Small Signal'!$B$2*'Small Signal'!$B$38*'Small Signal'!$B$62,IMPRODUCT(M64,'Small Signal'!$B$2*'Small Signal'!$B$38*'Small Signal'!$B$62*'Small Signal'!$B$14*'Small Signal'!$B$15)),IMSUM(IMPRODUCT('Small Signal'!$B$12*'Small Signal'!$B$14*('Small Signal'!$B$15+'Small Signal'!$B$38),IMPOWER(M64,2)),IMSUM(IMPRODUCT(M64,('Small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2.37168503712913-0.0287410898276903i</v>
      </c>
      <c r="S64" s="233">
        <f t="shared" si="22"/>
        <v>8.9177041997527358</v>
      </c>
      <c r="T64" s="233">
        <f t="shared" si="23"/>
        <v>-0.79567481411323515</v>
      </c>
      <c r="U64" s="233" t="str">
        <f>IMDIV(IMSUM('Small Signal'!$B$74,IMPRODUCT(M64,'Small Signal'!$B$75)),IMSUM(IMPRODUCT('Small Signal'!$B$78,IMPOWER(M64,2)),IMSUM(IMPRODUCT(M64,'Small Signal'!$B$77),'Small Signal'!$B$76)))</f>
        <v>1.68260536597598-0.0211872194640472i</v>
      </c>
      <c r="V64" s="233">
        <f t="shared" si="3"/>
        <v>4.520333938198779</v>
      </c>
      <c r="W64" s="233">
        <f t="shared" si="4"/>
        <v>-0.72142531242713015</v>
      </c>
      <c r="X64" s="233" t="str">
        <f>IMPRODUCT(IMDIV(IMSUM(IMPRODUCT(M64,'Small Signal'!$B$57*'Small Signal'!$B$6*'Small Signal'!$B$50*'Small Signal'!$B$7*'Small Signal'!$B$8),'Small Signal'!$B$57*'Small Signal'!$B$6*'Small Signal'!$B$50),IMSUM(IMSUM(IMPRODUCT(M64,('Small Signal'!$B$5+'Small Signal'!$B$6)*('Small Signal'!$B$56*'Small Signal'!$B$57)+'Small Signal'!$B$5*'Small Signal'!$B$57*('Small Signal'!$B$8+'Small Signal'!$B$9)+'Small Signal'!$B$6*'Small Signal'!$B$57*('Small Signal'!$B$8+'Small Signal'!$B$9)+'Small Signal'!$B$7*'Small Signal'!$B$8*('Small Signal'!$B$5+'Small Signal'!$B$6)),'Small Signal'!$B$6+'Small Signal'!$B$5),IMPRODUCT(IMPOWER(M64,2),'Small Signal'!$B$56*'Small Signal'!$B$57*'Small Signal'!$B$8*'Small Signal'!$B$7*('Small Signal'!$B$5+'Small Signal'!$B$6)+('Small Signal'!$B$5+'Small Signal'!$B$6)*('Small Signal'!$B$9*'Small Signal'!$B$8*'Small Signal'!$B$57*'Small Signal'!$B$7)))),-1)</f>
        <v>-12.5063496329588+68.3385461796162i</v>
      </c>
      <c r="Y64" s="233">
        <f t="shared" si="5"/>
        <v>36.836389862421711</v>
      </c>
      <c r="Z64" s="233">
        <f t="shared" si="6"/>
        <v>100.41784980021866</v>
      </c>
      <c r="AA64" s="233" t="str">
        <f t="shared" si="7"/>
        <v>1.00000054355977+0.000822916830814638i</v>
      </c>
      <c r="AB64" s="233" t="str">
        <f t="shared" si="8"/>
        <v>-32.4199222956741+191.227967850367i</v>
      </c>
      <c r="AC64" s="230">
        <f t="shared" si="24"/>
        <v>45.754094062174445</v>
      </c>
      <c r="AD64" s="233">
        <f t="shared" si="25"/>
        <v>99.622174986105406</v>
      </c>
      <c r="AE64" s="233" t="str">
        <f t="shared" si="9"/>
        <v>-19.5953472254268+115.251779279187i</v>
      </c>
      <c r="AF64" s="230">
        <f t="shared" si="10"/>
        <v>41.356716138317815</v>
      </c>
      <c r="AG64" s="233">
        <f t="shared" si="11"/>
        <v>99.649274862767356</v>
      </c>
      <c r="AI64" s="233" t="str">
        <f t="shared" si="12"/>
        <v>0.002-13.8304500436054i</v>
      </c>
      <c r="AJ64" s="233">
        <f t="shared" si="13"/>
        <v>0.33750000000000002</v>
      </c>
      <c r="AK64" s="233" t="str">
        <f t="shared" si="14"/>
        <v>0.15-13650.6541930386i</v>
      </c>
      <c r="AL64" s="233" t="str">
        <f t="shared" si="15"/>
        <v>0.337297545621181-0.00823927305780904i</v>
      </c>
      <c r="AM64" s="233" t="str">
        <f t="shared" si="16"/>
        <v>0.366666662321287-0.0000399162410568099i</v>
      </c>
      <c r="AN64" s="233" t="str">
        <f t="shared" si="17"/>
        <v>0.005+0.000732565623492221i</v>
      </c>
      <c r="AO64" s="233" t="str">
        <f t="shared" si="26"/>
        <v>2.7915366315155-0.0387689670271108i</v>
      </c>
      <c r="AP64" s="233">
        <f t="shared" si="27"/>
        <v>8.9177041997527358</v>
      </c>
      <c r="AQ64" s="233">
        <f t="shared" si="28"/>
        <v>-0.79567481411323515</v>
      </c>
      <c r="AS64" s="233" t="str">
        <f t="shared" si="18"/>
        <v>0.378068735007371-0.0000424373556901145i</v>
      </c>
      <c r="AT64" s="233" t="str">
        <f t="shared" si="29"/>
        <v>2.83278321125392-0.0398187964693808i</v>
      </c>
      <c r="AU64" s="233">
        <f t="shared" si="30"/>
        <v>9.0451248047546784</v>
      </c>
      <c r="AV64" s="233">
        <f t="shared" si="31"/>
        <v>-0.80532062362585555</v>
      </c>
    </row>
    <row r="65" spans="1:48" x14ac:dyDescent="0.25">
      <c r="A65" s="236" t="s">
        <v>235</v>
      </c>
      <c r="B65" s="241">
        <f>B54/B64</f>
        <v>3.1111111111111107</v>
      </c>
      <c r="C65" s="238"/>
      <c r="D65" s="244"/>
      <c r="F65" s="233">
        <v>63</v>
      </c>
      <c r="G65" s="249">
        <f t="shared" si="0"/>
        <v>168.62690107347839</v>
      </c>
      <c r="H65" s="249">
        <f t="shared" si="1"/>
        <v>168.57881372500071</v>
      </c>
      <c r="I65" s="234">
        <f t="shared" si="2"/>
        <v>1</v>
      </c>
      <c r="J65" s="233">
        <f t="shared" si="19"/>
        <v>1</v>
      </c>
      <c r="K65" s="233">
        <f t="shared" si="20"/>
        <v>1</v>
      </c>
      <c r="L65" s="233">
        <f>10^('Small Signal'!F65/30)</f>
        <v>125.89254117941677</v>
      </c>
      <c r="M65" s="233" t="str">
        <f t="shared" si="21"/>
        <v>791.006165022012i</v>
      </c>
      <c r="N65" s="233">
        <f>IF(D$31=1, IF(AND('Small Signal'!$B$61&gt;=1,FCCM=0),V65+0,S65+0), 0)</f>
        <v>8.9175991305108333</v>
      </c>
      <c r="O65" s="233">
        <f>IF(D$31=1, IF(AND('Small Signal'!$B$61&gt;=1,FCCM=0),W65,T65), 0)</f>
        <v>-0.8591440966906736</v>
      </c>
      <c r="P65" s="233">
        <f>IF(AND('Small Signal'!$B$61&gt;=1,FCCM=0),AF65+0,AC65+0)</f>
        <v>45.10282914299588</v>
      </c>
      <c r="Q65" s="233">
        <f>IF(AND('Small Signal'!$B$61&gt;=1,FCCM=0),AG65,AD65)</f>
        <v>99.020534915653656</v>
      </c>
      <c r="R65" s="233" t="str">
        <f>IMDIV(IMSUM('Small Signal'!$B$2*'Small Signal'!$B$38*'Small Signal'!$B$62,IMPRODUCT(M65,'Small Signal'!$B$2*'Small Signal'!$B$38*'Small Signal'!$B$62*'Small Signal'!$B$14*'Small Signal'!$B$15)),IMSUM(IMPRODUCT('Small Signal'!$B$12*'Small Signal'!$B$14*('Small Signal'!$B$15+'Small Signal'!$B$38),IMPOWER(M65,2)),IMSUM(IMPRODUCT(M65,('Small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2.37163815136029-0.0310334456979679i</v>
      </c>
      <c r="S65" s="233">
        <f t="shared" si="22"/>
        <v>8.9175991305108333</v>
      </c>
      <c r="T65" s="233">
        <f t="shared" si="23"/>
        <v>-0.8591440966906736</v>
      </c>
      <c r="U65" s="233" t="str">
        <f>IMDIV(IMSUM('Small Signal'!$B$74,IMPRODUCT(M65,'Small Signal'!$B$75)),IMSUM(IMPRODUCT('Small Signal'!$B$78,IMPOWER(M65,2)),IMSUM(IMPRODUCT(M65,'Small Signal'!$B$77),'Small Signal'!$B$76)))</f>
        <v>1.68257164660868-0.0228771198301106i</v>
      </c>
      <c r="V65" s="233">
        <f t="shared" si="3"/>
        <v>4.5202741108494662</v>
      </c>
      <c r="W65" s="233">
        <f t="shared" si="4"/>
        <v>-0.77897523933342883</v>
      </c>
      <c r="X65" s="233" t="str">
        <f>IMPRODUCT(IMDIV(IMSUM(IMPRODUCT(M65,'Small Signal'!$B$57*'Small Signal'!$B$6*'Small Signal'!$B$50*'Small Signal'!$B$7*'Small Signal'!$B$8),'Small Signal'!$B$57*'Small Signal'!$B$6*'Small Signal'!$B$50),IMSUM(IMSUM(IMPRODUCT(M65,('Small Signal'!$B$5+'Small Signal'!$B$6)*('Small Signal'!$B$56*'Small Signal'!$B$57)+'Small Signal'!$B$5*'Small Signal'!$B$57*('Small Signal'!$B$8+'Small Signal'!$B$9)+'Small Signal'!$B$6*'Small Signal'!$B$57*('Small Signal'!$B$8+'Small Signal'!$B$9)+'Small Signal'!$B$7*'Small Signal'!$B$8*('Small Signal'!$B$5+'Small Signal'!$B$6)),'Small Signal'!$B$6+'Small Signal'!$B$5),IMPRODUCT(IMPOWER(M65,2),'Small Signal'!$B$56*'Small Signal'!$B$57*'Small Signal'!$B$8*'Small Signal'!$B$7*('Small Signal'!$B$5+'Small Signal'!$B$6)+('Small Signal'!$B$5+'Small Signal'!$B$6)*('Small Signal'!$B$9*'Small Signal'!$B$8*'Small Signal'!$B$57*'Small Signal'!$B$7)))),-1)</f>
        <v>-11.0028548131797+63.5095991223607i</v>
      </c>
      <c r="Y65" s="233">
        <f t="shared" si="5"/>
        <v>36.18523001248505</v>
      </c>
      <c r="Z65" s="233">
        <f t="shared" si="6"/>
        <v>99.879679012344326</v>
      </c>
      <c r="AA65" s="233" t="str">
        <f t="shared" si="7"/>
        <v>1.00000063374412+0.000888565090253617i</v>
      </c>
      <c r="AB65" s="233" t="str">
        <f t="shared" si="8"/>
        <v>-28.2134053303533+177.720162950968i</v>
      </c>
      <c r="AC65" s="230">
        <f t="shared" si="24"/>
        <v>45.10282914299588</v>
      </c>
      <c r="AD65" s="233">
        <f t="shared" si="25"/>
        <v>99.020534915653656</v>
      </c>
      <c r="AE65" s="233" t="str">
        <f t="shared" si="9"/>
        <v>-17.0601748309235+107.111164398802i</v>
      </c>
      <c r="AF65" s="230">
        <f t="shared" si="10"/>
        <v>40.705495189747431</v>
      </c>
      <c r="AG65" s="233">
        <f t="shared" si="11"/>
        <v>99.049792789180131</v>
      </c>
      <c r="AI65" s="233" t="str">
        <f t="shared" si="12"/>
        <v>0.002-12.8086388038327i</v>
      </c>
      <c r="AJ65" s="233">
        <f t="shared" si="13"/>
        <v>0.33750000000000002</v>
      </c>
      <c r="AK65" s="233" t="str">
        <f t="shared" si="14"/>
        <v>0.15-12642.1264993829i</v>
      </c>
      <c r="AL65" s="233" t="str">
        <f t="shared" si="15"/>
        <v>0.337263979153347-0.0088956718145785i</v>
      </c>
      <c r="AM65" s="233" t="str">
        <f t="shared" si="16"/>
        <v>0.366666661600325-0.000043100565581882i</v>
      </c>
      <c r="AN65" s="233" t="str">
        <f t="shared" si="17"/>
        <v>0.005+0.000791006165022012i</v>
      </c>
      <c r="AO65" s="233" t="str">
        <f t="shared" si="26"/>
        <v>2.79145820532564-0.0418607552288272i</v>
      </c>
      <c r="AP65" s="233">
        <f t="shared" si="27"/>
        <v>8.9175991305108333</v>
      </c>
      <c r="AQ65" s="233">
        <f t="shared" si="28"/>
        <v>-0.8591440966906736</v>
      </c>
      <c r="AS65" s="233" t="str">
        <f t="shared" si="18"/>
        <v>0.378068734217039-0.0000458228025332621i</v>
      </c>
      <c r="AT65" s="233" t="str">
        <f t="shared" si="29"/>
        <v>2.83270121645755-0.0429942679137732i</v>
      </c>
      <c r="AU65" s="233">
        <f t="shared" si="30"/>
        <v>9.0450157354414404</v>
      </c>
      <c r="AV65" s="233">
        <f t="shared" si="31"/>
        <v>-0.86955904335491918</v>
      </c>
    </row>
    <row r="66" spans="1:48" x14ac:dyDescent="0.25">
      <c r="A66" s="236"/>
      <c r="B66" s="238"/>
      <c r="C66" s="238"/>
      <c r="D66" s="244"/>
      <c r="F66" s="233">
        <v>64</v>
      </c>
      <c r="G66" s="249">
        <f t="shared" ref="G66:G129" si="33">DEGREES((ATAN(10)+ATAN(L66/(fsw/6))-ATAN(L66/(fsw/6*Vo_ss/Vref))-ATAN(MAX(1/10,L66/(fsw/2)))))+90</f>
        <v>168.63073723874805</v>
      </c>
      <c r="H66" s="249">
        <f t="shared" ref="H66:H129" si="34">DEGREES((ATAN(10)-ATAN(MAX(1/10,L66/(fsw/2)))))+90</f>
        <v>168.57881372500071</v>
      </c>
      <c r="I66" s="234">
        <f t="shared" ref="I66:I129" si="35">IF(fz_cff&gt;fsw/4,IF(AV66+H66&gt;65,1,0),IF(AV66+G66&gt;65,1,0))</f>
        <v>1</v>
      </c>
      <c r="J66" s="233">
        <f t="shared" si="19"/>
        <v>1</v>
      </c>
      <c r="K66" s="233">
        <f t="shared" si="20"/>
        <v>1</v>
      </c>
      <c r="L66" s="233">
        <f>10^('Small Signal'!F66/30)</f>
        <v>135.93563908785265</v>
      </c>
      <c r="M66" s="233" t="str">
        <f t="shared" ref="M66:M129" si="36">COMPLEX(0,L66*2*PI())</f>
        <v>854.108810238863i</v>
      </c>
      <c r="N66" s="233">
        <f>IF(D$31=1, IF(AND('Small Signal'!$B$61&gt;=1,FCCM=0),V66+0,S66+0), 0)</f>
        <v>8.9174766318057443</v>
      </c>
      <c r="O66" s="233">
        <f>IF(D$31=1, IF(AND('Small Signal'!$B$61&gt;=1,FCCM=0),W66,T66), 0)</f>
        <v>-0.92767514878037904</v>
      </c>
      <c r="P66" s="233">
        <f>IF(AND('Small Signal'!$B$61&gt;=1,FCCM=0),AF66+0,AC66+0)</f>
        <v>44.449518867307383</v>
      </c>
      <c r="Q66" s="233">
        <f>IF(AND('Small Signal'!$B$61&gt;=1,FCCM=0),AG66,AD66)</f>
        <v>98.469322773197632</v>
      </c>
      <c r="R66" s="233" t="str">
        <f>IMDIV(IMSUM('Small Signal'!$B$2*'Small Signal'!$B$38*'Small Signal'!$B$62,IMPRODUCT(M66,'Small Signal'!$B$2*'Small Signal'!$B$38*'Small Signal'!$B$62*'Small Signal'!$B$14*'Small Signal'!$B$15)),IMSUM(IMPRODUCT('Small Signal'!$B$12*'Small Signal'!$B$14*('Small Signal'!$B$15+'Small Signal'!$B$38),IMPOWER(M66,2)),IMSUM(IMPRODUCT(M66,('Small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2.37158348822139-0.0335085531501344i</v>
      </c>
      <c r="S66" s="233">
        <f t="shared" si="22"/>
        <v>8.9174766318057443</v>
      </c>
      <c r="T66" s="233">
        <f t="shared" si="23"/>
        <v>-0.92767514878037904</v>
      </c>
      <c r="U66" s="233" t="str">
        <f>IMDIV(IMSUM('Small Signal'!$B$74,IMPRODUCT(M66,'Small Signal'!$B$75)),IMSUM(IMPRODUCT('Small Signal'!$B$78,IMPOWER(M66,2)),IMSUM(IMPRODUCT(M66,'Small Signal'!$B$77),'Small Signal'!$B$76)))</f>
        <v>1.68253233370286-0.0247017511066262i</v>
      </c>
      <c r="V66" s="233">
        <f t="shared" ref="V66:V129" si="37">20*LOG(IMABS(U66))</f>
        <v>4.5202043578496696</v>
      </c>
      <c r="W66" s="233">
        <f t="shared" ref="W66:W129" si="38">(180/PI())*IMARGUMENT(U66)</f>
        <v>-0.84111573049065469</v>
      </c>
      <c r="X66" s="233" t="str">
        <f>IMPRODUCT(IMDIV(IMSUM(IMPRODUCT(M66,'Small Signal'!$B$57*'Small Signal'!$B$6*'Small Signal'!$B$50*'Small Signal'!$B$7*'Small Signal'!$B$8),'Small Signal'!$B$57*'Small Signal'!$B$6*'Small Signal'!$B$50),IMSUM(IMSUM(IMPRODUCT(M66,('Small Signal'!$B$5+'Small Signal'!$B$6)*('Small Signal'!$B$56*'Small Signal'!$B$57)+'Small Signal'!$B$5*'Small Signal'!$B$57*('Small Signal'!$B$8+'Small Signal'!$B$9)+'Small Signal'!$B$6*'Small Signal'!$B$57*('Small Signal'!$B$8+'Small Signal'!$B$9)+'Small Signal'!$B$7*'Small Signal'!$B$8*('Small Signal'!$B$5+'Small Signal'!$B$6)),'Small Signal'!$B$6+'Small Signal'!$B$5),IMPRODUCT(IMPOWER(M66,2),'Small Signal'!$B$56*'Small Signal'!$B$57*'Small Signal'!$B$8*'Small Signal'!$B$7*('Small Signal'!$B$5+'Small Signal'!$B$6)+('Small Signal'!$B$5+'Small Signal'!$B$6)*('Small Signal'!$B$9*'Small Signal'!$B$8*'Small Signal'!$B$57*'Small Signal'!$B$7)))),-1)</f>
        <v>-9.70496587229196+58.9933376639499i</v>
      </c>
      <c r="Y66" s="233">
        <f t="shared" ref="Y66:Y129" si="39">IF(D$32=1, 20*LOG(IMABS(AA66))+20*LOG(IMABS(X66)), 0)</f>
        <v>35.532042235501649</v>
      </c>
      <c r="Z66" s="233">
        <f t="shared" ref="Z66:Z129" si="40">IF(D$32=1, (180/PI())*IMARGUMENT(AA66)+(180/PI())*IMARGUMENT(X66), 0)</f>
        <v>99.396997921978027</v>
      </c>
      <c r="AA66" s="233" t="str">
        <f t="shared" ref="AA66:AA129" si="41">IMDIV(COMPLEX(1,IMABS(M66)/(2*PI()*fz_cff)),COMPLEX(1,IMABS(M66)/(2*PI()*fp_cff)))</f>
        <v>1.00000073889133+0.00095945043359144i</v>
      </c>
      <c r="AB66" s="233" t="str">
        <f t="shared" ref="AB66:AB129" si="42">IMPRODUCT(AO66,X66,AA66)</f>
        <v>-24.5821171374289+165.087385262631i</v>
      </c>
      <c r="AC66" s="230">
        <f t="shared" ref="AC66:AC129" si="43">20*LOG(IMABS(AB66))</f>
        <v>44.449518867307383</v>
      </c>
      <c r="AD66" s="233">
        <f t="shared" ref="AD66:AD129" si="44">(180/PI())*IMARGUMENT(AB66)</f>
        <v>98.469322773197632</v>
      </c>
      <c r="AE66" s="233" t="str">
        <f t="shared" ref="AE66:AE129" si="45">IMPRODUCT(U66,X66)</f>
        <v>-14.87168013369+99.4979277441221i</v>
      </c>
      <c r="AF66" s="230">
        <f t="shared" ref="AF66:AF129" si="46">20*LOG(IMABS(AE66))</f>
        <v>40.052236177556168</v>
      </c>
      <c r="AG66" s="233">
        <f t="shared" ref="AG66:AG129" si="47">(180/PI())*IMARGUMENT(AE66)</f>
        <v>98.500909788477415</v>
      </c>
      <c r="AI66" s="233" t="str">
        <f t="shared" ref="AI66:AI129" si="48">IMSUM(ESR_ss,IMDIV(1,IMPRODUCT(Co_ss,M66)))</f>
        <v>0.002-11.8623202780666i</v>
      </c>
      <c r="AJ66" s="233">
        <f t="shared" ref="AJ66:AJ129" si="49">Ro</f>
        <v>0.33750000000000002</v>
      </c>
      <c r="AK66" s="233" t="str">
        <f t="shared" ref="AK66:AK129" si="50">IMSUM(ESR2_ss,IMDIV(1,IMPRODUCT(Co2_ss,M66)))</f>
        <v>0.15-11708.1101144518i</v>
      </c>
      <c r="AL66" s="233" t="str">
        <f t="shared" ref="AL66:AL129" si="51">IMDIV(1,(IMSUM(IMDIV(1,AI66),IMDIV(1,AJ66),IMDIV(1,AK66))))</f>
        <v>0.337224852009439-0.00960420453569386i</v>
      </c>
      <c r="AM66" s="233" t="str">
        <f t="shared" ref="AM66:AM129" si="52">IMDIV(IMPRODUCT(Re,IMDIV(1,IMPRODUCT(Ce,M66))),IMSUM(Re,IMDIV(1,IMPRODUCT(Ce,M66))))</f>
        <v>0.366666660759745-0.0000465389200909027i</v>
      </c>
      <c r="AN66" s="233" t="str">
        <f t="shared" ref="AN66:AN129" si="53">IMSUM(Rdc_ss,IMPRODUCT(Lo_ss,M66))</f>
        <v>0.005+0.000854108810238863i</v>
      </c>
      <c r="AO66" s="233" t="str">
        <f t="shared" ref="AO66:AO129" si="54">IMDIV(IMPRODUCT(AL66,AM66),IMPRODUCT(Ri,IMSUM(AM66,AL66,AN66)))</f>
        <v>2.79136677178192-0.0451989292557646i</v>
      </c>
      <c r="AP66" s="233">
        <f t="shared" si="27"/>
        <v>8.9174766318057443</v>
      </c>
      <c r="AQ66" s="233">
        <f t="shared" si="28"/>
        <v>-0.92767514878037904</v>
      </c>
      <c r="AS66" s="233" t="str">
        <f t="shared" ref="AS66:AS129" si="55">IMDIV(IMPRODUCT(Re_vimax,IMDIV(1,IMPRODUCT(Ce,M66))),IMSUM(Re_vimax,IMDIV(1,IMPRODUCT(Ce,M66))))</f>
        <v>0.378068733295576-0.0000494783239230708i</v>
      </c>
      <c r="AT66" s="233" t="str">
        <f t="shared" ref="AT66:AT129" si="56">IMDIV(IMPRODUCT(AL66,AS66),IMPRODUCT(Ri,IMSUM(AS66,AL66,AN66)))</f>
        <v>2.83260562263559-0.0464227836682989i</v>
      </c>
      <c r="AU66" s="233">
        <f t="shared" si="30"/>
        <v>9.0448885732513613</v>
      </c>
      <c r="AV66" s="233">
        <f t="shared" si="31"/>
        <v>-0.93892049774101471</v>
      </c>
    </row>
    <row r="67" spans="1:48" x14ac:dyDescent="0.25">
      <c r="A67" s="236" t="s">
        <v>32</v>
      </c>
      <c r="B67" s="238">
        <f>B3/B4</f>
        <v>0.33750000000000002</v>
      </c>
      <c r="C67" s="238"/>
      <c r="D67" s="244"/>
      <c r="F67" s="233">
        <v>65</v>
      </c>
      <c r="G67" s="249">
        <f t="shared" si="33"/>
        <v>168.63487943193851</v>
      </c>
      <c r="H67" s="249">
        <f t="shared" si="34"/>
        <v>168.57881372500071</v>
      </c>
      <c r="I67" s="234">
        <f t="shared" si="35"/>
        <v>1</v>
      </c>
      <c r="J67" s="233">
        <f t="shared" ref="J67:J130" si="57">IF(P67&gt;0,1,0)</f>
        <v>1</v>
      </c>
      <c r="K67" s="233">
        <f t="shared" ref="K67:K130" si="58">IF(Q67&gt;0,1,0)</f>
        <v>1</v>
      </c>
      <c r="L67" s="233">
        <f>10^('Small Signal'!F67/30)</f>
        <v>146.77992676220697</v>
      </c>
      <c r="M67" s="233" t="str">
        <f t="shared" si="36"/>
        <v>922.245479221195i</v>
      </c>
      <c r="N67" s="233">
        <f>IF(D$31=1, IF(AND('Small Signal'!$B$61&gt;=1,FCCM=0),V67+0,S67+0), 0)</f>
        <v>8.917333812929753</v>
      </c>
      <c r="O67" s="233">
        <f>IF(D$31=1, IF(AND('Small Signal'!$B$61&gt;=1,FCCM=0),W67,T67), 0)</f>
        <v>-1.0016713848556325</v>
      </c>
      <c r="P67" s="233">
        <f>IF(AND('Small Signal'!$B$61&gt;=1,FCCM=0),AF67+0,AC67+0)</f>
        <v>43.794460778766904</v>
      </c>
      <c r="Q67" s="233">
        <f>IF(AND('Small Signal'!$B$61&gt;=1,FCCM=0),AG67,AD67)</f>
        <v>97.965834028081986</v>
      </c>
      <c r="R67" s="233" t="str">
        <f>IMDIV(IMSUM('Small Signal'!$B$2*'Small Signal'!$B$38*'Small Signal'!$B$62,IMPRODUCT(M67,'Small Signal'!$B$2*'Small Signal'!$B$38*'Small Signal'!$B$62*'Small Signal'!$B$14*'Small Signal'!$B$15)),IMSUM(IMPRODUCT('Small Signal'!$B$12*'Small Signal'!$B$14*('Small Signal'!$B$15+'Small Signal'!$B$38),IMPOWER(M67,2)),IMSUM(IMPRODUCT(M67,('Small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2.37151975792908-0.0361809597752388i</v>
      </c>
      <c r="S67" s="233">
        <f t="shared" ref="S67:S130" si="59">AP67</f>
        <v>8.917333812929753</v>
      </c>
      <c r="T67" s="233">
        <f t="shared" ref="T67:T130" si="60">AQ67</f>
        <v>-1.0016713848556325</v>
      </c>
      <c r="U67" s="233" t="str">
        <f>IMDIV(IMSUM('Small Signal'!$B$74,IMPRODUCT(M67,'Small Signal'!$B$75)),IMSUM(IMPRODUCT('Small Signal'!$B$78,IMPOWER(M67,2)),IMSUM(IMPRODUCT(M67,'Small Signal'!$B$77),'Small Signal'!$B$76)))</f>
        <v>1.68248649956566-0.0266718404622685i</v>
      </c>
      <c r="V67" s="233">
        <f t="shared" si="37"/>
        <v>4.5201230325951451</v>
      </c>
      <c r="W67" s="233">
        <f t="shared" si="38"/>
        <v>-0.90821287191289812</v>
      </c>
      <c r="X67" s="233" t="str">
        <f>IMPRODUCT(IMDIV(IMSUM(IMPRODUCT(M67,'Small Signal'!$B$57*'Small Signal'!$B$6*'Small Signal'!$B$50*'Small Signal'!$B$7*'Small Signal'!$B$8),'Small Signal'!$B$57*'Small Signal'!$B$6*'Small Signal'!$B$50),IMSUM(IMSUM(IMPRODUCT(M67,('Small Signal'!$B$5+'Small Signal'!$B$6)*('Small Signal'!$B$56*'Small Signal'!$B$57)+'Small Signal'!$B$5*'Small Signal'!$B$57*('Small Signal'!$B$8+'Small Signal'!$B$9)+'Small Signal'!$B$6*'Small Signal'!$B$57*('Small Signal'!$B$8+'Small Signal'!$B$9)+'Small Signal'!$B$7*'Small Signal'!$B$8*('Small Signal'!$B$5+'Small Signal'!$B$6)),'Small Signal'!$B$6+'Small Signal'!$B$5),IMPRODUCT(IMPOWER(M67,2),'Small Signal'!$B$56*'Small Signal'!$B$57*'Small Signal'!$B$8*'Small Signal'!$B$7*('Small Signal'!$B$5+'Small Signal'!$B$6)+('Small Signal'!$B$5+'Small Signal'!$B$6)*('Small Signal'!$B$9*'Small Signal'!$B$8*'Small Signal'!$B$57*'Small Signal'!$B$7)))),-1)</f>
        <v>-8.5855753607795+54.7753760807985i</v>
      </c>
      <c r="Y67" s="233">
        <f t="shared" si="39"/>
        <v>34.877126965837171</v>
      </c>
      <c r="Z67" s="233">
        <f t="shared" si="40"/>
        <v>98.967505412937584</v>
      </c>
      <c r="AA67" s="233" t="str">
        <f t="shared" si="41"/>
        <v>1.00000086148396+0.00103599064573398i</v>
      </c>
      <c r="AB67" s="233" t="str">
        <f t="shared" si="42"/>
        <v>-21.4502151407349+153.289402706058i</v>
      </c>
      <c r="AC67" s="230">
        <f t="shared" si="43"/>
        <v>43.794460778766904</v>
      </c>
      <c r="AD67" s="233">
        <f t="shared" si="44"/>
        <v>97.965834028081986</v>
      </c>
      <c r="AE67" s="233" t="str">
        <f t="shared" si="45"/>
        <v>-12.9841545434273+92.3878238608747i</v>
      </c>
      <c r="AF67" s="230">
        <f t="shared" si="46"/>
        <v>39.397237854510337</v>
      </c>
      <c r="AG67" s="233">
        <f t="shared" si="47"/>
        <v>97.999934721780704</v>
      </c>
      <c r="AI67" s="233" t="str">
        <f t="shared" si="48"/>
        <v>0.002-10.9859169685795i</v>
      </c>
      <c r="AJ67" s="233">
        <f t="shared" si="49"/>
        <v>0.33750000000000002</v>
      </c>
      <c r="AK67" s="233" t="str">
        <f t="shared" si="50"/>
        <v>0.15-10843.1000479879i</v>
      </c>
      <c r="AL67" s="233" t="str">
        <f t="shared" si="51"/>
        <v>0.337179244638051-0.010368970685951i</v>
      </c>
      <c r="AM67" s="233" t="str">
        <f t="shared" si="52"/>
        <v>0.366666659779702-0.0000502515698613961i</v>
      </c>
      <c r="AN67" s="233" t="str">
        <f t="shared" si="53"/>
        <v>0.005+0.000922245479221195i</v>
      </c>
      <c r="AO67" s="233" t="str">
        <f t="shared" si="54"/>
        <v>2.79126017445845-0.048803076748231i</v>
      </c>
      <c r="AP67" s="233">
        <f t="shared" ref="AP67:AP130" si="61">20*LOG(IMABS(AO67))</f>
        <v>8.917333812929753</v>
      </c>
      <c r="AQ67" s="233">
        <f t="shared" ref="AQ67:AQ130" si="62">(180/PI())*IMARGUMENT(AO67)</f>
        <v>-1.0016713848556325</v>
      </c>
      <c r="AS67" s="233" t="str">
        <f t="shared" si="55"/>
        <v>0.378068732221233-0.0000534254650939197i</v>
      </c>
      <c r="AT67" s="233" t="str">
        <f t="shared" si="56"/>
        <v>2.8324941753431-0.0501244580635506i</v>
      </c>
      <c r="AU67" s="233">
        <f t="shared" ref="AU67:AU130" si="63">20*LOG(IMABS(AT67))</f>
        <v>9.0447403174987553</v>
      </c>
      <c r="AV67" s="233">
        <f t="shared" ref="AV67:AV130" si="64">(180/PI())*IMARGUMENT(AT67)</f>
        <v>-1.0138132646521565</v>
      </c>
    </row>
    <row r="68" spans="1:48" x14ac:dyDescent="0.25">
      <c r="A68" s="236" t="s">
        <v>58</v>
      </c>
      <c r="B68" s="238">
        <f>(B3*B4*B12*2*B11/(B2*(B2-B3)))^0.5</f>
        <v>0.91605722482868912</v>
      </c>
      <c r="C68" s="238"/>
      <c r="D68" s="244"/>
      <c r="F68" s="233">
        <v>66</v>
      </c>
      <c r="G68" s="249">
        <f t="shared" si="33"/>
        <v>168.63935206575536</v>
      </c>
      <c r="H68" s="249">
        <f t="shared" si="34"/>
        <v>168.57881372500071</v>
      </c>
      <c r="I68" s="234">
        <f t="shared" si="35"/>
        <v>1</v>
      </c>
      <c r="J68" s="233">
        <f t="shared" si="57"/>
        <v>1</v>
      </c>
      <c r="K68" s="233">
        <f t="shared" si="58"/>
        <v>1</v>
      </c>
      <c r="L68" s="233">
        <f>10^('Small Signal'!F68/30)</f>
        <v>158.48931924611153</v>
      </c>
      <c r="M68" s="233" t="str">
        <f t="shared" si="36"/>
        <v>995.817762032063i</v>
      </c>
      <c r="N68" s="233">
        <f>IF(D$31=1, IF(AND('Small Signal'!$B$61&gt;=1,FCCM=0),V68+0,S68+0), 0)</f>
        <v>8.9171673039571395</v>
      </c>
      <c r="O68" s="233">
        <f>IF(D$31=1, IF(AND('Small Signal'!$B$61&gt;=1,FCCM=0),W68,T68), 0)</f>
        <v>-1.0815683011685577</v>
      </c>
      <c r="P68" s="233">
        <f>IF(AND('Small Signal'!$B$61&gt;=1,FCCM=0),AF68+0,AC68+0)</f>
        <v>43.137915746444321</v>
      </c>
      <c r="Q68" s="233">
        <f>IF(AND('Small Signal'!$B$61&gt;=1,FCCM=0),AG68,AD68)</f>
        <v>97.507535305167067</v>
      </c>
      <c r="R68" s="233" t="str">
        <f>IMDIV(IMSUM('Small Signal'!$B$2*'Small Signal'!$B$38*'Small Signal'!$B$62,IMPRODUCT(M68,'Small Signal'!$B$2*'Small Signal'!$B$38*'Small Signal'!$B$62*'Small Signal'!$B$14*'Small Signal'!$B$15)),IMSUM(IMPRODUCT('Small Signal'!$B$12*'Small Signal'!$B$14*('Small Signal'!$B$15+'Small Signal'!$B$38),IMPOWER(M68,2)),IMSUM(IMPRODUCT(M68,('Small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2.37144545691987-0.0390663655623897i</v>
      </c>
      <c r="S68" s="233">
        <f t="shared" si="59"/>
        <v>8.9171673039571395</v>
      </c>
      <c r="T68" s="233">
        <f t="shared" si="60"/>
        <v>-1.0815683011685577</v>
      </c>
      <c r="U68" s="233" t="str">
        <f>IMDIV(IMSUM('Small Signal'!$B$74,IMPRODUCT(M68,'Small Signal'!$B$75)),IMSUM(IMPRODUCT('Small Signal'!$B$78,IMPOWER(M68,2)),IMSUM(IMPRODUCT(M68,'Small Signal'!$B$77),'Small Signal'!$B$76)))</f>
        <v>1.68243306271448-0.0287989653888935i</v>
      </c>
      <c r="V68" s="233">
        <f t="shared" si="37"/>
        <v>4.5200282153599272</v>
      </c>
      <c r="W68" s="233">
        <f t="shared" si="38"/>
        <v>-0.98066192130875163</v>
      </c>
      <c r="X68" s="233" t="str">
        <f>IMPRODUCT(IMDIV(IMSUM(IMPRODUCT(M68,'Small Signal'!$B$57*'Small Signal'!$B$6*'Small Signal'!$B$50*'Small Signal'!$B$7*'Small Signal'!$B$8),'Small Signal'!$B$57*'Small Signal'!$B$6*'Small Signal'!$B$50),IMSUM(IMSUM(IMPRODUCT(M68,('Small Signal'!$B$5+'Small Signal'!$B$6)*('Small Signal'!$B$56*'Small Signal'!$B$57)+'Small Signal'!$B$5*'Small Signal'!$B$57*('Small Signal'!$B$8+'Small Signal'!$B$9)+'Small Signal'!$B$6*'Small Signal'!$B$57*('Small Signal'!$B$8+'Small Signal'!$B$9)+'Small Signal'!$B$7*'Small Signal'!$B$8*('Small Signal'!$B$5+'Small Signal'!$B$6)),'Small Signal'!$B$6+'Small Signal'!$B$5),IMPRODUCT(IMPOWER(M68,2),'Small Signal'!$B$56*'Small Signal'!$B$57*'Small Signal'!$B$8*'Small Signal'!$B$7*('Small Signal'!$B$5+'Small Signal'!$B$6)+('Small Signal'!$B$5+'Small Signal'!$B$6)*('Small Signal'!$B$9*'Small Signal'!$B$8*'Small Signal'!$B$57*'Small Signal'!$B$7)))),-1)</f>
        <v>-7.62088480213639+50.8407088402832i</v>
      </c>
      <c r="Y68" s="233">
        <f t="shared" si="39"/>
        <v>34.220748442487192</v>
      </c>
      <c r="Z68" s="233">
        <f t="shared" si="40"/>
        <v>98.589103606335598</v>
      </c>
      <c r="AA68" s="233" t="str">
        <f t="shared" si="41"/>
        <v>1.00000100441644+0.0011186368393293i</v>
      </c>
      <c r="AB68" s="233" t="str">
        <f t="shared" si="42"/>
        <v>-18.7511142326481+142.284250374784i</v>
      </c>
      <c r="AC68" s="230">
        <f t="shared" si="43"/>
        <v>43.137915746444321</v>
      </c>
      <c r="AD68" s="233">
        <f t="shared" si="44"/>
        <v>97.507535305167067</v>
      </c>
      <c r="AE68" s="233" t="str">
        <f t="shared" si="45"/>
        <v>-11.3574687440144+85.7555630823823i</v>
      </c>
      <c r="AF68" s="230">
        <f t="shared" si="46"/>
        <v>38.740762499078514</v>
      </c>
      <c r="AG68" s="233">
        <f t="shared" si="47"/>
        <v>97.544348606435776</v>
      </c>
      <c r="AI68" s="233" t="str">
        <f t="shared" si="48"/>
        <v>0.002-10.1742634502693i</v>
      </c>
      <c r="AJ68" s="233">
        <f t="shared" si="49"/>
        <v>0.33750000000000002</v>
      </c>
      <c r="AK68" s="233" t="str">
        <f t="shared" si="50"/>
        <v>0.15-10041.9980254158i</v>
      </c>
      <c r="AL68" s="233" t="str">
        <f t="shared" si="51"/>
        <v>0.337126086012754-0.0111943814046548i</v>
      </c>
      <c r="AM68" s="233" t="str">
        <f t="shared" si="52"/>
        <v>0.366666658637055-0.0000542603968352191i</v>
      </c>
      <c r="AN68" s="233" t="str">
        <f t="shared" si="53"/>
        <v>0.005+0.000995817762032063i</v>
      </c>
      <c r="AO68" s="233" t="str">
        <f t="shared" si="54"/>
        <v>2.79113589975117-0.052694330405309i</v>
      </c>
      <c r="AP68" s="233">
        <f t="shared" si="61"/>
        <v>8.9171673039571395</v>
      </c>
      <c r="AQ68" s="233">
        <f t="shared" si="62"/>
        <v>-1.0815683011685577</v>
      </c>
      <c r="AS68" s="233" t="str">
        <f t="shared" si="55"/>
        <v>0.378068730968641-0.0000576874900530942i</v>
      </c>
      <c r="AT68" s="233" t="str">
        <f t="shared" si="56"/>
        <v>2.83236424674726-0.0541209913443177i</v>
      </c>
      <c r="AU68" s="233">
        <f t="shared" si="63"/>
        <v>9.0445674700659957</v>
      </c>
      <c r="AV68" s="233">
        <f t="shared" si="64"/>
        <v>-1.0946780854933578</v>
      </c>
    </row>
    <row r="69" spans="1:48" x14ac:dyDescent="0.25">
      <c r="A69" s="236" t="s">
        <v>57</v>
      </c>
      <c r="B69" s="240">
        <f>(2*B4/B68)*B67*B67*(1-(B3/B2))/(B67*(1-(B3/B2))+B67+B13)</f>
        <v>1.0846533407748935</v>
      </c>
      <c r="C69" s="238"/>
      <c r="D69" s="244"/>
      <c r="F69" s="233">
        <v>67</v>
      </c>
      <c r="G69" s="249">
        <f t="shared" si="33"/>
        <v>168.644181500245</v>
      </c>
      <c r="H69" s="249">
        <f t="shared" si="34"/>
        <v>168.57881372500071</v>
      </c>
      <c r="I69" s="234">
        <f t="shared" si="35"/>
        <v>1</v>
      </c>
      <c r="J69" s="233">
        <f t="shared" si="57"/>
        <v>1</v>
      </c>
      <c r="K69" s="233">
        <f t="shared" si="58"/>
        <v>1</v>
      </c>
      <c r="L69" s="233">
        <f>10^('Small Signal'!F69/30)</f>
        <v>171.13283041617817</v>
      </c>
      <c r="M69" s="233" t="str">
        <f t="shared" si="36"/>
        <v>1075.25928564699i</v>
      </c>
      <c r="N69" s="233">
        <f>IF(D$31=1, IF(AND('Small Signal'!$B$61&gt;=1,FCCM=0),V69+0,S69+0), 0)</f>
        <v>8.9169731763755653</v>
      </c>
      <c r="O69" s="233">
        <f>IF(D$31=1, IF(AND('Small Signal'!$B$61&gt;=1,FCCM=0),W69,T69), 0)</f>
        <v>-1.167836009034392</v>
      </c>
      <c r="P69" s="233">
        <f>IF(AND('Small Signal'!$B$61&gt;=1,FCCM=0),AF69+0,AC69+0)</f>
        <v>42.480112939663798</v>
      </c>
      <c r="Q69" s="233">
        <f>IF(AND('Small Signal'!$B$61&gt;=1,FCCM=0),AG69,AD69)</f>
        <v>97.092070479316163</v>
      </c>
      <c r="R69" s="233" t="str">
        <f>IMDIV(IMSUM('Small Signal'!$B$2*'Small Signal'!$B$38*'Small Signal'!$B$62,IMPRODUCT(M69,'Small Signal'!$B$2*'Small Signal'!$B$38*'Small Signal'!$B$62*'Small Signal'!$B$14*'Small Signal'!$B$15)),IMSUM(IMPRODUCT('Small Signal'!$B$12*'Small Signal'!$B$14*('Small Signal'!$B$15+'Small Signal'!$B$38),IMPOWER(M69,2)),IMSUM(IMPRODUCT(M69,('Small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2.37135883245768-0.0421817127260445i</v>
      </c>
      <c r="S69" s="233">
        <f t="shared" si="59"/>
        <v>8.9169731763755653</v>
      </c>
      <c r="T69" s="233">
        <f t="shared" si="60"/>
        <v>-1.167836009034392</v>
      </c>
      <c r="U69" s="233" t="str">
        <f>IMDIV(IMSUM('Small Signal'!$B$74,IMPRODUCT(M69,'Small Signal'!$B$75)),IMSUM(IMPRODUCT('Small Signal'!$B$78,IMPOWER(M69,2)),IMSUM(IMPRODUCT(M69,'Small Signal'!$B$77),'Small Signal'!$B$76)))</f>
        <v>1.68237076240687-0.0310956201289842i</v>
      </c>
      <c r="V69" s="233">
        <f t="shared" si="37"/>
        <v>4.5199176680074036</v>
      </c>
      <c r="W69" s="233">
        <f t="shared" si="38"/>
        <v>-1.0588896267477563</v>
      </c>
      <c r="X69" s="233" t="str">
        <f>IMPRODUCT(IMDIV(IMSUM(IMPRODUCT(M69,'Small Signal'!$B$57*'Small Signal'!$B$6*'Small Signal'!$B$50*'Small Signal'!$B$7*'Small Signal'!$B$8),'Small Signal'!$B$57*'Small Signal'!$B$6*'Small Signal'!$B$50),IMSUM(IMSUM(IMPRODUCT(M69,('Small Signal'!$B$5+'Small Signal'!$B$6)*('Small Signal'!$B$56*'Small Signal'!$B$57)+'Small Signal'!$B$5*'Small Signal'!$B$57*('Small Signal'!$B$8+'Small Signal'!$B$9)+'Small Signal'!$B$6*'Small Signal'!$B$57*('Small Signal'!$B$8+'Small Signal'!$B$9)+'Small Signal'!$B$7*'Small Signal'!$B$8*('Small Signal'!$B$5+'Small Signal'!$B$6)),'Small Signal'!$B$6+'Small Signal'!$B$5),IMPRODUCT(IMPOWER(M69,2),'Small Signal'!$B$56*'Small Signal'!$B$57*'Small Signal'!$B$8*'Small Signal'!$B$7*('Small Signal'!$B$5+'Small Signal'!$B$6)+('Small Signal'!$B$5+'Small Signal'!$B$6)*('Small Signal'!$B$9*'Small Signal'!$B$8*'Small Signal'!$B$57*'Small Signal'!$B$7)))),-1)</f>
        <v>-6.79007156803418+47.1740686639961i</v>
      </c>
      <c r="Y69" s="233">
        <f t="shared" si="39"/>
        <v>33.56313976328822</v>
      </c>
      <c r="Z69" s="233">
        <f t="shared" si="40"/>
        <v>98.259906488350566</v>
      </c>
      <c r="AA69" s="233" t="str">
        <f t="shared" si="41"/>
        <v>1.00000117106344+0.00120787611320449i</v>
      </c>
      <c r="AB69" s="233" t="str">
        <f t="shared" si="42"/>
        <v>-16.4265547123942+132.029232414322i</v>
      </c>
      <c r="AC69" s="230">
        <f t="shared" si="43"/>
        <v>42.480112939663798</v>
      </c>
      <c r="AD69" s="233">
        <f t="shared" si="44"/>
        <v>97.092070479316163</v>
      </c>
      <c r="AE69" s="233" t="str">
        <f t="shared" si="45"/>
        <v>-9.95651096159663+79.5754153502094i</v>
      </c>
      <c r="AF69" s="230">
        <f t="shared" si="46"/>
        <v>38.083040923390044</v>
      </c>
      <c r="AG69" s="233">
        <f t="shared" si="47"/>
        <v>97.131810772842599</v>
      </c>
      <c r="AI69" s="233" t="str">
        <f t="shared" si="48"/>
        <v>0.002-9.42257592621068i</v>
      </c>
      <c r="AJ69" s="233">
        <f t="shared" si="49"/>
        <v>0.33750000000000002</v>
      </c>
      <c r="AK69" s="233" t="str">
        <f t="shared" si="50"/>
        <v>0.15-9300.08243916995i</v>
      </c>
      <c r="AL69" s="233" t="str">
        <f t="shared" si="51"/>
        <v>0.337064128891177-0.0120851804169104i</v>
      </c>
      <c r="AM69" s="233" t="str">
        <f t="shared" si="52"/>
        <v>0.366666657304827-0.0000585890285878404i</v>
      </c>
      <c r="AN69" s="233" t="str">
        <f t="shared" si="53"/>
        <v>0.005+0.00107525928564699i</v>
      </c>
      <c r="AO69" s="233" t="str">
        <f t="shared" si="54"/>
        <v>2.79099101783361-0.0568954867050868i</v>
      </c>
      <c r="AP69" s="233">
        <f t="shared" si="61"/>
        <v>8.9169731763755653</v>
      </c>
      <c r="AQ69" s="233">
        <f t="shared" si="62"/>
        <v>-1.167836009034392</v>
      </c>
      <c r="AS69" s="233" t="str">
        <f t="shared" si="55"/>
        <v>0.378068729508225-0.0000622895186957442i</v>
      </c>
      <c r="AT69" s="233" t="str">
        <f t="shared" si="56"/>
        <v>2.83221277391278-0.0584357913490858i</v>
      </c>
      <c r="AU69" s="233">
        <f t="shared" si="63"/>
        <v>9.0443659530248528</v>
      </c>
      <c r="AV69" s="233">
        <f t="shared" si="64"/>
        <v>-1.1819907273376296</v>
      </c>
    </row>
    <row r="70" spans="1:48" x14ac:dyDescent="0.25">
      <c r="A70" s="236" t="s">
        <v>59</v>
      </c>
      <c r="B70" s="239">
        <f>B12/(B67*(1-(B3/B2))+B67+B13)+B14*(B15+1/((1/(B13+B67*(1-(B3/B2))))+1/B67))</f>
        <v>1.4608584472635771E-5</v>
      </c>
      <c r="C70" s="238"/>
      <c r="D70" s="244"/>
      <c r="F70" s="233">
        <v>68</v>
      </c>
      <c r="G70" s="249">
        <f t="shared" si="33"/>
        <v>168.64939619809562</v>
      </c>
      <c r="H70" s="249">
        <f t="shared" si="34"/>
        <v>168.57881372500071</v>
      </c>
      <c r="I70" s="234">
        <f t="shared" si="35"/>
        <v>1</v>
      </c>
      <c r="J70" s="233">
        <f t="shared" si="57"/>
        <v>1</v>
      </c>
      <c r="K70" s="233">
        <f t="shared" si="58"/>
        <v>1</v>
      </c>
      <c r="L70" s="233">
        <f>10^('Small Signal'!F70/30)</f>
        <v>184.7849797422291</v>
      </c>
      <c r="M70" s="233" t="str">
        <f t="shared" si="36"/>
        <v>1161.03826970385i</v>
      </c>
      <c r="N70" s="233">
        <f>IF(D$31=1, IF(AND('Small Signal'!$B$61&gt;=1,FCCM=0),V70+0,S70+0), 0)</f>
        <v>8.9167468506003669</v>
      </c>
      <c r="O70" s="233">
        <f>IF(D$31=1, IF(AND('Small Signal'!$B$61&gt;=1,FCCM=0),W70,T70), 0)</f>
        <v>-1.2609819634756498</v>
      </c>
      <c r="P70" s="233">
        <f>IF(AND('Small Signal'!$B$61&gt;=1,FCCM=0),AF70+0,AC70+0)</f>
        <v>41.821254352466553</v>
      </c>
      <c r="Q70" s="233">
        <f>IF(AND('Small Signal'!$B$61&gt;=1,FCCM=0),AG70,AD70)</f>
        <v>96.717263720627344</v>
      </c>
      <c r="R70" s="233" t="str">
        <f>IMDIV(IMSUM('Small Signal'!$B$2*'Small Signal'!$B$38*'Small Signal'!$B$62,IMPRODUCT(M70,'Small Signal'!$B$2*'Small Signal'!$B$38*'Small Signal'!$B$62*'Small Signal'!$B$14*'Small Signal'!$B$15)),IMSUM(IMPRODUCT('Small Signal'!$B$12*'Small Signal'!$B$14*('Small Signal'!$B$15+'Small Signal'!$B$38),IMPOWER(M70,2)),IMSUM(IMPRODUCT(M70,('Small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2.37125784139669-0.0455452821549632i</v>
      </c>
      <c r="S70" s="233">
        <f t="shared" si="59"/>
        <v>8.9167468506003669</v>
      </c>
      <c r="T70" s="233">
        <f t="shared" si="60"/>
        <v>-1.2609819634756498</v>
      </c>
      <c r="U70" s="233" t="str">
        <f>IMDIV(IMSUM('Small Signal'!$B$74,IMPRODUCT(M70,'Small Signal'!$B$75)),IMSUM(IMPRODUCT('Small Signal'!$B$78,IMPOWER(M70,2)),IMSUM(IMPRODUCT(M70,'Small Signal'!$B$77),'Small Signal'!$B$76)))</f>
        <v>1.68229812896118-0.0335752870384322i</v>
      </c>
      <c r="V70" s="233">
        <f t="shared" si="37"/>
        <v>4.5197887811974091</v>
      </c>
      <c r="W70" s="233">
        <f t="shared" si="38"/>
        <v>-1.1433567280966594</v>
      </c>
      <c r="X70" s="233" t="str">
        <f>IMPRODUCT(IMDIV(IMSUM(IMPRODUCT(M70,'Small Signal'!$B$57*'Small Signal'!$B$6*'Small Signal'!$B$50*'Small Signal'!$B$7*'Small Signal'!$B$8),'Small Signal'!$B$57*'Small Signal'!$B$6*'Small Signal'!$B$50),IMSUM(IMSUM(IMPRODUCT(M70,('Small Signal'!$B$5+'Small Signal'!$B$6)*('Small Signal'!$B$56*'Small Signal'!$B$57)+'Small Signal'!$B$5*'Small Signal'!$B$57*('Small Signal'!$B$8+'Small Signal'!$B$9)+'Small Signal'!$B$6*'Small Signal'!$B$57*('Small Signal'!$B$8+'Small Signal'!$B$9)+'Small Signal'!$B$7*'Small Signal'!$B$8*('Small Signal'!$B$5+'Small Signal'!$B$6)),'Small Signal'!$B$6+'Small Signal'!$B$5),IMPRODUCT(IMPOWER(M70,2),'Small Signal'!$B$56*'Small Signal'!$B$57*'Small Signal'!$B$8*'Small Signal'!$B$7*('Small Signal'!$B$5+'Small Signal'!$B$6)+('Small Signal'!$B$5+'Small Signal'!$B$6)*('Small Signal'!$B$9*'Small Signal'!$B$8*'Small Signal'!$B$57*'Small Signal'!$B$7)))),-1)</f>
        <v>-6.07496933735646+43.7602042181972i</v>
      </c>
      <c r="Y70" s="233">
        <f t="shared" si="39"/>
        <v>32.904507501866163</v>
      </c>
      <c r="Z70" s="233">
        <f t="shared" si="40"/>
        <v>97.978245684103015</v>
      </c>
      <c r="AA70" s="233" t="str">
        <f t="shared" si="41"/>
        <v>1.00000136535951+0.00130423442280505i</v>
      </c>
      <c r="AB70" s="233" t="str">
        <f t="shared" si="42"/>
        <v>-14.4257082205523+122.481699042547i</v>
      </c>
      <c r="AC70" s="230">
        <f t="shared" si="43"/>
        <v>41.821254352466553</v>
      </c>
      <c r="AD70" s="233">
        <f t="shared" si="44"/>
        <v>96.717263720627344</v>
      </c>
      <c r="AE70" s="233" t="str">
        <f t="shared" si="45"/>
        <v>-8.75064813224493+73.8216785184837i</v>
      </c>
      <c r="AF70" s="230">
        <f t="shared" si="46"/>
        <v>37.424277036267839</v>
      </c>
      <c r="AG70" s="233">
        <f t="shared" si="47"/>
        <v>96.760161972483942</v>
      </c>
      <c r="AI70" s="233" t="str">
        <f t="shared" si="48"/>
        <v>0.002-8.72642403247928i</v>
      </c>
      <c r="AJ70" s="233">
        <f t="shared" si="49"/>
        <v>0.33750000000000002</v>
      </c>
      <c r="AK70" s="233" t="str">
        <f t="shared" si="50"/>
        <v>0.15-8612.98052005705i</v>
      </c>
      <c r="AL70" s="233" t="str">
        <f t="shared" si="51"/>
        <v>0.336991921108884-0.0130464656012223i</v>
      </c>
      <c r="AM70" s="233" t="str">
        <f t="shared" si="52"/>
        <v>0.366666655751564-0.0000632629775860648i</v>
      </c>
      <c r="AN70" s="233" t="str">
        <f t="shared" si="53"/>
        <v>0.005+0.00116103826970385i</v>
      </c>
      <c r="AO70" s="233" t="str">
        <f t="shared" si="54"/>
        <v>2.79082211389443-0.061431132924148i</v>
      </c>
      <c r="AP70" s="233">
        <f t="shared" si="61"/>
        <v>8.9167468506003669</v>
      </c>
      <c r="AQ70" s="233">
        <f t="shared" si="62"/>
        <v>-1.2609819634756498</v>
      </c>
      <c r="AS70" s="233" t="str">
        <f t="shared" si="55"/>
        <v>0.378068727805505-0.0000672586748580967i</v>
      </c>
      <c r="AT70" s="233" t="str">
        <f t="shared" si="56"/>
        <v>2.83203618693278-0.0630941036475434i</v>
      </c>
      <c r="AU70" s="233">
        <f t="shared" si="63"/>
        <v>9.0441310126453409</v>
      </c>
      <c r="AV70" s="233">
        <f t="shared" si="64"/>
        <v>-1.2762647423029776</v>
      </c>
    </row>
    <row r="71" spans="1:48" x14ac:dyDescent="0.25">
      <c r="A71" s="236" t="s">
        <v>60</v>
      </c>
      <c r="B71" s="239">
        <f>(B12*B14*(B38+B15))/(B67*(1-(B3/B2))+B67+B13)</f>
        <v>6.1831855734954924E-11</v>
      </c>
      <c r="C71" s="238"/>
      <c r="D71" s="244"/>
      <c r="F71" s="233">
        <v>69</v>
      </c>
      <c r="G71" s="249">
        <f t="shared" si="33"/>
        <v>168.65502689231494</v>
      </c>
      <c r="H71" s="249">
        <f t="shared" si="34"/>
        <v>168.57881372500071</v>
      </c>
      <c r="I71" s="234">
        <f t="shared" si="35"/>
        <v>1</v>
      </c>
      <c r="J71" s="233">
        <f t="shared" si="57"/>
        <v>1</v>
      </c>
      <c r="K71" s="233">
        <f t="shared" si="58"/>
        <v>1</v>
      </c>
      <c r="L71" s="233">
        <f>10^('Small Signal'!F71/30)</f>
        <v>199.52623149688802</v>
      </c>
      <c r="M71" s="233" t="str">
        <f t="shared" si="36"/>
        <v>1253.66028613816i</v>
      </c>
      <c r="N71" s="233">
        <f>IF(D$31=1, IF(AND('Small Signal'!$B$61&gt;=1,FCCM=0),V71+0,S71+0), 0)</f>
        <v>8.9164829882117171</v>
      </c>
      <c r="O71" s="233">
        <f>IF(D$31=1, IF(AND('Small Signal'!$B$61&gt;=1,FCCM=0),W71,T71), 0)</f>
        <v>-1.3615539010732991</v>
      </c>
      <c r="P71" s="233">
        <f>IF(AND('Small Signal'!$B$61&gt;=1,FCCM=0),AF71+0,AC71+0)</f>
        <v>41.16151890956553</v>
      </c>
      <c r="Q71" s="233">
        <f>IF(AND('Small Signal'!$B$61&gt;=1,FCCM=0),AG71,AD71)</f>
        <v>96.381120210359882</v>
      </c>
      <c r="R71" s="233" t="str">
        <f>IMDIV(IMSUM('Small Signal'!$B$2*'Small Signal'!$B$38*'Small Signal'!$B$62,IMPRODUCT(M71,'Small Signal'!$B$2*'Small Signal'!$B$38*'Small Signal'!$B$62*'Small Signal'!$B$14*'Small Signal'!$B$15)),IMSUM(IMPRODUCT('Small Signal'!$B$12*'Small Signal'!$B$14*('Small Signal'!$B$15+'Small Signal'!$B$38),IMPOWER(M71,2)),IMSUM(IMPRODUCT(M71,('Small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2.37114010213986-0.0491767968705197i</v>
      </c>
      <c r="S71" s="233">
        <f t="shared" si="59"/>
        <v>8.9164829882117171</v>
      </c>
      <c r="T71" s="233">
        <f t="shared" si="60"/>
        <v>-1.3615539010732991</v>
      </c>
      <c r="U71" s="233" t="str">
        <f>IMDIV(IMSUM('Small Signal'!$B$74,IMPRODUCT(M71,'Small Signal'!$B$75)),IMSUM(IMPRODUCT('Small Signal'!$B$78,IMPOWER(M71,2)),IMSUM(IMPRODUCT(M71,'Small Signal'!$B$77),'Small Signal'!$B$76)))</f>
        <v>1.6822134491754-0.036252513184335i</v>
      </c>
      <c r="V71" s="233">
        <f t="shared" si="37"/>
        <v>4.5196385128471706</v>
      </c>
      <c r="W71" s="233">
        <f t="shared" si="38"/>
        <v>-1.2345606552359671</v>
      </c>
      <c r="X71" s="233" t="str">
        <f>IMPRODUCT(IMDIV(IMSUM(IMPRODUCT(M71,'Small Signal'!$B$57*'Small Signal'!$B$6*'Small Signal'!$B$50*'Small Signal'!$B$7*'Small Signal'!$B$8),'Small Signal'!$B$57*'Small Signal'!$B$6*'Small Signal'!$B$50),IMSUM(IMSUM(IMPRODUCT(M71,('Small Signal'!$B$5+'Small Signal'!$B$6)*('Small Signal'!$B$56*'Small Signal'!$B$57)+'Small Signal'!$B$5*'Small Signal'!$B$57*('Small Signal'!$B$8+'Small Signal'!$B$9)+'Small Signal'!$B$6*'Small Signal'!$B$57*('Small Signal'!$B$8+'Small Signal'!$B$9)+'Small Signal'!$B$7*'Small Signal'!$B$8*('Small Signal'!$B$5+'Small Signal'!$B$6)),'Small Signal'!$B$6+'Small Signal'!$B$5),IMPRODUCT(IMPOWER(M71,2),'Small Signal'!$B$56*'Small Signal'!$B$57*'Small Signal'!$B$8*'Small Signal'!$B$7*('Small Signal'!$B$5+'Small Signal'!$B$6)+('Small Signal'!$B$5+'Small Signal'!$B$6)*('Small Signal'!$B$9*'Small Signal'!$B$8*'Small Signal'!$B$57*'Small Signal'!$B$7)))),-1)</f>
        <v>-5.45976822524951+40.5840913657578i</v>
      </c>
      <c r="Y71" s="233">
        <f t="shared" si="39"/>
        <v>32.245035921353789</v>
      </c>
      <c r="Z71" s="233">
        <f t="shared" si="40"/>
        <v>97.742674111433189</v>
      </c>
      <c r="AA71" s="233" t="str">
        <f t="shared" si="41"/>
        <v>1.00000159189203+0.00140827967952974i</v>
      </c>
      <c r="AB71" s="233" t="str">
        <f t="shared" si="42"/>
        <v>-12.7043386960823+113.599637696673i</v>
      </c>
      <c r="AC71" s="230">
        <f t="shared" si="43"/>
        <v>41.16151890956553</v>
      </c>
      <c r="AD71" s="233">
        <f t="shared" si="44"/>
        <v>96.381120210359882</v>
      </c>
      <c r="AE71" s="233" t="str">
        <f t="shared" si="45"/>
        <v>-7.71322023058384+68.4690346376103i</v>
      </c>
      <c r="AF71" s="230">
        <f t="shared" si="46"/>
        <v>36.764651994096944</v>
      </c>
      <c r="AG71" s="233">
        <f t="shared" si="47"/>
        <v>96.427425155974817</v>
      </c>
      <c r="AI71" s="233" t="str">
        <f t="shared" si="48"/>
        <v>0.002-8.08170472607226i</v>
      </c>
      <c r="AJ71" s="233">
        <f t="shared" si="49"/>
        <v>0.33750000000000002</v>
      </c>
      <c r="AK71" s="233" t="str">
        <f t="shared" si="50"/>
        <v>0.15-7976.64256463329i</v>
      </c>
      <c r="AL71" s="233" t="str">
        <f t="shared" si="51"/>
        <v>0.3369077722999-0.0140837110091179i</v>
      </c>
      <c r="AM71" s="233" t="str">
        <f t="shared" si="52"/>
        <v>0.366666653940591-0.0000683097915549442i</v>
      </c>
      <c r="AN71" s="233" t="str">
        <f t="shared" si="53"/>
        <v>0.005+0.00125366028613816i</v>
      </c>
      <c r="AO71" s="233" t="str">
        <f t="shared" si="54"/>
        <v>2.79062520807164-0.0663277828164933i</v>
      </c>
      <c r="AP71" s="233">
        <f t="shared" si="61"/>
        <v>8.9164829882117171</v>
      </c>
      <c r="AQ71" s="233">
        <f t="shared" si="62"/>
        <v>-1.3615539010732991</v>
      </c>
      <c r="AS71" s="233" t="str">
        <f t="shared" si="55"/>
        <v>0.378068725820279-0.0000726242461815006i</v>
      </c>
      <c r="AT71" s="233" t="str">
        <f t="shared" si="56"/>
        <v>2.83183032525032-0.0681231504890615i</v>
      </c>
      <c r="AU71" s="233">
        <f t="shared" si="63"/>
        <v>9.0438571075519718</v>
      </c>
      <c r="AV71" s="233">
        <f t="shared" si="64"/>
        <v>-1.3780544380657398</v>
      </c>
    </row>
    <row r="72" spans="1:48" x14ac:dyDescent="0.25">
      <c r="A72" s="236" t="s">
        <v>61</v>
      </c>
      <c r="B72" s="239">
        <f>1/(B14*B15)</f>
        <v>5065856.1296859179</v>
      </c>
      <c r="C72" s="238"/>
      <c r="D72" s="244"/>
      <c r="F72" s="233">
        <v>70</v>
      </c>
      <c r="G72" s="249">
        <f t="shared" si="33"/>
        <v>168.66110676726854</v>
      </c>
      <c r="H72" s="249">
        <f t="shared" si="34"/>
        <v>168.57881372500071</v>
      </c>
      <c r="I72" s="234">
        <f t="shared" si="35"/>
        <v>1</v>
      </c>
      <c r="J72" s="233">
        <f t="shared" si="57"/>
        <v>1</v>
      </c>
      <c r="K72" s="233">
        <f t="shared" si="58"/>
        <v>1</v>
      </c>
      <c r="L72" s="233">
        <f>10^('Small Signal'!F72/30)</f>
        <v>215.44346900318848</v>
      </c>
      <c r="M72" s="233" t="str">
        <f t="shared" si="36"/>
        <v>1353.67123896863i</v>
      </c>
      <c r="N72" s="233">
        <f>IF(D$31=1, IF(AND('Small Signal'!$B$61&gt;=1,FCCM=0),V72+0,S72+0), 0)</f>
        <v>8.9161753664065326</v>
      </c>
      <c r="O72" s="233">
        <f>IF(D$31=1, IF(AND('Small Signal'!$B$61&gt;=1,FCCM=0),W72,T72), 0)</f>
        <v>-1.470143001527489</v>
      </c>
      <c r="P72" s="233">
        <f>IF(AND('Small Signal'!$B$61&gt;=1,FCCM=0),AF72+0,AC72+0)</f>
        <v>40.501066193671235</v>
      </c>
      <c r="Q72" s="233">
        <f>IF(AND('Small Signal'!$B$61&gt;=1,FCCM=0),AG72,AD72)</f>
        <v>96.081825114124953</v>
      </c>
      <c r="R72" s="233" t="str">
        <f>IMDIV(IMSUM('Small Signal'!$B$2*'Small Signal'!$B$38*'Small Signal'!$B$62,IMPRODUCT(M72,'Small Signal'!$B$2*'Small Signal'!$B$38*'Small Signal'!$B$62*'Small Signal'!$B$14*'Small Signal'!$B$15)),IMSUM(IMPRODUCT('Small Signal'!$B$12*'Small Signal'!$B$14*('Small Signal'!$B$15+'Small Signal'!$B$38),IMPOWER(M72,2)),IMSUM(IMPRODUCT(M72,('Small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2.37100283867753-0.0530975328767825i</v>
      </c>
      <c r="S72" s="233">
        <f t="shared" si="59"/>
        <v>8.9161753664065326</v>
      </c>
      <c r="T72" s="233">
        <f t="shared" si="60"/>
        <v>-1.470143001527489</v>
      </c>
      <c r="U72" s="233" t="str">
        <f>IMDIV(IMSUM('Small Signal'!$B$74,IMPRODUCT(M72,'Small Signal'!$B$75)),IMSUM(IMPRODUCT('Small Signal'!$B$78,IMPOWER(M72,2)),IMSUM(IMPRODUCT(M72,'Small Signal'!$B$77),'Small Signal'!$B$76)))</f>
        <v>1.68211472603882-0.0391429924771589i</v>
      </c>
      <c r="V72" s="233">
        <f t="shared" si="37"/>
        <v>4.519463316398884</v>
      </c>
      <c r="W72" s="233">
        <f t="shared" si="38"/>
        <v>-1.3330384380382565</v>
      </c>
      <c r="X72" s="233" t="str">
        <f>IMPRODUCT(IMDIV(IMSUM(IMPRODUCT(M72,'Small Signal'!$B$57*'Small Signal'!$B$6*'Small Signal'!$B$50*'Small Signal'!$B$7*'Small Signal'!$B$8),'Small Signal'!$B$57*'Small Signal'!$B$6*'Small Signal'!$B$50),IMSUM(IMSUM(IMPRODUCT(M72,('Small Signal'!$B$5+'Small Signal'!$B$6)*('Small Signal'!$B$56*'Small Signal'!$B$57)+'Small Signal'!$B$5*'Small Signal'!$B$57*('Small Signal'!$B$8+'Small Signal'!$B$9)+'Small Signal'!$B$6*'Small Signal'!$B$57*('Small Signal'!$B$8+'Small Signal'!$B$9)+'Small Signal'!$B$7*'Small Signal'!$B$8*('Small Signal'!$B$5+'Small Signal'!$B$6)),'Small Signal'!$B$6+'Small Signal'!$B$5),IMPRODUCT(IMPOWER(M72,2),'Small Signal'!$B$56*'Small Signal'!$B$57*'Small Signal'!$B$8*'Small Signal'!$B$7*('Small Signal'!$B$5+'Small Signal'!$B$6)+('Small Signal'!$B$5+'Small Signal'!$B$6)*('Small Signal'!$B$9*'Small Signal'!$B$8*'Small Signal'!$B$57*'Small Signal'!$B$7)))),-1)</f>
        <v>-4.93073800626605+37.6310901489733i</v>
      </c>
      <c r="Y72" s="233">
        <f t="shared" si="39"/>
        <v>31.584890827264744</v>
      </c>
      <c r="Z72" s="233">
        <f t="shared" si="40"/>
        <v>97.5519681156524</v>
      </c>
      <c r="AA72" s="233" t="str">
        <f t="shared" si="41"/>
        <v>1.00000185600945+0.00152062509719671i</v>
      </c>
      <c r="AB72" s="233" t="str">
        <f t="shared" si="42"/>
        <v>-11.2240279340898+105.342112354295i</v>
      </c>
      <c r="AC72" s="230">
        <f t="shared" si="43"/>
        <v>40.501066193671235</v>
      </c>
      <c r="AD72" s="233">
        <f t="shared" si="44"/>
        <v>96.081825114124953</v>
      </c>
      <c r="AE72" s="233" t="str">
        <f t="shared" si="45"/>
        <v>-6.82107353197086+63.4928147371685i</v>
      </c>
      <c r="AF72" s="230">
        <f t="shared" si="46"/>
        <v>36.10432798043994</v>
      </c>
      <c r="AG72" s="233">
        <f t="shared" si="47"/>
        <v>96.131804506181268</v>
      </c>
      <c r="AI72" s="233" t="str">
        <f t="shared" si="48"/>
        <v>0.002-7.48461810202249i</v>
      </c>
      <c r="AJ72" s="233">
        <f t="shared" si="49"/>
        <v>0.33750000000000002</v>
      </c>
      <c r="AK72" s="233" t="str">
        <f t="shared" si="50"/>
        <v>0.15-7387.31806669621i</v>
      </c>
      <c r="AL72" s="233" t="str">
        <f t="shared" si="51"/>
        <v>0.336809715352444-0.0152027890522459i</v>
      </c>
      <c r="AM72" s="233" t="str">
        <f t="shared" si="52"/>
        <v>0.366666651829152-0.0000737592158400717i</v>
      </c>
      <c r="AN72" s="233" t="str">
        <f t="shared" si="53"/>
        <v>0.005+0.00135367123896863i</v>
      </c>
      <c r="AO72" s="233" t="str">
        <f t="shared" si="54"/>
        <v>2.79039566224664-0.0716140212632533i</v>
      </c>
      <c r="AP72" s="233">
        <f t="shared" si="61"/>
        <v>8.9161753664065326</v>
      </c>
      <c r="AQ72" s="233">
        <f t="shared" si="62"/>
        <v>-1.470143001527489</v>
      </c>
      <c r="AS72" s="233" t="str">
        <f t="shared" si="55"/>
        <v>0.378068723505676-0.0000784178567294695i</v>
      </c>
      <c r="AT72" s="233" t="str">
        <f t="shared" si="56"/>
        <v>2.83159034025297-0.0735522788606706i</v>
      </c>
      <c r="AU72" s="233">
        <f t="shared" si="63"/>
        <v>9.0435377784256374</v>
      </c>
      <c r="AV72" s="233">
        <f t="shared" si="64"/>
        <v>-1.4879580740324565</v>
      </c>
    </row>
    <row r="73" spans="1:48" x14ac:dyDescent="0.25">
      <c r="A73" s="236"/>
      <c r="B73" s="238"/>
      <c r="C73" s="238"/>
      <c r="D73" s="244"/>
      <c r="F73" s="233">
        <v>71</v>
      </c>
      <c r="G73" s="249">
        <f t="shared" si="33"/>
        <v>168.66767165414115</v>
      </c>
      <c r="H73" s="249">
        <f t="shared" si="34"/>
        <v>168.57881372500071</v>
      </c>
      <c r="I73" s="234">
        <f t="shared" si="35"/>
        <v>1</v>
      </c>
      <c r="J73" s="233">
        <f t="shared" si="57"/>
        <v>1</v>
      </c>
      <c r="K73" s="233">
        <f t="shared" si="58"/>
        <v>1</v>
      </c>
      <c r="L73" s="233">
        <f>10^('Small Signal'!F73/30)</f>
        <v>232.6305067153628</v>
      </c>
      <c r="M73" s="233" t="str">
        <f t="shared" si="36"/>
        <v>1461.66058179571i</v>
      </c>
      <c r="N73" s="233">
        <f>IF(D$31=1, IF(AND('Small Signal'!$B$61&gt;=1,FCCM=0),V73+0,S73+0), 0)</f>
        <v>8.9158167317470252</v>
      </c>
      <c r="O73" s="233">
        <f>IF(D$31=1, IF(AND('Small Signal'!$B$61&gt;=1,FCCM=0),W73,T73), 0)</f>
        <v>-1.5873872880257913</v>
      </c>
      <c r="P73" s="233">
        <f>IF(AND('Small Signal'!$B$61&gt;=1,FCCM=0),AF73+0,AC73+0)</f>
        <v>39.840039838773571</v>
      </c>
      <c r="Q73" s="233">
        <f>IF(AND('Small Signal'!$B$61&gt;=1,FCCM=0),AG73,AD73)</f>
        <v>95.817741281851937</v>
      </c>
      <c r="R73" s="233" t="str">
        <f>IMDIV(IMSUM('Small Signal'!$B$2*'Small Signal'!$B$38*'Small Signal'!$B$62,IMPRODUCT(M73,'Small Signal'!$B$2*'Small Signal'!$B$38*'Small Signal'!$B$62*'Small Signal'!$B$14*'Small Signal'!$B$15)),IMSUM(IMPRODUCT('Small Signal'!$B$12*'Small Signal'!$B$14*('Small Signal'!$B$15+'Small Signal'!$B$38),IMPOWER(M73,2)),IMSUM(IMPRODUCT(M73,('Small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2.37084281541019-0.0573304377697858i</v>
      </c>
      <c r="S73" s="233">
        <f t="shared" si="59"/>
        <v>8.9158167317470252</v>
      </c>
      <c r="T73" s="233">
        <f t="shared" si="60"/>
        <v>-1.5873872880257913</v>
      </c>
      <c r="U73" s="233" t="str">
        <f>IMDIV(IMSUM('Small Signal'!$B$74,IMPRODUCT(M73,'Small Signal'!$B$75)),IMSUM(IMPRODUCT('Small Signal'!$B$78,IMPOWER(M73,2)),IMSUM(IMPRODUCT(M73,'Small Signal'!$B$77),'Small Signal'!$B$76)))</f>
        <v>1.68199963180076-0.0422636536300105i</v>
      </c>
      <c r="V73" s="233">
        <f t="shared" si="37"/>
        <v>4.519259057210161</v>
      </c>
      <c r="W73" s="233">
        <f t="shared" si="38"/>
        <v>-1.439369844099309</v>
      </c>
      <c r="X73" s="233" t="str">
        <f>IMPRODUCT(IMDIV(IMSUM(IMPRODUCT(M73,'Small Signal'!$B$57*'Small Signal'!$B$6*'Small Signal'!$B$50*'Small Signal'!$B$7*'Small Signal'!$B$8),'Small Signal'!$B$57*'Small Signal'!$B$6*'Small Signal'!$B$50),IMSUM(IMSUM(IMPRODUCT(M73,('Small Signal'!$B$5+'Small Signal'!$B$6)*('Small Signal'!$B$56*'Small Signal'!$B$57)+'Small Signal'!$B$5*'Small Signal'!$B$57*('Small Signal'!$B$8+'Small Signal'!$B$9)+'Small Signal'!$B$6*'Small Signal'!$B$57*('Small Signal'!$B$8+'Small Signal'!$B$9)+'Small Signal'!$B$7*'Small Signal'!$B$8*('Small Signal'!$B$5+'Small Signal'!$B$6)),'Small Signal'!$B$6+'Small Signal'!$B$5),IMPRODUCT(IMPOWER(M73,2),'Small Signal'!$B$56*'Small Signal'!$B$57*'Small Signal'!$B$8*'Small Signal'!$B$7*('Small Signal'!$B$5+'Small Signal'!$B$6)+('Small Signal'!$B$5+'Small Signal'!$B$6)*('Small Signal'!$B$9*'Small Signal'!$B$8*'Small Signal'!$B$57*'Small Signal'!$B$7)))),-1)</f>
        <v>-4.47597593487647+34.8870579301933i</v>
      </c>
      <c r="Y73" s="233">
        <f t="shared" si="39"/>
        <v>30.924223107026542</v>
      </c>
      <c r="Z73" s="233">
        <f t="shared" si="40"/>
        <v>97.405128569877718</v>
      </c>
      <c r="AA73" s="233" t="str">
        <f t="shared" si="41"/>
        <v>1.00000216394761+0.00164193280532514i</v>
      </c>
      <c r="AB73" s="233" t="str">
        <f t="shared" si="42"/>
        <v>-9.95146994830458+97.6695802009886i</v>
      </c>
      <c r="AC73" s="230">
        <f t="shared" si="43"/>
        <v>39.840039838773571</v>
      </c>
      <c r="AD73" s="233">
        <f t="shared" si="44"/>
        <v>95.817741281851937</v>
      </c>
      <c r="AE73" s="233" t="str">
        <f t="shared" si="45"/>
        <v>-6.05413534187948+58.8691896897648i</v>
      </c>
      <c r="AF73" s="230">
        <f t="shared" si="46"/>
        <v>35.443451660180223</v>
      </c>
      <c r="AG73" s="233">
        <f t="shared" si="47"/>
        <v>95.871683193904246</v>
      </c>
      <c r="AI73" s="233" t="str">
        <f t="shared" si="48"/>
        <v>0.002-6.93164499717478i</v>
      </c>
      <c r="AJ73" s="233">
        <f t="shared" si="49"/>
        <v>0.33750000000000002</v>
      </c>
      <c r="AK73" s="233" t="str">
        <f t="shared" si="50"/>
        <v>0.15-6841.53361221152i</v>
      </c>
      <c r="AL73" s="233" t="str">
        <f t="shared" si="51"/>
        <v>0.336695461817396-0.0164099924703256i</v>
      </c>
      <c r="AM73" s="233" t="str">
        <f t="shared" si="52"/>
        <v>0.366666649367394-0.0000796433687221618i</v>
      </c>
      <c r="AN73" s="233" t="str">
        <f t="shared" si="53"/>
        <v>0.005+0.00146166058179571i</v>
      </c>
      <c r="AO73" s="233" t="str">
        <f t="shared" si="54"/>
        <v>2.79012807156914-0.077320658132184i</v>
      </c>
      <c r="AP73" s="233">
        <f t="shared" si="61"/>
        <v>8.9158167317470252</v>
      </c>
      <c r="AQ73" s="233">
        <f t="shared" si="62"/>
        <v>-1.5873872880257913</v>
      </c>
      <c r="AS73" s="233" t="str">
        <f t="shared" si="55"/>
        <v>0.378068720807046-0.0000846736533750592i</v>
      </c>
      <c r="AT73" s="233" t="str">
        <f t="shared" si="56"/>
        <v>2.83131058191823-0.0794131178733185i</v>
      </c>
      <c r="AU73" s="233">
        <f t="shared" si="63"/>
        <v>9.0431654962234624</v>
      </c>
      <c r="AV73" s="233">
        <f t="shared" si="64"/>
        <v>-1.6066212982551484</v>
      </c>
    </row>
    <row r="74" spans="1:48" x14ac:dyDescent="0.25">
      <c r="A74" s="236" t="s">
        <v>63</v>
      </c>
      <c r="B74" s="239">
        <f>B62*B69*B12*B11*B72</f>
        <v>3573787.170698408</v>
      </c>
      <c r="C74" s="238"/>
      <c r="D74" s="244"/>
      <c r="F74" s="233">
        <v>72</v>
      </c>
      <c r="G74" s="249">
        <f t="shared" si="33"/>
        <v>168.6747602419652</v>
      </c>
      <c r="H74" s="249">
        <f t="shared" si="34"/>
        <v>168.57881372500071</v>
      </c>
      <c r="I74" s="234">
        <f t="shared" si="35"/>
        <v>1</v>
      </c>
      <c r="J74" s="233">
        <f t="shared" si="57"/>
        <v>1</v>
      </c>
      <c r="K74" s="233">
        <f t="shared" si="58"/>
        <v>1</v>
      </c>
      <c r="L74" s="233">
        <f>10^('Small Signal'!F74/30)</f>
        <v>251.18864315095806</v>
      </c>
      <c r="M74" s="233" t="str">
        <f t="shared" si="36"/>
        <v>1578.26479197648i</v>
      </c>
      <c r="N74" s="233">
        <f>IF(D$31=1, IF(AND('Small Signal'!$B$61&gt;=1,FCCM=0),V74+0,S74+0), 0)</f>
        <v>8.9153986298153391</v>
      </c>
      <c r="O74" s="233">
        <f>IF(D$31=1, IF(AND('Small Signal'!$B$61&gt;=1,FCCM=0),W74,T74), 0)</f>
        <v>-1.7139752820148977</v>
      </c>
      <c r="P74" s="233">
        <f>IF(AND('Small Signal'!$B$61&gt;=1,FCCM=0),AF74+0,AC74+0)</f>
        <v>39.178570636357691</v>
      </c>
      <c r="Q74" s="233">
        <f>IF(AND('Small Signal'!$B$61&gt;=1,FCCM=0),AG74,AD74)</f>
        <v>95.587406042297928</v>
      </c>
      <c r="R74" s="233" t="str">
        <f>IMDIV(IMSUM('Small Signal'!$B$2*'Small Signal'!$B$38*'Small Signal'!$B$62,IMPRODUCT(M74,'Small Signal'!$B$2*'Small Signal'!$B$38*'Small Signal'!$B$62*'Small Signal'!$B$14*'Small Signal'!$B$15)),IMSUM(IMPRODUCT('Small Signal'!$B$12*'Small Signal'!$B$14*('Small Signal'!$B$15+'Small Signal'!$B$38),IMPOWER(M74,2)),IMSUM(IMPRODUCT(M74,('Small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2.37065626125151-0.0619002574455618i</v>
      </c>
      <c r="S74" s="233">
        <f t="shared" si="59"/>
        <v>8.9153986298153391</v>
      </c>
      <c r="T74" s="233">
        <f t="shared" si="60"/>
        <v>-1.7139752820148977</v>
      </c>
      <c r="U74" s="233" t="str">
        <f>IMDIV(IMSUM('Small Signal'!$B$74,IMPRODUCT(M74,'Small Signal'!$B$75)),IMSUM(IMPRODUCT('Small Signal'!$B$78,IMPOWER(M74,2)),IMSUM(IMPRODUCT(M74,'Small Signal'!$B$77),'Small Signal'!$B$76)))</f>
        <v>1.68186545330899-0.04563275422279i</v>
      </c>
      <c r="V74" s="233">
        <f t="shared" si="37"/>
        <v>4.5190209151049014</v>
      </c>
      <c r="W74" s="233">
        <f t="shared" si="38"/>
        <v>-1.5541807612555882</v>
      </c>
      <c r="X74" s="233" t="str">
        <f>IMPRODUCT(IMDIV(IMSUM(IMPRODUCT(M74,'Small Signal'!$B$57*'Small Signal'!$B$6*'Small Signal'!$B$50*'Small Signal'!$B$7*'Small Signal'!$B$8),'Small Signal'!$B$57*'Small Signal'!$B$6*'Small Signal'!$B$50),IMSUM(IMSUM(IMPRODUCT(M74,('Small Signal'!$B$5+'Small Signal'!$B$6)*('Small Signal'!$B$56*'Small Signal'!$B$57)+'Small Signal'!$B$5*'Small Signal'!$B$57*('Small Signal'!$B$8+'Small Signal'!$B$9)+'Small Signal'!$B$6*'Small Signal'!$B$57*('Small Signal'!$B$8+'Small Signal'!$B$9)+'Small Signal'!$B$7*'Small Signal'!$B$8*('Small Signal'!$B$5+'Small Signal'!$B$6)),'Small Signal'!$B$6+'Small Signal'!$B$5),IMPRODUCT(IMPOWER(M74,2),'Small Signal'!$B$56*'Small Signal'!$B$57*'Small Signal'!$B$8*'Small Signal'!$B$7*('Small Signal'!$B$5+'Small Signal'!$B$6)+('Small Signal'!$B$5+'Small Signal'!$B$6)*('Small Signal'!$B$9*'Small Signal'!$B$8*'Small Signal'!$B$57*'Small Signal'!$B$7)))),-1)</f>
        <v>-4.08517932405085+32.3384274883289i</v>
      </c>
      <c r="Y74" s="233">
        <f t="shared" si="39"/>
        <v>30.263172006542348</v>
      </c>
      <c r="Z74" s="233">
        <f t="shared" si="40"/>
        <v>97.301381324312814</v>
      </c>
      <c r="AA74" s="233" t="str">
        <f t="shared" si="41"/>
        <v>1.00000252297696+0.0017729177504791i</v>
      </c>
      <c r="AB74" s="233" t="str">
        <f t="shared" si="42"/>
        <v>-8.85783458572947+90.5441102595233i</v>
      </c>
      <c r="AC74" s="230">
        <f t="shared" si="43"/>
        <v>39.178570636357691</v>
      </c>
      <c r="AD74" s="233">
        <f t="shared" si="44"/>
        <v>95.587406042297928</v>
      </c>
      <c r="AE74" s="233" t="str">
        <f t="shared" si="45"/>
        <v>-5.39503046216687+54.5753019910086i</v>
      </c>
      <c r="AF74" s="230">
        <f t="shared" si="46"/>
        <v>34.782157356559431</v>
      </c>
      <c r="AG74" s="233">
        <f t="shared" si="47"/>
        <v>95.645620221245835</v>
      </c>
      <c r="AI74" s="233" t="str">
        <f t="shared" si="48"/>
        <v>0.002-6.41952624862381i</v>
      </c>
      <c r="AJ74" s="233">
        <f t="shared" si="49"/>
        <v>0.33750000000000002</v>
      </c>
      <c r="AK74" s="233" t="str">
        <f t="shared" si="50"/>
        <v>0.15-6336.07240739172i</v>
      </c>
      <c r="AL74" s="233" t="str">
        <f t="shared" si="51"/>
        <v>0.336562350389342-0.0177120555642189i</v>
      </c>
      <c r="AM74" s="233" t="str">
        <f t="shared" si="52"/>
        <v>0.366666646497196-0.0000859969307171302i</v>
      </c>
      <c r="AN74" s="233" t="str">
        <f t="shared" si="53"/>
        <v>0.005+0.00157826479197648i</v>
      </c>
      <c r="AO74" s="233" t="str">
        <f t="shared" si="54"/>
        <v>2.78981613824913-0.0834808914830437i</v>
      </c>
      <c r="AP74" s="233">
        <f t="shared" si="61"/>
        <v>8.9153986298153391</v>
      </c>
      <c r="AQ74" s="233">
        <f t="shared" si="62"/>
        <v>-1.7139752820148977</v>
      </c>
      <c r="AS74" s="233" t="str">
        <f t="shared" si="55"/>
        <v>0.378068717660676-0.000091428507057047i</v>
      </c>
      <c r="AT74" s="233" t="str">
        <f t="shared" si="56"/>
        <v>2.83098446694032-0.0857397455827177i</v>
      </c>
      <c r="AU74" s="233">
        <f t="shared" si="63"/>
        <v>9.0427314854040723</v>
      </c>
      <c r="AV74" s="233">
        <f t="shared" si="64"/>
        <v>-1.734740840627232</v>
      </c>
    </row>
    <row r="75" spans="1:48" x14ac:dyDescent="0.25">
      <c r="A75" s="236" t="s">
        <v>62</v>
      </c>
      <c r="B75" s="239">
        <f>B62*B69*B12*B11</f>
        <v>0.70546558749586563</v>
      </c>
      <c r="C75" s="238"/>
      <c r="D75" s="244"/>
      <c r="F75" s="233">
        <v>73</v>
      </c>
      <c r="G75" s="249">
        <f t="shared" si="33"/>
        <v>168.68241430545348</v>
      </c>
      <c r="H75" s="249">
        <f t="shared" si="34"/>
        <v>168.57881372500071</v>
      </c>
      <c r="I75" s="234">
        <f t="shared" si="35"/>
        <v>1</v>
      </c>
      <c r="J75" s="233">
        <f t="shared" si="57"/>
        <v>1</v>
      </c>
      <c r="K75" s="233">
        <f t="shared" si="58"/>
        <v>1</v>
      </c>
      <c r="L75" s="233">
        <f>10^('Small Signal'!F75/30)</f>
        <v>271.22725793320296</v>
      </c>
      <c r="M75" s="233" t="str">
        <f t="shared" si="36"/>
        <v>1704.17112195251i</v>
      </c>
      <c r="N75" s="233">
        <f>IF(D$31=1, IF(AND('Small Signal'!$B$61&gt;=1,FCCM=0),V75+0,S75+0), 0)</f>
        <v>8.9149112068405998</v>
      </c>
      <c r="O75" s="233">
        <f>IF(D$31=1, IF(AND('Small Signal'!$B$61&gt;=1,FCCM=0),W75,T75), 0)</f>
        <v>-1.8506499283265077</v>
      </c>
      <c r="P75" s="233">
        <f>IF(AND('Small Signal'!$B$61&gt;=1,FCCM=0),AF75+0,AC75+0)</f>
        <v>38.516779402390625</v>
      </c>
      <c r="Q75" s="233">
        <f>IF(AND('Small Signal'!$B$61&gt;=1,FCCM=0),AG75,AD75)</f>
        <v>95.389527371678298</v>
      </c>
      <c r="R75" s="233" t="str">
        <f>IMDIV(IMSUM('Small Signal'!$B$2*'Small Signal'!$B$38*'Small Signal'!$B$62,IMPRODUCT(M75,'Small Signal'!$B$2*'Small Signal'!$B$38*'Small Signal'!$B$62*'Small Signal'!$B$14*'Small Signal'!$B$15)),IMSUM(IMPRODUCT('Small Signal'!$B$12*'Small Signal'!$B$14*('Small Signal'!$B$15+'Small Signal'!$B$38),IMPOWER(M75,2)),IMSUM(IMPRODUCT(M75,('Small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2.37043878126624-0.0668336712018145i</v>
      </c>
      <c r="S75" s="233">
        <f t="shared" si="59"/>
        <v>8.9149112068405998</v>
      </c>
      <c r="T75" s="233">
        <f t="shared" si="60"/>
        <v>-1.8506499283265077</v>
      </c>
      <c r="U75" s="233" t="str">
        <f>IMDIV(IMSUM('Small Signal'!$B$74,IMPRODUCT(M75,'Small Signal'!$B$75)),IMSUM(IMPRODUCT('Small Signal'!$B$78,IMPOWER(M75,2)),IMSUM(IMPRODUCT(M75,'Small Signal'!$B$77),'Small Signal'!$B$76)))</f>
        <v>1.68170902835528-0.0492699811230324i</v>
      </c>
      <c r="V75" s="233">
        <f t="shared" si="37"/>
        <v>4.518743270799189</v>
      </c>
      <c r="W75" s="233">
        <f t="shared" si="38"/>
        <v>-1.6781468429878579</v>
      </c>
      <c r="X75" s="233" t="str">
        <f>IMPRODUCT(IMDIV(IMSUM(IMPRODUCT(M75,'Small Signal'!$B$57*'Small Signal'!$B$6*'Small Signal'!$B$50*'Small Signal'!$B$7*'Small Signal'!$B$8),'Small Signal'!$B$57*'Small Signal'!$B$6*'Small Signal'!$B$50),IMSUM(IMSUM(IMPRODUCT(M75,('Small Signal'!$B$5+'Small Signal'!$B$6)*('Small Signal'!$B$56*'Small Signal'!$B$57)+'Small Signal'!$B$5*'Small Signal'!$B$57*('Small Signal'!$B$8+'Small Signal'!$B$9)+'Small Signal'!$B$6*'Small Signal'!$B$57*('Small Signal'!$B$8+'Small Signal'!$B$9)+'Small Signal'!$B$7*'Small Signal'!$B$8*('Small Signal'!$B$5+'Small Signal'!$B$6)),'Small Signal'!$B$6+'Small Signal'!$B$5),IMPRODUCT(IMPOWER(M75,2),'Small Signal'!$B$56*'Small Signal'!$B$57*'Small Signal'!$B$8*'Small Signal'!$B$7*('Small Signal'!$B$5+'Small Signal'!$B$6)+('Small Signal'!$B$5+'Small Signal'!$B$6)*('Small Signal'!$B$9*'Small Signal'!$B$8*'Small Signal'!$B$57*'Small Signal'!$B$7)))),-1)</f>
        <v>-3.74944214093334+29.9722574014223i</v>
      </c>
      <c r="Y75" s="233">
        <f t="shared" si="39"/>
        <v>29.601868195550022</v>
      </c>
      <c r="Z75" s="233">
        <f t="shared" si="40"/>
        <v>97.240177300004802</v>
      </c>
      <c r="AA75" s="233" t="str">
        <f t="shared" si="41"/>
        <v>1.00000294157418+0.00191435190860491i</v>
      </c>
      <c r="AB75" s="233" t="str">
        <f t="shared" si="42"/>
        <v>-7.91819831788744+83.9295244889248i</v>
      </c>
      <c r="AC75" s="230">
        <f t="shared" si="43"/>
        <v>38.516779402390625</v>
      </c>
      <c r="AD75" s="233">
        <f t="shared" si="44"/>
        <v>95.389527371678298</v>
      </c>
      <c r="AE75" s="233" t="str">
        <f t="shared" si="45"/>
        <v>-4.8287381433206+50.5893508156659i</v>
      </c>
      <c r="AF75" s="230">
        <f t="shared" si="46"/>
        <v>34.120570000543267</v>
      </c>
      <c r="AG75" s="233">
        <f t="shared" si="47"/>
        <v>95.452346628781356</v>
      </c>
      <c r="AI75" s="233" t="str">
        <f t="shared" si="48"/>
        <v>0.002-5.9452434845649i</v>
      </c>
      <c r="AJ75" s="233">
        <f t="shared" si="49"/>
        <v>0.33750000000000002</v>
      </c>
      <c r="AK75" s="233" t="str">
        <f t="shared" si="50"/>
        <v>0.15-5867.95531926557i</v>
      </c>
      <c r="AL75" s="233" t="str">
        <f t="shared" si="51"/>
        <v>0.336407287477111-0.0191161740159805i</v>
      </c>
      <c r="AM75" s="233" t="str">
        <f t="shared" si="52"/>
        <v>0.366666643150791-0.0000928573489773055i</v>
      </c>
      <c r="AN75" s="233" t="str">
        <f t="shared" si="53"/>
        <v>0.005+0.00170417112195251i</v>
      </c>
      <c r="AO75" s="233" t="str">
        <f t="shared" si="54"/>
        <v>2.78945252476923-0.0901304801128701i</v>
      </c>
      <c r="AP75" s="233">
        <f t="shared" si="61"/>
        <v>8.9149112068405998</v>
      </c>
      <c r="AQ75" s="233">
        <f t="shared" si="62"/>
        <v>-1.8506499283265077</v>
      </c>
      <c r="AS75" s="233" t="str">
        <f t="shared" si="55"/>
        <v>0.378068713992276-0.0000987222300910012i</v>
      </c>
      <c r="AT75" s="233" t="str">
        <f t="shared" si="56"/>
        <v>2.8306043253682-0.092568865196785i</v>
      </c>
      <c r="AU75" s="233">
        <f t="shared" si="63"/>
        <v>9.0422255180759024</v>
      </c>
      <c r="AV75" s="233">
        <f t="shared" si="64"/>
        <v>-1.873068478195953</v>
      </c>
    </row>
    <row r="76" spans="1:48" x14ac:dyDescent="0.25">
      <c r="A76" s="236" t="s">
        <v>64</v>
      </c>
      <c r="B76" s="239">
        <f>B12*B72*B11-B62*B69*B72*B53*B68</f>
        <v>2123703.8701281641</v>
      </c>
      <c r="C76" s="238"/>
      <c r="D76" s="244"/>
      <c r="F76" s="233">
        <v>74</v>
      </c>
      <c r="G76" s="249">
        <f t="shared" si="33"/>
        <v>168.69067895096694</v>
      </c>
      <c r="H76" s="249">
        <f t="shared" si="34"/>
        <v>168.57881372500071</v>
      </c>
      <c r="I76" s="234">
        <f t="shared" si="35"/>
        <v>1</v>
      </c>
      <c r="J76" s="233">
        <f t="shared" si="57"/>
        <v>1</v>
      </c>
      <c r="K76" s="233">
        <f t="shared" si="58"/>
        <v>1</v>
      </c>
      <c r="L76" s="233">
        <f>10^('Small Signal'!F76/30)</f>
        <v>292.86445646252383</v>
      </c>
      <c r="M76" s="233" t="str">
        <f t="shared" si="36"/>
        <v>1840.12164984047i</v>
      </c>
      <c r="N76" s="233">
        <f>IF(D$31=1, IF(AND('Small Signal'!$B$61&gt;=1,FCCM=0),V76+0,S76+0), 0)</f>
        <v>8.9143429787300228</v>
      </c>
      <c r="O76" s="233">
        <f>IF(D$31=1, IF(AND('Small Signal'!$B$61&gt;=1,FCCM=0),W76,T76), 0)</f>
        <v>-1.9982128067695846</v>
      </c>
      <c r="P76" s="233">
        <f>IF(AND('Small Signal'!$B$61&gt;=1,FCCM=0),AF76+0,AC76+0)</f>
        <v>37.854779652793923</v>
      </c>
      <c r="Q76" s="233">
        <f>IF(AND('Small Signal'!$B$61&gt;=1,FCCM=0),AG76,AD76)</f>
        <v>95.22297963922631</v>
      </c>
      <c r="R76" s="233" t="str">
        <f>IMDIV(IMSUM('Small Signal'!$B$2*'Small Signal'!$B$38*'Small Signal'!$B$62,IMPRODUCT(M76,'Small Signal'!$B$2*'Small Signal'!$B$38*'Small Signal'!$B$62*'Small Signal'!$B$14*'Small Signal'!$B$15)),IMSUM(IMPRODUCT('Small Signal'!$B$12*'Small Signal'!$B$14*('Small Signal'!$B$15+'Small Signal'!$B$38),IMPOWER(M76,2)),IMSUM(IMPRODUCT(M76,('Small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2.37018525382096-0.0721594354615648i</v>
      </c>
      <c r="S76" s="233">
        <f t="shared" si="59"/>
        <v>8.9143429787300228</v>
      </c>
      <c r="T76" s="233">
        <f t="shared" si="60"/>
        <v>-1.9982128067695846</v>
      </c>
      <c r="U76" s="233" t="str">
        <f>IMDIV(IMSUM('Small Signal'!$B$74,IMPRODUCT(M76,'Small Signal'!$B$75)),IMSUM(IMPRODUCT('Small Signal'!$B$78,IMPOWER(M76,2)),IMSUM(IMPRODUCT(M76,'Small Signal'!$B$77),'Small Signal'!$B$76)))</f>
        <v>1.68152667156369-0.0531965574748571i</v>
      </c>
      <c r="V76" s="233">
        <f t="shared" si="37"/>
        <v>4.5184195735439099</v>
      </c>
      <c r="W76" s="233">
        <f t="shared" si="38"/>
        <v>-1.8119974358852791</v>
      </c>
      <c r="X76" s="233" t="str">
        <f>IMPRODUCT(IMDIV(IMSUM(IMPRODUCT(M76,'Small Signal'!$B$57*'Small Signal'!$B$6*'Small Signal'!$B$50*'Small Signal'!$B$7*'Small Signal'!$B$8),'Small Signal'!$B$57*'Small Signal'!$B$6*'Small Signal'!$B$50),IMSUM(IMSUM(IMPRODUCT(M76,('Small Signal'!$B$5+'Small Signal'!$B$6)*('Small Signal'!$B$56*'Small Signal'!$B$57)+'Small Signal'!$B$5*'Small Signal'!$B$57*('Small Signal'!$B$8+'Small Signal'!$B$9)+'Small Signal'!$B$6*'Small Signal'!$B$57*('Small Signal'!$B$8+'Small Signal'!$B$9)+'Small Signal'!$B$7*'Small Signal'!$B$8*('Small Signal'!$B$5+'Small Signal'!$B$6)),'Small Signal'!$B$6+'Small Signal'!$B$5),IMPRODUCT(IMPOWER(M76,2),'Small Signal'!$B$56*'Small Signal'!$B$57*'Small Signal'!$B$8*'Small Signal'!$B$7*('Small Signal'!$B$5+'Small Signal'!$B$6)+('Small Signal'!$B$5+'Small Signal'!$B$6)*('Small Signal'!$B$9*'Small Signal'!$B$8*'Small Signal'!$B$57*'Small Signal'!$B$7)))),-1)</f>
        <v>-3.46107430597311+27.7762607572219i</v>
      </c>
      <c r="Y76" s="233">
        <f t="shared" si="39"/>
        <v>28.940436674063907</v>
      </c>
      <c r="Z76" s="233">
        <f t="shared" si="40"/>
        <v>97.221192445995896</v>
      </c>
      <c r="AA76" s="233" t="str">
        <f t="shared" si="41"/>
        <v>1.00000342962235+0.00206706883311045i</v>
      </c>
      <c r="AB76" s="233" t="str">
        <f t="shared" si="42"/>
        <v>-7.11103853053007+77.7914782571422i</v>
      </c>
      <c r="AC76" s="230">
        <f t="shared" si="43"/>
        <v>37.854779652793923</v>
      </c>
      <c r="AD76" s="233">
        <f t="shared" si="44"/>
        <v>95.22297963922631</v>
      </c>
      <c r="AE76" s="233" t="str">
        <f t="shared" si="45"/>
        <v>-4.3422873059494+46.8906405378189i</v>
      </c>
      <c r="AF76" s="230">
        <f t="shared" si="46"/>
        <v>33.458807902084786</v>
      </c>
      <c r="AG76" s="233">
        <f t="shared" si="47"/>
        <v>95.290761264872799</v>
      </c>
      <c r="AI76" s="233" t="str">
        <f t="shared" si="48"/>
        <v>0.002-5.50600133434125i</v>
      </c>
      <c r="AJ76" s="233">
        <f t="shared" si="49"/>
        <v>0.33750000000000002</v>
      </c>
      <c r="AK76" s="233" t="str">
        <f t="shared" si="50"/>
        <v>0.15-5434.4233169948i</v>
      </c>
      <c r="AL76" s="233" t="str">
        <f t="shared" si="51"/>
        <v>0.336226678775695-0.0206300224145278i</v>
      </c>
      <c r="AM76" s="233" t="str">
        <f t="shared" si="52"/>
        <v>0.366666639249169-0.000100265057998392i</v>
      </c>
      <c r="AN76" s="233" t="str">
        <f t="shared" si="53"/>
        <v>0.005+0.00184012164984047i</v>
      </c>
      <c r="AO76" s="233" t="str">
        <f t="shared" si="54"/>
        <v>2.789028683231-0.0973079252433457i</v>
      </c>
      <c r="AP76" s="233">
        <f t="shared" si="61"/>
        <v>8.9143429787300228</v>
      </c>
      <c r="AQ76" s="233">
        <f t="shared" si="62"/>
        <v>-1.9982128067695846</v>
      </c>
      <c r="AS76" s="233" t="str">
        <f t="shared" si="55"/>
        <v>0.378068709715237-0.000106597810815939i</v>
      </c>
      <c r="AT76" s="233" t="str">
        <f t="shared" si="56"/>
        <v>2.83016122233015-0.0999399904140181i</v>
      </c>
      <c r="AU76" s="233">
        <f t="shared" si="63"/>
        <v>9.0416356743373978</v>
      </c>
      <c r="AV76" s="233">
        <f t="shared" si="64"/>
        <v>-2.0224152885083351</v>
      </c>
    </row>
    <row r="77" spans="1:48" x14ac:dyDescent="0.25">
      <c r="A77" s="236" t="s">
        <v>65</v>
      </c>
      <c r="B77" s="239">
        <f>B12*B72*B11*B70-B68*B62*B69*B53</f>
        <v>36.921712742331508</v>
      </c>
      <c r="C77" s="238"/>
      <c r="D77" s="244"/>
      <c r="F77" s="233">
        <v>75</v>
      </c>
      <c r="G77" s="249">
        <f t="shared" si="33"/>
        <v>168.69960288205533</v>
      </c>
      <c r="H77" s="249">
        <f t="shared" si="34"/>
        <v>168.57881372500071</v>
      </c>
      <c r="I77" s="234">
        <f t="shared" si="35"/>
        <v>1</v>
      </c>
      <c r="J77" s="233">
        <f t="shared" si="57"/>
        <v>1</v>
      </c>
      <c r="K77" s="233">
        <f t="shared" si="58"/>
        <v>1</v>
      </c>
      <c r="L77" s="233">
        <f>10^('Small Signal'!F77/30)</f>
        <v>316.22776601683825</v>
      </c>
      <c r="M77" s="233" t="str">
        <f t="shared" si="36"/>
        <v>1986.91765315922i</v>
      </c>
      <c r="N77" s="233">
        <f>IF(D$31=1, IF(AND('Small Signal'!$B$61&gt;=1,FCCM=0),V77+0,S77+0), 0)</f>
        <v>8.9136805622109136</v>
      </c>
      <c r="O77" s="233">
        <f>IF(D$31=1, IF(AND('Small Signal'!$B$61&gt;=1,FCCM=0),W77,T77), 0)</f>
        <v>-2.1575286461868948</v>
      </c>
      <c r="P77" s="233">
        <f>IF(AND('Small Signal'!$B$61&gt;=1,FCCM=0),AF77+0,AC77+0)</f>
        <v>37.192680134440899</v>
      </c>
      <c r="Q77" s="233">
        <f>IF(AND('Small Signal'!$B$61&gt;=1,FCCM=0),AG77,AD77)</f>
        <v>95.086799064797233</v>
      </c>
      <c r="R77" s="233" t="str">
        <f>IMDIV(IMSUM('Small Signal'!$B$2*'Small Signal'!$B$38*'Small Signal'!$B$62,IMPRODUCT(M77,'Small Signal'!$B$2*'Small Signal'!$B$38*'Small Signal'!$B$62*'Small Signal'!$B$14*'Small Signal'!$B$15)),IMSUM(IMPRODUCT('Small Signal'!$B$12*'Small Signal'!$B$14*('Small Signal'!$B$15+'Small Signal'!$B$38),IMPOWER(M77,2)),IMSUM(IMPRODUCT(M77,('Small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2.3698897109059-0.0779085362522567i</v>
      </c>
      <c r="S77" s="233">
        <f t="shared" si="59"/>
        <v>8.9136805622109136</v>
      </c>
      <c r="T77" s="233">
        <f t="shared" si="60"/>
        <v>-2.1575286461868948</v>
      </c>
      <c r="U77" s="233" t="str">
        <f>IMDIV(IMSUM('Small Signal'!$B$74,IMPRODUCT(M77,'Small Signal'!$B$75)),IMSUM(IMPRODUCT('Small Signal'!$B$78,IMPOWER(M77,2)),IMSUM(IMPRODUCT(M77,'Small Signal'!$B$77),'Small Signal'!$B$76)))</f>
        <v>1.68131408812366-0.0574353564084018i</v>
      </c>
      <c r="V77" s="233">
        <f t="shared" si="37"/>
        <v>4.518042186888338</v>
      </c>
      <c r="W77" s="233">
        <f t="shared" si="38"/>
        <v>-1.9565198094107819</v>
      </c>
      <c r="X77" s="233" t="str">
        <f>IMPRODUCT(IMDIV(IMSUM(IMPRODUCT(M77,'Small Signal'!$B$57*'Small Signal'!$B$6*'Small Signal'!$B$50*'Small Signal'!$B$7*'Small Signal'!$B$8),'Small Signal'!$B$57*'Small Signal'!$B$6*'Small Signal'!$B$50),IMSUM(IMSUM(IMPRODUCT(M77,('Small Signal'!$B$5+'Small Signal'!$B$6)*('Small Signal'!$B$56*'Small Signal'!$B$57)+'Small Signal'!$B$5*'Small Signal'!$B$57*('Small Signal'!$B$8+'Small Signal'!$B$9)+'Small Signal'!$B$6*'Small Signal'!$B$57*('Small Signal'!$B$8+'Small Signal'!$B$9)+'Small Signal'!$B$7*'Small Signal'!$B$8*('Small Signal'!$B$5+'Small Signal'!$B$6)),'Small Signal'!$B$6+'Small Signal'!$B$5),IMPRODUCT(IMPOWER(M77,2),'Small Signal'!$B$56*'Small Signal'!$B$57*'Small Signal'!$B$8*'Small Signal'!$B$7*('Small Signal'!$B$5+'Small Signal'!$B$6)+('Small Signal'!$B$5+'Small Signal'!$B$6)*('Small Signal'!$B$9*'Small Signal'!$B$8*'Small Signal'!$B$57*'Small Signal'!$B$7)))),-1)</f>
        <v>-3.21344204946489+25.7388171253845i</v>
      </c>
      <c r="Y77" s="233">
        <f t="shared" si="39"/>
        <v>28.278999572229978</v>
      </c>
      <c r="Z77" s="233">
        <f t="shared" si="40"/>
        <v>97.244327710984138</v>
      </c>
      <c r="AA77" s="233" t="str">
        <f t="shared" si="41"/>
        <v>1.00000399864427+0.00223196856539312i</v>
      </c>
      <c r="AB77" s="233" t="str">
        <f t="shared" si="42"/>
        <v>-6.4177867032292+72.0974939900569i</v>
      </c>
      <c r="AC77" s="230">
        <f t="shared" si="43"/>
        <v>37.192680134440899</v>
      </c>
      <c r="AD77" s="233">
        <f t="shared" si="44"/>
        <v>95.086799064797233</v>
      </c>
      <c r="AE77" s="233" t="str">
        <f t="shared" si="45"/>
        <v>-3.92448725400715+43.4596010339562i</v>
      </c>
      <c r="AF77" s="230">
        <f t="shared" si="46"/>
        <v>32.796985392454509</v>
      </c>
      <c r="AG77" s="233">
        <f t="shared" si="47"/>
        <v>95.159926246477895</v>
      </c>
      <c r="AI77" s="233" t="str">
        <f t="shared" si="48"/>
        <v>0.002-5.09921095283557i</v>
      </c>
      <c r="AJ77" s="233">
        <f t="shared" si="49"/>
        <v>0.33750000000000002</v>
      </c>
      <c r="AK77" s="233" t="str">
        <f t="shared" si="50"/>
        <v>0.15-5032.9212104487i</v>
      </c>
      <c r="AL77" s="233" t="str">
        <f t="shared" si="51"/>
        <v>0.336016350648848-0.0222617683526613i</v>
      </c>
      <c r="AM77" s="233" t="str">
        <f t="shared" si="52"/>
        <v>0.366666634700212-0.000108263717932864i</v>
      </c>
      <c r="AN77" s="233" t="str">
        <f t="shared" si="53"/>
        <v>0.005+0.00198691765315922i</v>
      </c>
      <c r="AO77" s="233" t="str">
        <f t="shared" si="54"/>
        <v>2.7885346570504-0.10505466089699i</v>
      </c>
      <c r="AP77" s="233">
        <f t="shared" si="61"/>
        <v>8.9136805622109136</v>
      </c>
      <c r="AQ77" s="233">
        <f t="shared" si="62"/>
        <v>-2.1575286461868948</v>
      </c>
      <c r="AS77" s="233" t="str">
        <f t="shared" si="55"/>
        <v>0.378068704728576-0.000115101666959387i</v>
      </c>
      <c r="AT77" s="233" t="str">
        <f t="shared" si="56"/>
        <v>2.82964475090048-0.107895639361752i</v>
      </c>
      <c r="AU77" s="233">
        <f t="shared" si="63"/>
        <v>9.0409480633209345</v>
      </c>
      <c r="AV77" s="233">
        <f t="shared" si="64"/>
        <v>-2.183656206696122</v>
      </c>
    </row>
    <row r="78" spans="1:48" x14ac:dyDescent="0.25">
      <c r="A78" s="236" t="s">
        <v>66</v>
      </c>
      <c r="B78" s="239">
        <f>B12*B72*B11*B71</f>
        <v>1.5661564269238835E-4</v>
      </c>
      <c r="C78" s="238"/>
      <c r="D78" s="244"/>
      <c r="F78" s="233">
        <v>76</v>
      </c>
      <c r="G78" s="249">
        <f t="shared" si="33"/>
        <v>168.70923868611831</v>
      </c>
      <c r="H78" s="249">
        <f t="shared" si="34"/>
        <v>168.57881372500071</v>
      </c>
      <c r="I78" s="234">
        <f t="shared" si="35"/>
        <v>1</v>
      </c>
      <c r="J78" s="233">
        <f t="shared" si="57"/>
        <v>1</v>
      </c>
      <c r="K78" s="233">
        <f t="shared" si="58"/>
        <v>1</v>
      </c>
      <c r="L78" s="233">
        <f>10^('Small Signal'!F78/30)</f>
        <v>341.4548873833603</v>
      </c>
      <c r="M78" s="233" t="str">
        <f t="shared" si="36"/>
        <v>2145.42433147179i</v>
      </c>
      <c r="N78" s="233">
        <f>IF(D$31=1, IF(AND('Small Signal'!$B$61&gt;=1,FCCM=0),V78+0,S78+0), 0)</f>
        <v>8.9129083619511977</v>
      </c>
      <c r="O78" s="233">
        <f>IF(D$31=1, IF(AND('Small Signal'!$B$61&gt;=1,FCCM=0),W78,T78), 0)</f>
        <v>-2.3295301564999358</v>
      </c>
      <c r="P78" s="233">
        <f>IF(AND('Small Signal'!$B$61&gt;=1,FCCM=0),AF78+0,AC78+0)</f>
        <v>36.530587257760835</v>
      </c>
      <c r="Q78" s="233">
        <f>IF(AND('Small Signal'!$B$61&gt;=1,FCCM=0),AG78,AD78)</f>
        <v>94.980178962649191</v>
      </c>
      <c r="R78" s="233" t="str">
        <f>IMDIV(IMSUM('Small Signal'!$B$2*'Small Signal'!$B$38*'Small Signal'!$B$62,IMPRODUCT(M78,'Small Signal'!$B$2*'Small Signal'!$B$38*'Small Signal'!$B$62*'Small Signal'!$B$14*'Small Signal'!$B$15)),IMSUM(IMPRODUCT('Small Signal'!$B$12*'Small Signal'!$B$14*('Small Signal'!$B$15+'Small Signal'!$B$38),IMPOWER(M78,2)),IMSUM(IMPRODUCT(M78,('Small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2.36954519891993-0.0841143504427807i</v>
      </c>
      <c r="S78" s="233">
        <f t="shared" si="59"/>
        <v>8.9129083619511977</v>
      </c>
      <c r="T78" s="233">
        <f t="shared" si="60"/>
        <v>-2.3295301564999358</v>
      </c>
      <c r="U78" s="233" t="str">
        <f>IMDIV(IMSUM('Small Signal'!$B$74,IMPRODUCT(M78,'Small Signal'!$B$75)),IMSUM(IMPRODUCT('Small Signal'!$B$78,IMPOWER(M78,2)),IMSUM(IMPRODUCT(M78,'Small Signal'!$B$77),'Small Signal'!$B$76)))</f>
        <v>1.68106627340169-0.0620110215390057i</v>
      </c>
      <c r="V78" s="233">
        <f t="shared" si="37"/>
        <v>4.5176022089636394</v>
      </c>
      <c r="W78" s="233">
        <f t="shared" si="38"/>
        <v>-2.1125637092404026</v>
      </c>
      <c r="X78" s="233" t="str">
        <f>IMPRODUCT(IMDIV(IMSUM(IMPRODUCT(M78,'Small Signal'!$B$57*'Small Signal'!$B$6*'Small Signal'!$B$50*'Small Signal'!$B$7*'Small Signal'!$B$8),'Small Signal'!$B$57*'Small Signal'!$B$6*'Small Signal'!$B$50),IMSUM(IMSUM(IMPRODUCT(M78,('Small Signal'!$B$5+'Small Signal'!$B$6)*('Small Signal'!$B$56*'Small Signal'!$B$57)+'Small Signal'!$B$5*'Small Signal'!$B$57*('Small Signal'!$B$8+'Small Signal'!$B$9)+'Small Signal'!$B$6*'Small Signal'!$B$57*('Small Signal'!$B$8+'Small Signal'!$B$9)+'Small Signal'!$B$7*'Small Signal'!$B$8*('Small Signal'!$B$5+'Small Signal'!$B$6)),'Small Signal'!$B$6+'Small Signal'!$B$5),IMPRODUCT(IMPOWER(M78,2),'Small Signal'!$B$56*'Small Signal'!$B$57*'Small Signal'!$B$8*'Small Signal'!$B$7*('Small Signal'!$B$5+'Small Signal'!$B$6)+('Small Signal'!$B$5+'Small Signal'!$B$6)*('Small Signal'!$B$9*'Small Signal'!$B$8*'Small Signal'!$B$57*'Small Signal'!$B$7)))),-1)</f>
        <v>-3.00082751840057+23.8489717861566i</v>
      </c>
      <c r="Y78" s="233">
        <f t="shared" si="39"/>
        <v>27.617678895809636</v>
      </c>
      <c r="Z78" s="233">
        <f t="shared" si="40"/>
        <v>97.309709119149133</v>
      </c>
      <c r="AA78" s="233" t="str">
        <f t="shared" si="41"/>
        <v>1.00000466207445+0.00241002293663364i</v>
      </c>
      <c r="AB78" s="233" t="str">
        <f t="shared" si="42"/>
        <v>-5.82243541918913+66.8169591727778i</v>
      </c>
      <c r="AC78" s="230">
        <f t="shared" si="43"/>
        <v>36.530587257760835</v>
      </c>
      <c r="AD78" s="233">
        <f t="shared" si="44"/>
        <v>94.980178962649191</v>
      </c>
      <c r="AE78" s="233" t="str">
        <f t="shared" si="45"/>
        <v>-3.56569083036439+40.2777865048947i</v>
      </c>
      <c r="AF78" s="230">
        <f t="shared" si="46"/>
        <v>32.135215386174025</v>
      </c>
      <c r="AG78" s="233">
        <f t="shared" si="47"/>
        <v>95.059062178201373</v>
      </c>
      <c r="AI78" s="233" t="str">
        <f t="shared" si="48"/>
        <v>0.002-4.72247476210048i</v>
      </c>
      <c r="AJ78" s="233">
        <f t="shared" si="49"/>
        <v>0.33750000000000002</v>
      </c>
      <c r="AK78" s="233" t="str">
        <f t="shared" si="50"/>
        <v>0.15-4661.08259019318i</v>
      </c>
      <c r="AL78" s="233" t="str">
        <f t="shared" si="51"/>
        <v>0.335771460038549-0.0240200816482733i</v>
      </c>
      <c r="AM78" s="233" t="str">
        <f t="shared" si="52"/>
        <v>0.366666629396516-0.000116900471914238i</v>
      </c>
      <c r="AN78" s="233" t="str">
        <f t="shared" si="53"/>
        <v>0.005+0.00214542433147179i</v>
      </c>
      <c r="AO78" s="233" t="str">
        <f t="shared" si="54"/>
        <v>2.78795885065128-0.113415252173343i</v>
      </c>
      <c r="AP78" s="233">
        <f t="shared" si="61"/>
        <v>8.9129083619511977</v>
      </c>
      <c r="AQ78" s="233">
        <f t="shared" si="62"/>
        <v>-2.3295301564999358</v>
      </c>
      <c r="AS78" s="233" t="str">
        <f t="shared" si="55"/>
        <v>0.378068698914556-0.000124283919213997i</v>
      </c>
      <c r="AT78" s="233" t="str">
        <f t="shared" si="56"/>
        <v>2.82904279157835-0.116481536242222i</v>
      </c>
      <c r="AU78" s="233">
        <f t="shared" si="63"/>
        <v>9.0401464985898592</v>
      </c>
      <c r="AV78" s="233">
        <f t="shared" si="64"/>
        <v>-2.357734901400049</v>
      </c>
    </row>
    <row r="79" spans="1:48" x14ac:dyDescent="0.25">
      <c r="A79" s="236"/>
      <c r="B79" s="238"/>
      <c r="C79" s="238"/>
      <c r="D79" s="244"/>
      <c r="F79" s="233">
        <v>77</v>
      </c>
      <c r="G79" s="249">
        <f t="shared" si="33"/>
        <v>168.71964314385593</v>
      </c>
      <c r="H79" s="249">
        <f t="shared" si="34"/>
        <v>168.57881372500071</v>
      </c>
      <c r="I79" s="234">
        <f t="shared" si="35"/>
        <v>1</v>
      </c>
      <c r="J79" s="233">
        <f t="shared" si="57"/>
        <v>1</v>
      </c>
      <c r="K79" s="233">
        <f t="shared" si="58"/>
        <v>1</v>
      </c>
      <c r="L79" s="233">
        <f>10^('Small Signal'!F79/30)</f>
        <v>368.69450645195781</v>
      </c>
      <c r="M79" s="233" t="str">
        <f t="shared" si="36"/>
        <v>2316.57590577677i</v>
      </c>
      <c r="N79" s="233">
        <f>IF(D$31=1, IF(AND('Small Signal'!$B$61&gt;=1,FCCM=0),V79+0,S79+0), 0)</f>
        <v>8.9120082065643054</v>
      </c>
      <c r="O79" s="233">
        <f>IF(D$31=1, IF(AND('Small Signal'!$B$61&gt;=1,FCCM=0),W79,T79), 0)</f>
        <v>-2.5152231933099012</v>
      </c>
      <c r="P79" s="233">
        <f>IF(AND('Small Signal'!$B$61&gt;=1,FCCM=0),AF79+0,AC79+0)</f>
        <v>35.868607475971352</v>
      </c>
      <c r="Q79" s="233">
        <f>IF(AND('Small Signal'!$B$61&gt;=1,FCCM=0),AG79,AD79)</f>
        <v>94.902464788878973</v>
      </c>
      <c r="R79" s="233" t="str">
        <f>IMDIV(IMSUM('Small Signal'!$B$2*'Small Signal'!$B$38*'Small Signal'!$B$62,IMPRODUCT(M79,'Small Signal'!$B$2*'Small Signal'!$B$38*'Small Signal'!$B$62*'Small Signal'!$B$14*'Small Signal'!$B$15)),IMSUM(IMPRODUCT('Small Signal'!$B$12*'Small Signal'!$B$14*('Small Signal'!$B$15+'Small Signal'!$B$38),IMPOWER(M79,2)),IMSUM(IMPRODUCT(M79,('Small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2.36914361679166-0.0908128155634597i</v>
      </c>
      <c r="S79" s="233">
        <f t="shared" si="59"/>
        <v>8.9120082065643054</v>
      </c>
      <c r="T79" s="233">
        <f t="shared" si="60"/>
        <v>-2.5152231933099012</v>
      </c>
      <c r="U79" s="233" t="str">
        <f>IMDIV(IMSUM('Small Signal'!$B$74,IMPRODUCT(M79,'Small Signal'!$B$75)),IMSUM(IMPRODUCT('Small Signal'!$B$78,IMPOWER(M79,2)),IMSUM(IMPRODUCT(M79,'Small Signal'!$B$77),'Small Signal'!$B$76)))</f>
        <v>1.68077739615741-0.0669500942114332i</v>
      </c>
      <c r="V79" s="233">
        <f t="shared" si="37"/>
        <v>4.5170892630989421</v>
      </c>
      <c r="W79" s="233">
        <f t="shared" si="38"/>
        <v>-2.281046256413414</v>
      </c>
      <c r="X79" s="233" t="str">
        <f>IMPRODUCT(IMDIV(IMSUM(IMPRODUCT(M79,'Small Signal'!$B$57*'Small Signal'!$B$6*'Small Signal'!$B$50*'Small Signal'!$B$7*'Small Signal'!$B$8),'Small Signal'!$B$57*'Small Signal'!$B$6*'Small Signal'!$B$50),IMSUM(IMSUM(IMPRODUCT(M79,('Small Signal'!$B$5+'Small Signal'!$B$6)*('Small Signal'!$B$56*'Small Signal'!$B$57)+'Small Signal'!$B$5*'Small Signal'!$B$57*('Small Signal'!$B$8+'Small Signal'!$B$9)+'Small Signal'!$B$6*'Small Signal'!$B$57*('Small Signal'!$B$8+'Small Signal'!$B$9)+'Small Signal'!$B$7*'Small Signal'!$B$8*('Small Signal'!$B$5+'Small Signal'!$B$6)),'Small Signal'!$B$6+'Small Signal'!$B$5),IMPRODUCT(IMPOWER(M79,2),'Small Signal'!$B$56*'Small Signal'!$B$57*'Small Signal'!$B$8*'Small Signal'!$B$7*('Small Signal'!$B$5+'Small Signal'!$B$6)+('Small Signal'!$B$5+'Small Signal'!$B$6)*('Small Signal'!$B$9*'Small Signal'!$B$8*'Small Signal'!$B$57*'Small Signal'!$B$7)))),-1)</f>
        <v>-2.81830578437258+22.0964254250779i</v>
      </c>
      <c r="Y79" s="233">
        <f t="shared" si="39"/>
        <v>26.956599269407054</v>
      </c>
      <c r="Z79" s="233">
        <f t="shared" si="40"/>
        <v>97.417687982188866</v>
      </c>
      <c r="AA79" s="233" t="str">
        <f t="shared" si="41"/>
        <v>1.00000543557637+0.00260228129194674i</v>
      </c>
      <c r="AB79" s="233" t="str">
        <f t="shared" si="42"/>
        <v>-5.31119402710658+61.9210976816818i</v>
      </c>
      <c r="AC79" s="230">
        <f t="shared" si="43"/>
        <v>35.868607475971352</v>
      </c>
      <c r="AD79" s="233">
        <f t="shared" si="44"/>
        <v>94.902464788878973</v>
      </c>
      <c r="AE79" s="233" t="str">
        <f t="shared" si="45"/>
        <v>-3.25758689388824+37.3278582281292i</v>
      </c>
      <c r="AF79" s="230">
        <f t="shared" si="46"/>
        <v>31.473611910388431</v>
      </c>
      <c r="AG79" s="233">
        <f t="shared" si="47"/>
        <v>94.987543137634034</v>
      </c>
      <c r="AI79" s="233" t="str">
        <f t="shared" si="48"/>
        <v>0.002-4.37357232029683i</v>
      </c>
      <c r="AJ79" s="233">
        <f t="shared" si="49"/>
        <v>0.33750000000000002</v>
      </c>
      <c r="AK79" s="233" t="str">
        <f t="shared" si="50"/>
        <v>0.15-4316.71588013297i</v>
      </c>
      <c r="AL79" s="233" t="str">
        <f t="shared" si="51"/>
        <v>0.335486391544003-0.0259141368579131i</v>
      </c>
      <c r="AM79" s="233" t="str">
        <f t="shared" si="52"/>
        <v>0.366666623212863-0.000126226223908638i</v>
      </c>
      <c r="AN79" s="233" t="str">
        <f t="shared" si="53"/>
        <v>0.005+0.00231657590577677i</v>
      </c>
      <c r="AO79" s="233" t="str">
        <f t="shared" si="54"/>
        <v>2.78728776216819-0.122437600199449i</v>
      </c>
      <c r="AP79" s="233">
        <f t="shared" si="61"/>
        <v>8.9120082065643054</v>
      </c>
      <c r="AQ79" s="233">
        <f t="shared" si="62"/>
        <v>-2.5152231933099012</v>
      </c>
      <c r="AS79" s="233" t="str">
        <f t="shared" si="55"/>
        <v>0.378068692135906-0.000134198686637879i</v>
      </c>
      <c r="AT79" s="233" t="str">
        <f t="shared" si="56"/>
        <v>2.82834123318758-0.125746819325438i</v>
      </c>
      <c r="AU79" s="233">
        <f t="shared" si="63"/>
        <v>9.0392121205410483</v>
      </c>
      <c r="AV79" s="233">
        <f t="shared" si="64"/>
        <v>-2.545668983511598</v>
      </c>
    </row>
    <row r="80" spans="1:48" x14ac:dyDescent="0.25">
      <c r="A80" s="236" t="s">
        <v>326</v>
      </c>
      <c r="B80" s="233">
        <f>1+Se_ss/Sn</f>
        <v>3.1538461538461542</v>
      </c>
      <c r="C80" s="238"/>
      <c r="D80" s="244"/>
      <c r="F80" s="233">
        <v>78</v>
      </c>
      <c r="G80" s="249">
        <f t="shared" si="33"/>
        <v>168.73087756330642</v>
      </c>
      <c r="H80" s="249">
        <f t="shared" si="34"/>
        <v>168.57881372500071</v>
      </c>
      <c r="I80" s="234">
        <f t="shared" si="35"/>
        <v>1</v>
      </c>
      <c r="J80" s="233">
        <f t="shared" si="57"/>
        <v>1</v>
      </c>
      <c r="K80" s="233">
        <f t="shared" si="58"/>
        <v>1</v>
      </c>
      <c r="L80" s="233">
        <f>10^('Small Signal'!F80/30)</f>
        <v>398.10717055349761</v>
      </c>
      <c r="M80" s="233" t="str">
        <f t="shared" si="36"/>
        <v>2501.38112470457i</v>
      </c>
      <c r="N80" s="233">
        <f>IF(D$31=1, IF(AND('Small Signal'!$B$61&gt;=1,FCCM=0),V80+0,S80+0), 0)</f>
        <v>8.9109589253016779</v>
      </c>
      <c r="O80" s="233">
        <f>IF(D$31=1, IF(AND('Small Signal'!$B$61&gt;=1,FCCM=0),W80,T80), 0)</f>
        <v>-2.7156922680369999</v>
      </c>
      <c r="P80" s="233">
        <f>IF(AND('Small Signal'!$B$61&gt;=1,FCCM=0),AF80+0,AC80+0)</f>
        <v>35.206849654858907</v>
      </c>
      <c r="Q80" s="233">
        <f>IF(AND('Small Signal'!$B$61&gt;=1,FCCM=0),AG80,AD80)</f>
        <v>94.853148955345532</v>
      </c>
      <c r="R80" s="233" t="str">
        <f>IMDIV(IMSUM('Small Signal'!$B$2*'Small Signal'!$B$38*'Small Signal'!$B$62,IMPRODUCT(M80,'Small Signal'!$B$2*'Small Signal'!$B$38*'Small Signal'!$B$62*'Small Signal'!$B$14*'Small Signal'!$B$15)),IMSUM(IMPRODUCT('Small Signal'!$B$12*'Small Signal'!$B$14*('Small Signal'!$B$15+'Small Signal'!$B$38),IMPOWER(M80,2)),IMSUM(IMPRODUCT(M80,('Small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2.3686755278314-0.0980426077978029i</v>
      </c>
      <c r="S80" s="233">
        <f t="shared" si="59"/>
        <v>8.9109589253016779</v>
      </c>
      <c r="T80" s="233">
        <f t="shared" si="60"/>
        <v>-2.7156922680369999</v>
      </c>
      <c r="U80" s="233" t="str">
        <f>IMDIV(IMSUM('Small Signal'!$B$74,IMPRODUCT(M80,'Small Signal'!$B$75)),IMSUM(IMPRODUCT('Small Signal'!$B$78,IMPOWER(M80,2)),IMSUM(IMPRODUCT(M80,'Small Signal'!$B$77),'Small Signal'!$B$76)))</f>
        <v>1.68044066273678-0.072281147291076i</v>
      </c>
      <c r="V80" s="233">
        <f t="shared" si="37"/>
        <v>4.5164912539007265</v>
      </c>
      <c r="W80" s="233">
        <f t="shared" si="38"/>
        <v>-2.4629572153838613</v>
      </c>
      <c r="X80" s="233" t="str">
        <f>IMPRODUCT(IMDIV(IMSUM(IMPRODUCT(M80,'Small Signal'!$B$57*'Small Signal'!$B$6*'Small Signal'!$B$50*'Small Signal'!$B$7*'Small Signal'!$B$8),'Small Signal'!$B$57*'Small Signal'!$B$6*'Small Signal'!$B$50),IMSUM(IMSUM(IMPRODUCT(M80,('Small Signal'!$B$5+'Small Signal'!$B$6)*('Small Signal'!$B$56*'Small Signal'!$B$57)+'Small Signal'!$B$5*'Small Signal'!$B$57*('Small Signal'!$B$8+'Small Signal'!$B$9)+'Small Signal'!$B$6*'Small Signal'!$B$57*('Small Signal'!$B$8+'Small Signal'!$B$9)+'Small Signal'!$B$7*'Small Signal'!$B$8*('Small Signal'!$B$5+'Small Signal'!$B$6)),'Small Signal'!$B$6+'Small Signal'!$B$5),IMPRODUCT(IMPOWER(M80,2),'Small Signal'!$B$56*'Small Signal'!$B$57*'Small Signal'!$B$8*'Small Signal'!$B$7*('Small Signal'!$B$5+'Small Signal'!$B$6)+('Small Signal'!$B$5+'Small Signal'!$B$6)*('Small Signal'!$B$9*'Small Signal'!$B$8*'Small Signal'!$B$57*'Small Signal'!$B$7)))),-1)</f>
        <v>-2.66163744076559+20.4715168530354i</v>
      </c>
      <c r="Y80" s="233">
        <f t="shared" si="39"/>
        <v>26.295890729557229</v>
      </c>
      <c r="Z80" s="233">
        <f t="shared" si="40"/>
        <v>97.568841223382549</v>
      </c>
      <c r="AA80" s="233" t="str">
        <f t="shared" si="41"/>
        <v>1.00000633741218+0.00280987667042842i</v>
      </c>
      <c r="AB80" s="233" t="str">
        <f t="shared" si="42"/>
        <v>-4.8721878811855+57.3829216059575i</v>
      </c>
      <c r="AC80" s="230">
        <f t="shared" si="43"/>
        <v>35.206849654858907</v>
      </c>
      <c r="AD80" s="233">
        <f t="shared" si="44"/>
        <v>94.853148955345532</v>
      </c>
      <c r="AE80" s="233" t="str">
        <f t="shared" si="45"/>
        <v>-2.99301905999916+34.5935555556334i</v>
      </c>
      <c r="AF80" s="230">
        <f t="shared" si="46"/>
        <v>30.81229264882306</v>
      </c>
      <c r="AG80" s="233">
        <f t="shared" si="47"/>
        <v>94.944891377804709</v>
      </c>
      <c r="AI80" s="233" t="str">
        <f t="shared" si="48"/>
        <v>0.002-4.0504472346526i</v>
      </c>
      <c r="AJ80" s="233">
        <f t="shared" si="49"/>
        <v>0.33750000000000002</v>
      </c>
      <c r="AK80" s="233" t="str">
        <f t="shared" si="50"/>
        <v>0.15-3997.79142060212i</v>
      </c>
      <c r="AL80" s="233" t="str">
        <f t="shared" si="51"/>
        <v>0.335154640273606-0.0279536067813853i</v>
      </c>
      <c r="AM80" s="233" t="str">
        <f t="shared" si="52"/>
        <v>0.366666616003252-0.000136295938731035i</v>
      </c>
      <c r="AN80" s="233" t="str">
        <f t="shared" si="53"/>
        <v>0.005+0.00250138112470457i</v>
      </c>
      <c r="AO80" s="233" t="str">
        <f t="shared" si="54"/>
        <v>2.78650567345594-0.13217315196497i</v>
      </c>
      <c r="AP80" s="233">
        <f t="shared" si="61"/>
        <v>8.9109589253016779</v>
      </c>
      <c r="AQ80" s="233">
        <f t="shared" si="62"/>
        <v>-2.7156922680369999</v>
      </c>
      <c r="AS80" s="233" t="str">
        <f t="shared" si="55"/>
        <v>0.378068684232581-0.000144904405619432i</v>
      </c>
      <c r="AT80" s="233" t="str">
        <f t="shared" si="56"/>
        <v>2.82752364926937-0.135744253323683i</v>
      </c>
      <c r="AU80" s="233">
        <f t="shared" si="63"/>
        <v>9.0381229573290547</v>
      </c>
      <c r="AV80" s="233">
        <f t="shared" si="64"/>
        <v>-2.7485555599141231</v>
      </c>
    </row>
    <row r="81" spans="1:48" x14ac:dyDescent="0.25">
      <c r="A81" s="236" t="s">
        <v>327</v>
      </c>
      <c r="B81" s="233">
        <f>1/(Co_ss*Ro)+1/(fsw_ss*Lo_ss*Co_ss)*(mc*(1-Vo_ss/Vi_ss)-0.5)</f>
        <v>57651.830701476094</v>
      </c>
      <c r="C81" s="238"/>
      <c r="D81" s="244"/>
      <c r="F81" s="233">
        <v>79</v>
      </c>
      <c r="G81" s="249">
        <f t="shared" si="33"/>
        <v>168.74300814040646</v>
      </c>
      <c r="H81" s="249">
        <f t="shared" si="34"/>
        <v>168.57881372500071</v>
      </c>
      <c r="I81" s="234">
        <f t="shared" si="35"/>
        <v>1</v>
      </c>
      <c r="J81" s="233">
        <f t="shared" si="57"/>
        <v>1</v>
      </c>
      <c r="K81" s="233">
        <f t="shared" si="58"/>
        <v>1</v>
      </c>
      <c r="L81" s="233">
        <f>10^('Small Signal'!F81/30)</f>
        <v>429.86623470822781</v>
      </c>
      <c r="M81" s="233" t="str">
        <f t="shared" si="36"/>
        <v>2700.92920997135i</v>
      </c>
      <c r="N81" s="233">
        <f>IF(D$31=1, IF(AND('Small Signal'!$B$61&gt;=1,FCCM=0),V81+0,S81+0), 0)</f>
        <v>8.9097358559782354</v>
      </c>
      <c r="O81" s="233">
        <f>IF(D$31=1, IF(AND('Small Signal'!$B$61&gt;=1,FCCM=0),W81,T81), 0)</f>
        <v>-2.9321064141818449</v>
      </c>
      <c r="P81" s="233">
        <f>IF(AND('Small Signal'!$B$61&gt;=1,FCCM=0),AF81+0,AC81+0)</f>
        <v>34.545427475894698</v>
      </c>
      <c r="Q81" s="233">
        <f>IF(AND('Small Signal'!$B$61&gt;=1,FCCM=0),AG81,AD81)</f>
        <v>94.831865317980373</v>
      </c>
      <c r="R81" s="233" t="str">
        <f>IMDIV(IMSUM('Small Signal'!$B$2*'Small Signal'!$B$38*'Small Signal'!$B$62,IMPRODUCT(M81,'Small Signal'!$B$2*'Small Signal'!$B$38*'Small Signal'!$B$62*'Small Signal'!$B$14*'Small Signal'!$B$15)),IMSUM(IMPRODUCT('Small Signal'!$B$12*'Small Signal'!$B$14*('Small Signal'!$B$15+'Small Signal'!$B$38),IMPOWER(M81,2)),IMSUM(IMPRODUCT(M81,('Small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2.36812994116611-0.105845327423938i</v>
      </c>
      <c r="S81" s="233">
        <f t="shared" si="59"/>
        <v>8.9097358559782354</v>
      </c>
      <c r="T81" s="233">
        <f t="shared" si="60"/>
        <v>-2.9321064141818449</v>
      </c>
      <c r="U81" s="233" t="str">
        <f>IMDIV(IMSUM('Small Signal'!$B$74,IMPRODUCT(M81,'Small Signal'!$B$75)),IMSUM(IMPRODUCT('Small Signal'!$B$78,IMPOWER(M81,2)),IMSUM(IMPRODUCT(M81,'Small Signal'!$B$77),'Small Signal'!$B$76)))</f>
        <v>1.68004815921282-0.078034925100649i</v>
      </c>
      <c r="V81" s="233">
        <f t="shared" si="37"/>
        <v>4.5157940831391237</v>
      </c>
      <c r="W81" s="233">
        <f t="shared" si="38"/>
        <v>-2.6593646547496075</v>
      </c>
      <c r="X81" s="233" t="str">
        <f>IMPRODUCT(IMDIV(IMSUM(IMPRODUCT(M81,'Small Signal'!$B$57*'Small Signal'!$B$6*'Small Signal'!$B$50*'Small Signal'!$B$7*'Small Signal'!$B$8),'Small Signal'!$B$57*'Small Signal'!$B$6*'Small Signal'!$B$50),IMSUM(IMSUM(IMPRODUCT(M81,('Small Signal'!$B$5+'Small Signal'!$B$6)*('Small Signal'!$B$56*'Small Signal'!$B$57)+'Small Signal'!$B$5*'Small Signal'!$B$57*('Small Signal'!$B$8+'Small Signal'!$B$9)+'Small Signal'!$B$6*'Small Signal'!$B$57*('Small Signal'!$B$8+'Small Signal'!$B$9)+'Small Signal'!$B$7*'Small Signal'!$B$8*('Small Signal'!$B$5+'Small Signal'!$B$6)),'Small Signal'!$B$6+'Small Signal'!$B$5),IMPRODUCT(IMPOWER(M81,2),'Small Signal'!$B$56*'Small Signal'!$B$57*'Small Signal'!$B$8*'Small Signal'!$B$7*('Small Signal'!$B$5+'Small Signal'!$B$6)+('Small Signal'!$B$5+'Small Signal'!$B$6)*('Small Signal'!$B$9*'Small Signal'!$B$8*'Small Signal'!$B$57*'Small Signal'!$B$7)))),-1)</f>
        <v>-2.52717506578528+18.9652007772675i</v>
      </c>
      <c r="Y81" s="233">
        <f t="shared" si="39"/>
        <v>25.635691619916461</v>
      </c>
      <c r="Z81" s="233">
        <f t="shared" si="40"/>
        <v>97.763971732162219</v>
      </c>
      <c r="AA81" s="233" t="str">
        <f t="shared" si="41"/>
        <v>1.00000738887389+0.00303403247727521i</v>
      </c>
      <c r="AB81" s="233" t="str">
        <f t="shared" si="42"/>
        <v>-4.49519633180459+53.1771692235687i</v>
      </c>
      <c r="AC81" s="230">
        <f t="shared" si="43"/>
        <v>34.545427475894698</v>
      </c>
      <c r="AD81" s="233">
        <f t="shared" si="44"/>
        <v>94.831865317980373</v>
      </c>
      <c r="AE81" s="233" t="str">
        <f t="shared" si="45"/>
        <v>-2.76582779510826+32.0596585719246i</v>
      </c>
      <c r="AF81" s="230">
        <f t="shared" si="46"/>
        <v>30.151381546783888</v>
      </c>
      <c r="AG81" s="233">
        <f t="shared" si="47"/>
        <v>94.930771639407538</v>
      </c>
      <c r="AI81" s="233" t="str">
        <f t="shared" si="48"/>
        <v>0.002-3.75119504130925i</v>
      </c>
      <c r="AJ81" s="233">
        <f t="shared" si="49"/>
        <v>0.33750000000000002</v>
      </c>
      <c r="AK81" s="233" t="str">
        <f t="shared" si="50"/>
        <v>0.15-3702.42950577223i</v>
      </c>
      <c r="AL81" s="233" t="str">
        <f t="shared" si="51"/>
        <v>0.334768679088364-0.030148644087769i</v>
      </c>
      <c r="AM81" s="233" t="str">
        <f t="shared" si="52"/>
        <v>0.366666607597462-0.00014716896599408i</v>
      </c>
      <c r="AN81" s="233" t="str">
        <f t="shared" si="53"/>
        <v>0.005+0.00270092920997135i</v>
      </c>
      <c r="AO81" s="233" t="str">
        <f t="shared" si="54"/>
        <v>2.78559429091142-0.142677112529322i</v>
      </c>
      <c r="AP81" s="233">
        <f t="shared" si="61"/>
        <v>8.9097358559782354</v>
      </c>
      <c r="AQ81" s="233">
        <f t="shared" si="62"/>
        <v>-2.9321064141818449</v>
      </c>
      <c r="AS81" s="233" t="str">
        <f t="shared" si="55"/>
        <v>0.378068675017981-0.000156464174286249i</v>
      </c>
      <c r="AT81" s="233" t="str">
        <f t="shared" si="56"/>
        <v>2.82657092322325-0.146530443409024i</v>
      </c>
      <c r="AU81" s="233">
        <f t="shared" si="63"/>
        <v>9.0368534145289061</v>
      </c>
      <c r="AV81" s="233">
        <f t="shared" si="64"/>
        <v>-2.9675771417362795</v>
      </c>
    </row>
    <row r="82" spans="1:48" x14ac:dyDescent="0.25">
      <c r="A82" s="235" t="s">
        <v>332</v>
      </c>
      <c r="B82" s="233">
        <f>-Ri/(Lo_ss*q_2*w_2)</f>
        <v>-0.17045454545454544</v>
      </c>
      <c r="F82" s="233">
        <v>80</v>
      </c>
      <c r="G82" s="249">
        <f t="shared" si="33"/>
        <v>168.75610634815763</v>
      </c>
      <c r="H82" s="249">
        <f t="shared" si="34"/>
        <v>168.57881372500071</v>
      </c>
      <c r="I82" s="234">
        <f t="shared" si="35"/>
        <v>1</v>
      </c>
      <c r="J82" s="233">
        <f t="shared" si="57"/>
        <v>1</v>
      </c>
      <c r="K82" s="233">
        <f t="shared" si="58"/>
        <v>1</v>
      </c>
      <c r="L82" s="233">
        <f>10^('Small Signal'!F82/30)</f>
        <v>464.15888336127819</v>
      </c>
      <c r="M82" s="233" t="str">
        <f t="shared" si="36"/>
        <v>2916.39627613247i</v>
      </c>
      <c r="N82" s="233">
        <f>IF(D$31=1, IF(AND('Small Signal'!$B$61&gt;=1,FCCM=0),V82+0,S82+0), 0)</f>
        <v>8.908310273242213</v>
      </c>
      <c r="O82" s="233">
        <f>IF(D$31=1, IF(AND('Small Signal'!$B$61&gt;=1,FCCM=0),W82,T82), 0)</f>
        <v>-3.1657254168457039</v>
      </c>
      <c r="P82" s="233">
        <f>IF(AND('Small Signal'!$B$61&gt;=1,FCCM=0),AF82+0,AC82+0)</f>
        <v>33.884461914189188</v>
      </c>
      <c r="Q82" s="233">
        <f>IF(AND('Small Signal'!$B$61&gt;=1,FCCM=0),AG82,AD82)</f>
        <v>94.838383189923107</v>
      </c>
      <c r="R82" s="233" t="str">
        <f>IMDIV(IMSUM('Small Signal'!$B$2*'Small Signal'!$B$38*'Small Signal'!$B$62,IMPRODUCT(M82,'Small Signal'!$B$2*'Small Signal'!$B$38*'Small Signal'!$B$62*'Small Signal'!$B$14*'Small Signal'!$B$15)),IMSUM(IMPRODUCT('Small Signal'!$B$12*'Small Signal'!$B$14*('Small Signal'!$B$15+'Small Signal'!$B$38),IMPOWER(M82,2)),IMSUM(IMPRODUCT(M82,('Small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2.36749405799592-0.114265690578602i</v>
      </c>
      <c r="S82" s="233">
        <f t="shared" si="59"/>
        <v>8.908310273242213</v>
      </c>
      <c r="T82" s="233">
        <f t="shared" si="60"/>
        <v>-3.1657254168457039</v>
      </c>
      <c r="U82" s="233" t="str">
        <f>IMDIV(IMSUM('Small Signal'!$B$74,IMPRODUCT(M82,'Small Signal'!$B$75)),IMSUM(IMPRODUCT('Small Signal'!$B$78,IMPOWER(M82,2)),IMSUM(IMPRODUCT(M82,'Small Signal'!$B$77),'Small Signal'!$B$76)))</f>
        <v>1.67959066798631-0.0842444888340382i</v>
      </c>
      <c r="V82" s="233">
        <f t="shared" si="37"/>
        <v>4.5149813188702312</v>
      </c>
      <c r="W82" s="233">
        <f t="shared" si="38"/>
        <v>-2.8714210248799032</v>
      </c>
      <c r="X82" s="233" t="str">
        <f>IMPRODUCT(IMDIV(IMSUM(IMPRODUCT(M82,'Small Signal'!$B$57*'Small Signal'!$B$6*'Small Signal'!$B$50*'Small Signal'!$B$7*'Small Signal'!$B$8),'Small Signal'!$B$57*'Small Signal'!$B$6*'Small Signal'!$B$50),IMSUM(IMSUM(IMPRODUCT(M82,('Small Signal'!$B$5+'Small Signal'!$B$6)*('Small Signal'!$B$56*'Small Signal'!$B$57)+'Small Signal'!$B$5*'Small Signal'!$B$57*('Small Signal'!$B$8+'Small Signal'!$B$9)+'Small Signal'!$B$6*'Small Signal'!$B$57*('Small Signal'!$B$8+'Small Signal'!$B$9)+'Small Signal'!$B$7*'Small Signal'!$B$8*('Small Signal'!$B$5+'Small Signal'!$B$6)),'Small Signal'!$B$6+'Small Signal'!$B$5),IMPRODUCT(IMPOWER(M82,2),'Small Signal'!$B$56*'Small Signal'!$B$57*'Small Signal'!$B$8*'Small Signal'!$B$7*('Small Signal'!$B$5+'Small Signal'!$B$6)+('Small Signal'!$B$5+'Small Signal'!$B$6)*('Small Signal'!$B$9*'Small Signal'!$B$8*'Small Signal'!$B$57*'Small Signal'!$B$7)))),-1)</f>
        <v>-2.41178194619137+17.5690222140585i</v>
      </c>
      <c r="Y82" s="233">
        <f t="shared" si="39"/>
        <v>24.976151640946981</v>
      </c>
      <c r="Z82" s="233">
        <f t="shared" si="40"/>
        <v>98.00410860676881</v>
      </c>
      <c r="AA82" s="233" t="str">
        <f t="shared" si="41"/>
        <v>1.000008614786+0.0032760696869865i</v>
      </c>
      <c r="AB82" s="233" t="str">
        <f t="shared" si="42"/>
        <v>-4.17142496960175+49.280233579049i</v>
      </c>
      <c r="AC82" s="230">
        <f t="shared" si="43"/>
        <v>33.884461914189188</v>
      </c>
      <c r="AD82" s="233">
        <f t="shared" si="44"/>
        <v>94.838383189923107</v>
      </c>
      <c r="AE82" s="233" t="str">
        <f t="shared" si="45"/>
        <v>-2.57071315430367+29.7119450936129i</v>
      </c>
      <c r="AF82" s="230">
        <f t="shared" si="46"/>
        <v>29.491011522881152</v>
      </c>
      <c r="AG82" s="233">
        <f t="shared" si="47"/>
        <v>94.944984903959153</v>
      </c>
      <c r="AI82" s="233" t="str">
        <f t="shared" si="48"/>
        <v>0.002-3.47405198062035i</v>
      </c>
      <c r="AJ82" s="233">
        <f t="shared" si="49"/>
        <v>0.33750000000000002</v>
      </c>
      <c r="AK82" s="233" t="str">
        <f t="shared" si="50"/>
        <v>0.15-3428.88930487229i</v>
      </c>
      <c r="AL82" s="233" t="str">
        <f t="shared" si="51"/>
        <v>0.334319808952392-0.0325098475121018i</v>
      </c>
      <c r="AM82" s="233" t="str">
        <f t="shared" si="52"/>
        <v>0.366666597797034-0.000158909389898457i</v>
      </c>
      <c r="AN82" s="233" t="str">
        <f t="shared" si="53"/>
        <v>0.005+0.00291639627613247i</v>
      </c>
      <c r="AO82" s="233" t="str">
        <f t="shared" si="54"/>
        <v>2.78453232974303-0.154008656166997i</v>
      </c>
      <c r="AP82" s="233">
        <f t="shared" si="61"/>
        <v>8.908310273242213</v>
      </c>
      <c r="AQ82" s="233">
        <f t="shared" si="62"/>
        <v>-3.1657254168457039</v>
      </c>
      <c r="AS82" s="233" t="str">
        <f t="shared" si="55"/>
        <v>0.378068664274548-0.000168946124387528i</v>
      </c>
      <c r="AT82" s="233" t="str">
        <f t="shared" si="56"/>
        <v>2.8254608145587-0.158166047151221i</v>
      </c>
      <c r="AU82" s="233">
        <f t="shared" si="63"/>
        <v>9.0353736822805502</v>
      </c>
      <c r="AV82" s="233">
        <f t="shared" si="64"/>
        <v>-3.2040079128433683</v>
      </c>
    </row>
    <row r="83" spans="1:48" x14ac:dyDescent="0.25">
      <c r="A83" s="235" t="s">
        <v>329</v>
      </c>
      <c r="B83" s="233">
        <f>(1-Ro/Ri*k_2)/((Ro+ESR_ss)*Co_ss-Ro*ESR_ss*Co_ss*k_2/Ri)</f>
        <v>57003.108457082366</v>
      </c>
      <c r="F83" s="233">
        <v>81</v>
      </c>
      <c r="G83" s="249">
        <f t="shared" si="33"/>
        <v>168.77024935664031</v>
      </c>
      <c r="H83" s="249">
        <f t="shared" si="34"/>
        <v>168.57881372500071</v>
      </c>
      <c r="I83" s="234">
        <f t="shared" si="35"/>
        <v>1</v>
      </c>
      <c r="J83" s="233">
        <f t="shared" si="57"/>
        <v>1</v>
      </c>
      <c r="K83" s="233">
        <f t="shared" si="58"/>
        <v>1</v>
      </c>
      <c r="L83" s="233">
        <f>10^('Small Signal'!F83/30)</f>
        <v>501.18723362727269</v>
      </c>
      <c r="M83" s="233" t="str">
        <f t="shared" si="36"/>
        <v>3149.05226247286i</v>
      </c>
      <c r="N83" s="233">
        <f>IF(D$31=1, IF(AND('Small Signal'!$B$61&gt;=1,FCCM=0),V83+0,S83+0), 0)</f>
        <v>8.9066487246824568</v>
      </c>
      <c r="O83" s="233">
        <f>IF(D$31=1, IF(AND('Small Signal'!$B$61&gt;=1,FCCM=0),W83,T83), 0)</f>
        <v>-3.4179064078617269</v>
      </c>
      <c r="P83" s="233">
        <f>IF(AND('Small Signal'!$B$61&gt;=1,FCCM=0),AF83+0,AC83+0)</f>
        <v>33.224083831179222</v>
      </c>
      <c r="Q83" s="233">
        <f>IF(AND('Small Signal'!$B$61&gt;=1,FCCM=0),AG83,AD83)</f>
        <v>94.872600667735071</v>
      </c>
      <c r="R83" s="233" t="str">
        <f>IMDIV(IMSUM('Small Signal'!$B$2*'Small Signal'!$B$38*'Small Signal'!$B$62,IMPRODUCT(M83,'Small Signal'!$B$2*'Small Signal'!$B$38*'Small Signal'!$B$62*'Small Signal'!$B$14*'Small Signal'!$B$15)),IMSUM(IMPRODUCT('Small Signal'!$B$12*'Small Signal'!$B$14*('Small Signal'!$B$15+'Small Signal'!$B$38),IMPOWER(M83,2)),IMSUM(IMPRODUCT(M83,('Small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2.3667529772223-0.123351725693132i</v>
      </c>
      <c r="S83" s="233">
        <f t="shared" si="59"/>
        <v>8.9066487246824568</v>
      </c>
      <c r="T83" s="233">
        <f t="shared" si="60"/>
        <v>-3.4179064078617269</v>
      </c>
      <c r="U83" s="233" t="str">
        <f>IMDIV(IMSUM('Small Signal'!$B$74,IMPRODUCT(M83,'Small Signal'!$B$75)),IMSUM(IMPRODUCT('Small Signal'!$B$78,IMPOWER(M83,2)),IMSUM(IMPRODUCT(M83,'Small Signal'!$B$77),'Small Signal'!$B$76)))</f>
        <v>1.67905745484207-0.0909453664320758i</v>
      </c>
      <c r="V83" s="233">
        <f t="shared" si="37"/>
        <v>4.5140338101723536</v>
      </c>
      <c r="W83" s="233">
        <f t="shared" si="38"/>
        <v>-3.1003696767719426</v>
      </c>
      <c r="X83" s="233" t="str">
        <f>IMPRODUCT(IMDIV(IMSUM(IMPRODUCT(M83,'Small Signal'!$B$57*'Small Signal'!$B$6*'Small Signal'!$B$50*'Small Signal'!$B$7*'Small Signal'!$B$8),'Small Signal'!$B$57*'Small Signal'!$B$6*'Small Signal'!$B$50),IMSUM(IMSUM(IMPRODUCT(M83,('Small Signal'!$B$5+'Small Signal'!$B$6)*('Small Signal'!$B$56*'Small Signal'!$B$57)+'Small Signal'!$B$5*'Small Signal'!$B$57*('Small Signal'!$B$8+'Small Signal'!$B$9)+'Small Signal'!$B$6*'Small Signal'!$B$57*('Small Signal'!$B$8+'Small Signal'!$B$9)+'Small Signal'!$B$7*'Small Signal'!$B$8*('Small Signal'!$B$5+'Small Signal'!$B$6)),'Small Signal'!$B$6+'Small Signal'!$B$5),IMPRODUCT(IMPOWER(M83,2),'Small Signal'!$B$56*'Small Signal'!$B$57*'Small Signal'!$B$8*'Small Signal'!$B$7*('Small Signal'!$B$5+'Small Signal'!$B$6)+('Small Signal'!$B$5+'Small Signal'!$B$6)*('Small Signal'!$B$9*'Small Signal'!$B$8*'Small Signal'!$B$57*'Small Signal'!$B$7)))),-1)</f>
        <v>-2.31276159021075+16.2750887818578i</v>
      </c>
      <c r="Y83" s="233">
        <f t="shared" si="39"/>
        <v>24.317435106496763</v>
      </c>
      <c r="Z83" s="233">
        <f t="shared" si="40"/>
        <v>98.290507075596778</v>
      </c>
      <c r="AA83" s="233" t="str">
        <f t="shared" si="41"/>
        <v>1.00001004409154+0.00353741461971018i</v>
      </c>
      <c r="AB83" s="233" t="str">
        <f t="shared" si="42"/>
        <v>-3.89330799873213+45.670085124712i</v>
      </c>
      <c r="AC83" s="230">
        <f t="shared" si="43"/>
        <v>33.224083831179222</v>
      </c>
      <c r="AD83" s="233">
        <f t="shared" si="44"/>
        <v>94.872600667735071</v>
      </c>
      <c r="AE83" s="233" t="str">
        <f t="shared" si="45"/>
        <v>-2.40311567633514+27.5371440976866i</v>
      </c>
      <c r="AF83" s="230">
        <f t="shared" si="46"/>
        <v>28.831327332087348</v>
      </c>
      <c r="AG83" s="233">
        <f t="shared" si="47"/>
        <v>94.987461351795261</v>
      </c>
      <c r="AI83" s="233" t="str">
        <f t="shared" si="48"/>
        <v>0.002-3.21738460174545i</v>
      </c>
      <c r="AJ83" s="233">
        <f t="shared" si="49"/>
        <v>0.33750000000000002</v>
      </c>
      <c r="AK83" s="233" t="str">
        <f t="shared" si="50"/>
        <v>0.15-3175.55860192275i</v>
      </c>
      <c r="AL83" s="233" t="str">
        <f t="shared" si="51"/>
        <v>0.333797991322304-0.0350482082652335i</v>
      </c>
      <c r="AM83" s="233" t="str">
        <f t="shared" si="52"/>
        <v>0.366666586370572-0.000171586406925842i</v>
      </c>
      <c r="AN83" s="233" t="str">
        <f t="shared" si="53"/>
        <v>0.005+0.00314905226247286i</v>
      </c>
      <c r="AO83" s="233" t="str">
        <f t="shared" si="54"/>
        <v>2.78329503338281-0.166231131850086i</v>
      </c>
      <c r="AP83" s="233">
        <f t="shared" si="61"/>
        <v>8.9066487246824568</v>
      </c>
      <c r="AQ83" s="233">
        <f t="shared" si="62"/>
        <v>-3.4179064078617269</v>
      </c>
      <c r="AS83" s="233" t="str">
        <f t="shared" si="55"/>
        <v>0.378068651748624-0.000182423822841233i</v>
      </c>
      <c r="AT83" s="233" t="str">
        <f t="shared" si="56"/>
        <v>2.82416745765694-0.170715979408476i</v>
      </c>
      <c r="AU83" s="233">
        <f t="shared" si="63"/>
        <v>9.0336490469892414</v>
      </c>
      <c r="AV83" s="233">
        <f t="shared" si="64"/>
        <v>-3.4592203590821935</v>
      </c>
    </row>
    <row r="84" spans="1:48" x14ac:dyDescent="0.25">
      <c r="F84" s="233">
        <v>82</v>
      </c>
      <c r="G84" s="249">
        <f t="shared" si="33"/>
        <v>168.78552048628458</v>
      </c>
      <c r="H84" s="249">
        <f t="shared" si="34"/>
        <v>168.57881372500071</v>
      </c>
      <c r="I84" s="234">
        <f t="shared" si="35"/>
        <v>1</v>
      </c>
      <c r="J84" s="233">
        <f t="shared" si="57"/>
        <v>1</v>
      </c>
      <c r="K84" s="233">
        <f t="shared" si="58"/>
        <v>1</v>
      </c>
      <c r="L84" s="233">
        <f>10^('Small Signal'!F84/30)</f>
        <v>541.16952654646434</v>
      </c>
      <c r="M84" s="233" t="str">
        <f t="shared" si="36"/>
        <v>3400.26841789008i</v>
      </c>
      <c r="N84" s="233">
        <f>IF(D$31=1, IF(AND('Small Signal'!$B$61&gt;=1,FCCM=0),V84+0,S84+0), 0)</f>
        <v>8.9047122604394708</v>
      </c>
      <c r="O84" s="233">
        <f>IF(D$31=1, IF(AND('Small Signal'!$B$61&gt;=1,FCCM=0),W84,T84), 0)</f>
        <v>-3.690110822410464</v>
      </c>
      <c r="P84" s="233">
        <f>IF(AND('Small Signal'!$B$61&gt;=1,FCCM=0),AF84+0,AC84+0)</f>
        <v>32.564436719704048</v>
      </c>
      <c r="Q84" s="233">
        <f>IF(AND('Small Signal'!$B$61&gt;=1,FCCM=0),AG84,AD84)</f>
        <v>94.934536989911166</v>
      </c>
      <c r="R84" s="233" t="str">
        <f>IMDIV(IMSUM('Small Signal'!$B$2*'Small Signal'!$B$38*'Small Signal'!$B$62,IMPRODUCT(M84,'Small Signal'!$B$2*'Small Signal'!$B$38*'Small Signal'!$B$62*'Small Signal'!$B$14*'Small Signal'!$B$15)),IMSUM(IMPRODUCT('Small Signal'!$B$12*'Small Signal'!$B$14*('Small Signal'!$B$15+'Small Signal'!$B$38),IMPOWER(M84,2)),IMSUM(IMPRODUCT(M84,('Small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2.36588935423094-0.133154972279088i</v>
      </c>
      <c r="S84" s="233">
        <f t="shared" si="59"/>
        <v>8.9047122604394708</v>
      </c>
      <c r="T84" s="233">
        <f t="shared" si="60"/>
        <v>-3.690110822410464</v>
      </c>
      <c r="U84" s="233" t="str">
        <f>IMDIV(IMSUM('Small Signal'!$B$74,IMPRODUCT(M84,'Small Signal'!$B$75)),IMSUM(IMPRODUCT('Small Signal'!$B$78,IMPOWER(M84,2)),IMSUM(IMPRODUCT(M84,'Small Signal'!$B$77),'Small Signal'!$B$76)))</f>
        <v>1.67843602187385-0.0981757054573649i</v>
      </c>
      <c r="V84" s="233">
        <f t="shared" si="37"/>
        <v>4.5129292386523776</v>
      </c>
      <c r="W84" s="233">
        <f t="shared" si="38"/>
        <v>-3.3475518461217315</v>
      </c>
      <c r="X84" s="233" t="str">
        <f>IMPRODUCT(IMDIV(IMSUM(IMPRODUCT(M84,'Small Signal'!$B$57*'Small Signal'!$B$6*'Small Signal'!$B$50*'Small Signal'!$B$7*'Small Signal'!$B$8),'Small Signal'!$B$57*'Small Signal'!$B$6*'Small Signal'!$B$50),IMSUM(IMSUM(IMPRODUCT(M84,('Small Signal'!$B$5+'Small Signal'!$B$6)*('Small Signal'!$B$56*'Small Signal'!$B$57)+'Small Signal'!$B$5*'Small Signal'!$B$57*('Small Signal'!$B$8+'Small Signal'!$B$9)+'Small Signal'!$B$6*'Small Signal'!$B$57*('Small Signal'!$B$8+'Small Signal'!$B$9)+'Small Signal'!$B$7*'Small Signal'!$B$8*('Small Signal'!$B$5+'Small Signal'!$B$6)),'Small Signal'!$B$6+'Small Signal'!$B$5),IMPRODUCT(IMPOWER(M84,2),'Small Signal'!$B$56*'Small Signal'!$B$57*'Small Signal'!$B$8*'Small Signal'!$B$7*('Small Signal'!$B$5+'Small Signal'!$B$6)+('Small Signal'!$B$5+'Small Signal'!$B$6)*('Small Signal'!$B$9*'Small Signal'!$B$8*'Small Signal'!$B$57*'Small Signal'!$B$7)))),-1)</f>
        <v>-2.22779669685705+15.0760418303297i</v>
      </c>
      <c r="Y84" s="233">
        <f t="shared" si="39"/>
        <v>23.659724459264584</v>
      </c>
      <c r="Z84" s="233">
        <f t="shared" si="40"/>
        <v>98.624647812321612</v>
      </c>
      <c r="AA84" s="233" t="str">
        <f t="shared" si="41"/>
        <v>1.0000117105353+0.00381960733606752i</v>
      </c>
      <c r="AB84" s="233" t="str">
        <f t="shared" si="42"/>
        <v>-3.65433700237539+42.3261910931357i</v>
      </c>
      <c r="AC84" s="230">
        <f t="shared" si="43"/>
        <v>32.564436719704048</v>
      </c>
      <c r="AD84" s="233">
        <f t="shared" si="44"/>
        <v>94.934536989911166</v>
      </c>
      <c r="AE84" s="233" t="str">
        <f t="shared" si="45"/>
        <v>-2.25911318321909+25.5228871876319i</v>
      </c>
      <c r="AF84" s="230">
        <f t="shared" si="46"/>
        <v>28.172488623081435</v>
      </c>
      <c r="AG84" s="233">
        <f t="shared" si="47"/>
        <v>95.058252213473253</v>
      </c>
      <c r="AI84" s="233" t="str">
        <f t="shared" si="48"/>
        <v>0.002-2.97968013526965i</v>
      </c>
      <c r="AJ84" s="233">
        <f t="shared" si="49"/>
        <v>0.33750000000000002</v>
      </c>
      <c r="AK84" s="233" t="str">
        <f t="shared" si="50"/>
        <v>0.15-2940.94429351114i</v>
      </c>
      <c r="AL84" s="233" t="str">
        <f t="shared" si="51"/>
        <v>0.3331916618915-0.037775031357805i</v>
      </c>
      <c r="AM84" s="233" t="str">
        <f t="shared" si="52"/>
        <v>0.366666573048296-0.000185274733659902i</v>
      </c>
      <c r="AN84" s="233" t="str">
        <f t="shared" si="53"/>
        <v>0.005+0.00340026841789008i</v>
      </c>
      <c r="AO84" s="233" t="str">
        <f t="shared" si="54"/>
        <v>2.78185361873618-0.179412256996153i</v>
      </c>
      <c r="AP84" s="233">
        <f t="shared" si="61"/>
        <v>8.9047122604394708</v>
      </c>
      <c r="AQ84" s="233">
        <f t="shared" si="62"/>
        <v>-3.690110822410464</v>
      </c>
      <c r="AS84" s="233" t="str">
        <f t="shared" si="55"/>
        <v>0.378068637144469-0.000196976705311956i</v>
      </c>
      <c r="AT84" s="233" t="str">
        <f t="shared" si="56"/>
        <v>2.82266078342718-0.184249603636406i</v>
      </c>
      <c r="AU84" s="233">
        <f t="shared" si="63"/>
        <v>9.0316390927859977</v>
      </c>
      <c r="AV84" s="233">
        <f t="shared" si="64"/>
        <v>-3.7346922517754169</v>
      </c>
    </row>
    <row r="85" spans="1:48" x14ac:dyDescent="0.25">
      <c r="A85" s="235" t="s">
        <v>330</v>
      </c>
      <c r="B85" s="233">
        <f>1/(PI()*(((Sn+Se_ss)/(Sn+Sf))-0.5))</f>
        <v>0.2334272498681132</v>
      </c>
      <c r="C85" s="233">
        <f>1/(PI()*(((sn_vimax+Se_ss)/(sn_vimax+Sf))-0.5))</f>
        <v>0.24068603505222799</v>
      </c>
      <c r="F85" s="233">
        <v>83</v>
      </c>
      <c r="G85" s="249">
        <f t="shared" si="33"/>
        <v>168.80200969698618</v>
      </c>
      <c r="H85" s="249">
        <f t="shared" si="34"/>
        <v>168.57881372500071</v>
      </c>
      <c r="I85" s="234">
        <f t="shared" si="35"/>
        <v>1</v>
      </c>
      <c r="J85" s="233">
        <f t="shared" si="57"/>
        <v>1</v>
      </c>
      <c r="K85" s="233">
        <f t="shared" si="58"/>
        <v>1</v>
      </c>
      <c r="L85" s="233">
        <f>10^('Small Signal'!F85/30)</f>
        <v>584.34141337351787</v>
      </c>
      <c r="M85" s="233" t="str">
        <f t="shared" si="36"/>
        <v>3671.52538288504i</v>
      </c>
      <c r="N85" s="233">
        <f>IF(D$31=1, IF(AND('Small Signal'!$B$61&gt;=1,FCCM=0),V85+0,S85+0), 0)</f>
        <v>8.9024555399475975</v>
      </c>
      <c r="O85" s="233">
        <f>IF(D$31=1, IF(AND('Small Signal'!$B$61&gt;=1,FCCM=0),W85,T85), 0)</f>
        <v>-3.9839117043740688</v>
      </c>
      <c r="P85" s="233">
        <f>IF(AND('Small Signal'!$B$61&gt;=1,FCCM=0),AF85+0,AC85+0)</f>
        <v>31.905679635844916</v>
      </c>
      <c r="Q85" s="233">
        <f>IF(AND('Small Signal'!$B$61&gt;=1,FCCM=0),AG85,AD85)</f>
        <v>95.024323569063938</v>
      </c>
      <c r="R85" s="233" t="str">
        <f>IMDIV(IMSUM('Small Signal'!$B$2*'Small Signal'!$B$38*'Small Signal'!$B$62,IMPRODUCT(M85,'Small Signal'!$B$2*'Small Signal'!$B$38*'Small Signal'!$B$62*'Small Signal'!$B$14*'Small Signal'!$B$15)),IMSUM(IMPRODUCT('Small Signal'!$B$12*'Small Signal'!$B$14*('Small Signal'!$B$15+'Small Signal'!$B$38),IMPOWER(M85,2)),IMSUM(IMPRODUCT(M85,('Small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2.36488300576615-0.143730678884131i</v>
      </c>
      <c r="S85" s="233">
        <f t="shared" si="59"/>
        <v>8.9024555399475975</v>
      </c>
      <c r="T85" s="233">
        <f t="shared" si="60"/>
        <v>-3.9839117043740688</v>
      </c>
      <c r="U85" s="233" t="str">
        <f>IMDIV(IMSUM('Small Signal'!$B$74,IMPRODUCT(M85,'Small Signal'!$B$75)),IMSUM(IMPRODUCT('Small Signal'!$B$78,IMPOWER(M85,2)),IMSUM(IMPRODUCT(M85,'Small Signal'!$B$77),'Small Signal'!$B$76)))</f>
        <v>1.67771182104305-0.105976426931397i</v>
      </c>
      <c r="V85" s="233">
        <f t="shared" si="37"/>
        <v>4.5116415964825327</v>
      </c>
      <c r="W85" s="233">
        <f t="shared" si="38"/>
        <v>-3.6144141256405562</v>
      </c>
      <c r="X85" s="233" t="str">
        <f>IMPRODUCT(IMDIV(IMSUM(IMPRODUCT(M85,'Small Signal'!$B$57*'Small Signal'!$B$6*'Small Signal'!$B$50*'Small Signal'!$B$7*'Small Signal'!$B$8),'Small Signal'!$B$57*'Small Signal'!$B$6*'Small Signal'!$B$50),IMSUM(IMSUM(IMPRODUCT(M85,('Small Signal'!$B$5+'Small Signal'!$B$6)*('Small Signal'!$B$56*'Small Signal'!$B$57)+'Small Signal'!$B$5*'Small Signal'!$B$57*('Small Signal'!$B$8+'Small Signal'!$B$9)+'Small Signal'!$B$6*'Small Signal'!$B$57*('Small Signal'!$B$8+'Small Signal'!$B$9)+'Small Signal'!$B$7*'Small Signal'!$B$8*('Small Signal'!$B$5+'Small Signal'!$B$6)),'Small Signal'!$B$6+'Small Signal'!$B$5),IMPRODUCT(IMPOWER(M85,2),'Small Signal'!$B$56*'Small Signal'!$B$57*'Small Signal'!$B$8*'Small Signal'!$B$7*('Small Signal'!$B$5+'Small Signal'!$B$6)+('Small Signal'!$B$5+'Small Signal'!$B$6)*('Small Signal'!$B$9*'Small Signal'!$B$8*'Small Signal'!$B$57*'Small Signal'!$B$7)))),-1)</f>
        <v>-2.15489638598714+13.9650271341934i</v>
      </c>
      <c r="Y85" s="233">
        <f t="shared" si="39"/>
        <v>23.00322409589732</v>
      </c>
      <c r="Z85" s="233">
        <f t="shared" si="40"/>
        <v>99.008235273438032</v>
      </c>
      <c r="AA85" s="233" t="str">
        <f t="shared" si="41"/>
        <v>1.00001365346046+0.00412431069930971i</v>
      </c>
      <c r="AB85" s="233" t="str">
        <f t="shared" si="42"/>
        <v>-3.44891274625537+39.229433633061i</v>
      </c>
      <c r="AC85" s="230">
        <f t="shared" si="43"/>
        <v>31.905679635844916</v>
      </c>
      <c r="AD85" s="233">
        <f t="shared" si="44"/>
        <v>95.024323569063938</v>
      </c>
      <c r="AE85" s="233" t="str">
        <f t="shared" si="45"/>
        <v>-2.13533146221175+23.6576593236175i</v>
      </c>
      <c r="AF85" s="230">
        <f t="shared" si="46"/>
        <v>27.51467323015882</v>
      </c>
      <c r="AG85" s="233">
        <f t="shared" si="47"/>
        <v>95.157520117450801</v>
      </c>
      <c r="AI85" s="233" t="str">
        <f t="shared" si="48"/>
        <v>0.002-2.75953757710657i</v>
      </c>
      <c r="AJ85" s="233">
        <f t="shared" si="49"/>
        <v>0.33750000000000002</v>
      </c>
      <c r="AK85" s="233" t="str">
        <f t="shared" si="50"/>
        <v>0.15-2723.66358860418i</v>
      </c>
      <c r="AL85" s="233" t="str">
        <f t="shared" si="51"/>
        <v>0.332487525620834-0.0407018254608247i</v>
      </c>
      <c r="AM85" s="233" t="str">
        <f t="shared" si="52"/>
        <v>0.366666557515666-0.000200055047138166i</v>
      </c>
      <c r="AN85" s="233" t="str">
        <f t="shared" si="53"/>
        <v>0.005+0.00367152538288504i</v>
      </c>
      <c r="AO85" s="233" t="str">
        <f t="shared" si="54"/>
        <v>2.78017463692992-0.193624291565594i</v>
      </c>
      <c r="AP85" s="233">
        <f t="shared" si="61"/>
        <v>8.9024555399475975</v>
      </c>
      <c r="AQ85" s="233">
        <f t="shared" si="62"/>
        <v>-3.9839117043740688</v>
      </c>
      <c r="AS85" s="233" t="str">
        <f t="shared" si="55"/>
        <v>0.378068620117277-0.000212690544373985i</v>
      </c>
      <c r="AT85" s="233" t="str">
        <f t="shared" si="56"/>
        <v>2.82090585319724-0.19884090111892i</v>
      </c>
      <c r="AU85" s="233">
        <f t="shared" si="63"/>
        <v>9.0292967758590592</v>
      </c>
      <c r="AV85" s="233">
        <f t="shared" si="64"/>
        <v>-4.032013969676953</v>
      </c>
    </row>
    <row r="86" spans="1:48" x14ac:dyDescent="0.25">
      <c r="A86" s="235" t="s">
        <v>331</v>
      </c>
      <c r="B86" s="233">
        <f>PI()*fsw_ss</f>
        <v>1570796.3267948965</v>
      </c>
      <c r="F86" s="233">
        <v>84</v>
      </c>
      <c r="G86" s="249">
        <f t="shared" si="33"/>
        <v>168.81981411584633</v>
      </c>
      <c r="H86" s="249">
        <f t="shared" si="34"/>
        <v>168.57881372500071</v>
      </c>
      <c r="I86" s="234">
        <f t="shared" si="35"/>
        <v>1</v>
      </c>
      <c r="J86" s="233">
        <f t="shared" si="57"/>
        <v>1</v>
      </c>
      <c r="K86" s="233">
        <f t="shared" si="58"/>
        <v>1</v>
      </c>
      <c r="L86" s="233">
        <f>10^('Small Signal'!F86/30)</f>
        <v>630.95734448019323</v>
      </c>
      <c r="M86" s="233" t="str">
        <f t="shared" si="36"/>
        <v>3964.421916295i</v>
      </c>
      <c r="N86" s="233">
        <f>IF(D$31=1, IF(AND('Small Signal'!$B$61&gt;=1,FCCM=0),V86+0,S86+0), 0)</f>
        <v>8.8998257971741275</v>
      </c>
      <c r="O86" s="233">
        <f>IF(D$31=1, IF(AND('Small Signal'!$B$61&gt;=1,FCCM=0),W86,T86), 0)</f>
        <v>-4.3010013363837114</v>
      </c>
      <c r="P86" s="233">
        <f>IF(AND('Small Signal'!$B$61&gt;=1,FCCM=0),AF86+0,AC86+0)</f>
        <v>31.24799034700164</v>
      </c>
      <c r="Q86" s="233">
        <f>IF(AND('Small Signal'!$B$61&gt;=1,FCCM=0),AG86,AD86)</f>
        <v>95.142193250800247</v>
      </c>
      <c r="R86" s="233" t="str">
        <f>IMDIV(IMSUM('Small Signal'!$B$2*'Small Signal'!$B$38*'Small Signal'!$B$62,IMPRODUCT(M86,'Small Signal'!$B$2*'Small Signal'!$B$38*'Small Signal'!$B$62*'Small Signal'!$B$14*'Small Signal'!$B$15)),IMSUM(IMPRODUCT('Small Signal'!$B$12*'Small Signal'!$B$14*('Small Signal'!$B$15+'Small Signal'!$B$38),IMPOWER(M86,2)),IMSUM(IMPRODUCT(M86,('Small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2.36371045291237-0.155137995951545i</v>
      </c>
      <c r="S86" s="233">
        <f t="shared" si="59"/>
        <v>8.8998257971741275</v>
      </c>
      <c r="T86" s="233">
        <f t="shared" si="60"/>
        <v>-4.3010013363837114</v>
      </c>
      <c r="U86" s="233" t="str">
        <f>IMDIV(IMSUM('Small Signal'!$B$74,IMPRODUCT(M86,'Small Signal'!$B$75)),IMSUM(IMPRODUCT('Small Signal'!$B$78,IMPOWER(M86,2)),IMSUM(IMPRODUCT(M86,'Small Signal'!$B$77),'Small Signal'!$B$76)))</f>
        <v>1.67686792241834-0.114391377365459i</v>
      </c>
      <c r="V86" s="233">
        <f t="shared" si="37"/>
        <v>4.5101405791109155</v>
      </c>
      <c r="W86" s="233">
        <f t="shared" si="38"/>
        <v>-3.9025164468948397</v>
      </c>
      <c r="X86" s="233" t="str">
        <f>IMPRODUCT(IMDIV(IMSUM(IMPRODUCT(M86,'Small Signal'!$B$57*'Small Signal'!$B$6*'Small Signal'!$B$50*'Small Signal'!$B$7*'Small Signal'!$B$8),'Small Signal'!$B$57*'Small Signal'!$B$6*'Small Signal'!$B$50),IMSUM(IMSUM(IMPRODUCT(M86,('Small Signal'!$B$5+'Small Signal'!$B$6)*('Small Signal'!$B$56*'Small Signal'!$B$57)+'Small Signal'!$B$5*'Small Signal'!$B$57*('Small Signal'!$B$8+'Small Signal'!$B$9)+'Small Signal'!$B$6*'Small Signal'!$B$57*('Small Signal'!$B$8+'Small Signal'!$B$9)+'Small Signal'!$B$7*'Small Signal'!$B$8*('Small Signal'!$B$5+'Small Signal'!$B$6)),'Small Signal'!$B$6+'Small Signal'!$B$5),IMPRODUCT(IMPOWER(M86,2),'Small Signal'!$B$56*'Small Signal'!$B$57*'Small Signal'!$B$8*'Small Signal'!$B$7*('Small Signal'!$B$5+'Small Signal'!$B$6)+('Small Signal'!$B$5+'Small Signal'!$B$6)*('Small Signal'!$B$9*'Small Signal'!$B$8*'Small Signal'!$B$57*'Small Signal'!$B$7)))),-1)</f>
        <v>-2.09235062454387+12.9356657003179i</v>
      </c>
      <c r="Y86" s="233">
        <f t="shared" si="39"/>
        <v>22.348164549827516</v>
      </c>
      <c r="Z86" s="233">
        <f t="shared" si="40"/>
        <v>99.443194587183953</v>
      </c>
      <c r="AA86" s="233" t="str">
        <f t="shared" si="41"/>
        <v>1.00001591873724+0.00445332015743007i</v>
      </c>
      <c r="AB86" s="233" t="str">
        <f t="shared" si="42"/>
        <v>-3.27221703187849+36.3620282340998i</v>
      </c>
      <c r="AC86" s="230">
        <f t="shared" si="43"/>
        <v>31.24799034700164</v>
      </c>
      <c r="AD86" s="233">
        <f t="shared" si="44"/>
        <v>95.142193250800247</v>
      </c>
      <c r="AE86" s="233" t="str">
        <f t="shared" si="45"/>
        <v>-2.02886702815111+21.9307497378633i</v>
      </c>
      <c r="AF86" s="230">
        <f t="shared" si="46"/>
        <v>26.858080735696113</v>
      </c>
      <c r="AG86" s="233">
        <f t="shared" si="47"/>
        <v>95.285527438810433</v>
      </c>
      <c r="AI86" s="233" t="str">
        <f t="shared" si="48"/>
        <v>0.002-2.55565943113355i</v>
      </c>
      <c r="AJ86" s="233">
        <f t="shared" si="49"/>
        <v>0.33750000000000002</v>
      </c>
      <c r="AK86" s="233" t="str">
        <f t="shared" si="50"/>
        <v>0.15-2522.43585852881i</v>
      </c>
      <c r="AL86" s="233" t="str">
        <f t="shared" si="51"/>
        <v>0.33167033391425-0.0438401537200415i</v>
      </c>
      <c r="AM86" s="233" t="str">
        <f t="shared" si="52"/>
        <v>0.366666539405949-0.000216014460329103i</v>
      </c>
      <c r="AN86" s="233" t="str">
        <f t="shared" si="53"/>
        <v>0.005+0.003964421916295i</v>
      </c>
      <c r="AO86" s="233" t="str">
        <f t="shared" si="54"/>
        <v>2.77821923818742-0.208944182293077i</v>
      </c>
      <c r="AP86" s="233">
        <f t="shared" si="61"/>
        <v>8.8998257971741275</v>
      </c>
      <c r="AQ86" s="233">
        <f t="shared" si="62"/>
        <v>-4.3010013363837114</v>
      </c>
      <c r="AS86" s="233" t="str">
        <f t="shared" si="55"/>
        <v>0.37806860026503-0.000229657955017732i</v>
      </c>
      <c r="AT86" s="233" t="str">
        <f t="shared" si="56"/>
        <v>2.81886209315298-0.21456860718167i</v>
      </c>
      <c r="AU86" s="233">
        <f t="shared" si="63"/>
        <v>9.0265673524625747</v>
      </c>
      <c r="AV86" s="233">
        <f t="shared" si="64"/>
        <v>-4.3528961314671557</v>
      </c>
    </row>
    <row r="87" spans="1:48" x14ac:dyDescent="0.25">
      <c r="F87" s="233">
        <v>85</v>
      </c>
      <c r="G87" s="249">
        <f t="shared" si="33"/>
        <v>168.83903860651361</v>
      </c>
      <c r="H87" s="249">
        <f t="shared" si="34"/>
        <v>168.57881372500071</v>
      </c>
      <c r="I87" s="234">
        <f t="shared" si="35"/>
        <v>1</v>
      </c>
      <c r="J87" s="233">
        <f t="shared" si="57"/>
        <v>1</v>
      </c>
      <c r="K87" s="233">
        <f t="shared" si="58"/>
        <v>1</v>
      </c>
      <c r="L87" s="233">
        <f>10^('Small Signal'!F87/30)</f>
        <v>681.29206905796195</v>
      </c>
      <c r="M87" s="233" t="str">
        <f t="shared" si="36"/>
        <v>4280.68431820297i</v>
      </c>
      <c r="N87" s="233">
        <f>IF(D$31=1, IF(AND('Small Signal'!$B$61&gt;=1,FCCM=0),V87+0,S87+0), 0)</f>
        <v>8.8967616432470624</v>
      </c>
      <c r="O87" s="233">
        <f>IF(D$31=1, IF(AND('Small Signal'!$B$61&gt;=1,FCCM=0),W87,T87), 0)</f>
        <v>-4.6431991558713754</v>
      </c>
      <c r="P87" s="233">
        <f>IF(AND('Small Signal'!$B$61&gt;=1,FCCM=0),AF87+0,AC87+0)</f>
        <v>30.591568718430171</v>
      </c>
      <c r="Q87" s="233">
        <f>IF(AND('Small Signal'!$B$61&gt;=1,FCCM=0),AG87,AD87)</f>
        <v>95.288467252254222</v>
      </c>
      <c r="R87" s="233" t="str">
        <f>IMDIV(IMSUM('Small Signal'!$B$2*'Small Signal'!$B$38*'Small Signal'!$B$62,IMPRODUCT(M87,'Small Signal'!$B$2*'Small Signal'!$B$38*'Small Signal'!$B$62*'Small Signal'!$B$14*'Small Signal'!$B$15)),IMSUM(IMPRODUCT('Small Signal'!$B$12*'Small Signal'!$B$14*('Small Signal'!$B$15+'Small Signal'!$B$38),IMPOWER(M87,2)),IMSUM(IMPRODUCT(M87,('Small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2.36234439321084-0.167440157944453i</v>
      </c>
      <c r="S87" s="233">
        <f t="shared" si="59"/>
        <v>8.8967616432470624</v>
      </c>
      <c r="T87" s="233">
        <f t="shared" si="60"/>
        <v>-4.6431991558713754</v>
      </c>
      <c r="U87" s="233" t="str">
        <f>IMDIV(IMSUM('Small Signal'!$B$74,IMPRODUCT(M87,'Small Signal'!$B$75)),IMSUM(IMPRODUCT('Small Signal'!$B$78,IMPOWER(M87,2)),IMSUM(IMPRODUCT(M87,'Small Signal'!$B$77),'Small Signal'!$B$76)))</f>
        <v>1.67588463036164-0.123467475288649i</v>
      </c>
      <c r="V87" s="233">
        <f t="shared" si="37"/>
        <v>4.5083908789478961</v>
      </c>
      <c r="W87" s="233">
        <f t="shared" si="38"/>
        <v>-4.2135405901463292</v>
      </c>
      <c r="X87" s="233" t="str">
        <f>IMPRODUCT(IMDIV(IMSUM(IMPRODUCT(M87,'Small Signal'!$B$57*'Small Signal'!$B$6*'Small Signal'!$B$50*'Small Signal'!$B$7*'Small Signal'!$B$8),'Small Signal'!$B$57*'Small Signal'!$B$6*'Small Signal'!$B$50),IMSUM(IMSUM(IMPRODUCT(M87,('Small Signal'!$B$5+'Small Signal'!$B$6)*('Small Signal'!$B$56*'Small Signal'!$B$57)+'Small Signal'!$B$5*'Small Signal'!$B$57*('Small Signal'!$B$8+'Small Signal'!$B$9)+'Small Signal'!$B$6*'Small Signal'!$B$57*('Small Signal'!$B$8+'Small Signal'!$B$9)+'Small Signal'!$B$7*'Small Signal'!$B$8*('Small Signal'!$B$5+'Small Signal'!$B$6)),'Small Signal'!$B$6+'Small Signal'!$B$5),IMPRODUCT(IMPOWER(M87,2),'Small Signal'!$B$56*'Small Signal'!$B$57*'Small Signal'!$B$8*'Small Signal'!$B$7*('Small Signal'!$B$5+'Small Signal'!$B$6)+('Small Signal'!$B$5+'Small Signal'!$B$6)*('Small Signal'!$B$9*'Small Signal'!$B$8*'Small Signal'!$B$57*'Small Signal'!$B$7)))),-1)</f>
        <v>-2.03869090697826+11.9820250937222i</v>
      </c>
      <c r="Y87" s="233">
        <f t="shared" si="39"/>
        <v>21.694807075183114</v>
      </c>
      <c r="Z87" s="233">
        <f t="shared" si="40"/>
        <v>99.931666408125565</v>
      </c>
      <c r="AA87" s="233" t="str">
        <f t="shared" si="41"/>
        <v>1.00001855984564+0.00480857430189506i</v>
      </c>
      <c r="AB87" s="233" t="str">
        <f t="shared" si="42"/>
        <v>-3.12010195320797+33.7074435636102i</v>
      </c>
      <c r="AC87" s="230">
        <f t="shared" si="43"/>
        <v>30.591568718430171</v>
      </c>
      <c r="AD87" s="233">
        <f t="shared" si="44"/>
        <v>95.288467252254222</v>
      </c>
      <c r="AE87" s="233" t="str">
        <f t="shared" si="45"/>
        <v>-1.93722036989578+20.3322037143551i</v>
      </c>
      <c r="AF87" s="230">
        <f t="shared" si="46"/>
        <v>26.202936332494346</v>
      </c>
      <c r="AG87" s="233">
        <f t="shared" si="47"/>
        <v>95.4426220416956</v>
      </c>
      <c r="AI87" s="233" t="str">
        <f t="shared" si="48"/>
        <v>0.002-2.36684406189175i</v>
      </c>
      <c r="AJ87" s="233">
        <f t="shared" si="49"/>
        <v>0.33750000000000002</v>
      </c>
      <c r="AK87" s="233" t="str">
        <f t="shared" si="50"/>
        <v>0.15-2336.07508908716i</v>
      </c>
      <c r="AL87" s="233" t="str">
        <f t="shared" si="51"/>
        <v>0.330722646135699-0.0472014366389978i</v>
      </c>
      <c r="AM87" s="233" t="str">
        <f t="shared" si="52"/>
        <v>0.366666518291572-0.000233247035535531i</v>
      </c>
      <c r="AN87" s="233" t="str">
        <f t="shared" si="53"/>
        <v>0.005+0.00428068431820297i</v>
      </c>
      <c r="AO87" s="233" t="str">
        <f t="shared" si="54"/>
        <v>2.77594232849211-0.225453663986118i</v>
      </c>
      <c r="AP87" s="233">
        <f t="shared" si="61"/>
        <v>8.8967616432470624</v>
      </c>
      <c r="AQ87" s="233">
        <f t="shared" si="62"/>
        <v>-4.6431991558713754</v>
      </c>
      <c r="AS87" s="233" t="str">
        <f t="shared" si="55"/>
        <v>0.378068577119014-0.000247978940477418i</v>
      </c>
      <c r="AT87" s="233" t="str">
        <f t="shared" si="56"/>
        <v>2.81648241669567-0.231516300423819i</v>
      </c>
      <c r="AU87" s="233">
        <f t="shared" si="63"/>
        <v>9.0233871388864362</v>
      </c>
      <c r="AV87" s="233">
        <f t="shared" si="64"/>
        <v>-4.6991774951974516</v>
      </c>
    </row>
    <row r="88" spans="1:48" x14ac:dyDescent="0.25">
      <c r="A88" s="235" t="s">
        <v>333</v>
      </c>
      <c r="B88" s="233">
        <f>Lo_ss*q_2*w_2</f>
        <v>0.3666666666666667</v>
      </c>
      <c r="C88" s="233">
        <f>Lo_ss*q_2_vimax*w_2</f>
        <v>0.37806873977086741</v>
      </c>
      <c r="F88" s="233">
        <v>86</v>
      </c>
      <c r="G88" s="249">
        <f t="shared" si="33"/>
        <v>168.85979638331824</v>
      </c>
      <c r="H88" s="249">
        <f t="shared" si="34"/>
        <v>168.57881372500071</v>
      </c>
      <c r="I88" s="234">
        <f t="shared" si="35"/>
        <v>1</v>
      </c>
      <c r="J88" s="233">
        <f t="shared" si="57"/>
        <v>1</v>
      </c>
      <c r="K88" s="233">
        <f t="shared" si="58"/>
        <v>1</v>
      </c>
      <c r="L88" s="233">
        <f>10^('Small Signal'!F88/30)</f>
        <v>735.64225445964166</v>
      </c>
      <c r="M88" s="233" t="str">
        <f t="shared" si="36"/>
        <v>4622.17660456129i</v>
      </c>
      <c r="N88" s="233">
        <f>IF(D$31=1, IF(AND('Small Signal'!$B$61&gt;=1,FCCM=0),V88+0,S88+0), 0)</f>
        <v>8.8931916826846287</v>
      </c>
      <c r="O88" s="233">
        <f>IF(D$31=1, IF(AND('Small Signal'!$B$61&gt;=1,FCCM=0),W88,T88), 0)</f>
        <v>-5.0124598996552665</v>
      </c>
      <c r="P88" s="233">
        <f>IF(AND('Small Signal'!$B$61&gt;=1,FCCM=0),AF88+0,AC88+0)</f>
        <v>29.936640349882452</v>
      </c>
      <c r="Q88" s="233">
        <f>IF(AND('Small Signal'!$B$61&gt;=1,FCCM=0),AG88,AD88)</f>
        <v>95.463539121132953</v>
      </c>
      <c r="R88" s="233" t="str">
        <f>IMDIV(IMSUM('Small Signal'!$B$2*'Small Signal'!$B$38*'Small Signal'!$B$62,IMPRODUCT(M88,'Small Signal'!$B$2*'Small Signal'!$B$38*'Small Signal'!$B$62*'Small Signal'!$B$14*'Small Signal'!$B$15)),IMSUM(IMPRODUCT('Small Signal'!$B$12*'Small Signal'!$B$14*('Small Signal'!$B$15+'Small Signal'!$B$38),IMPOWER(M88,2)),IMSUM(IMPRODUCT(M88,('Small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2.36075309190654-0.180704647372438i</v>
      </c>
      <c r="S88" s="233">
        <f t="shared" si="59"/>
        <v>8.8931916826846287</v>
      </c>
      <c r="T88" s="233">
        <f t="shared" si="60"/>
        <v>-5.0124598996552665</v>
      </c>
      <c r="U88" s="233" t="str">
        <f>IMDIV(IMSUM('Small Signal'!$B$74,IMPRODUCT(M88,'Small Signal'!$B$75)),IMSUM(IMPRODUCT('Small Signal'!$B$78,IMPOWER(M88,2)),IMSUM(IMPRODUCT(M88,'Small Signal'!$B$77),'Small Signal'!$B$76)))</f>
        <v>1.67473904008419-0.133254847404431i</v>
      </c>
      <c r="V88" s="233">
        <f t="shared" si="37"/>
        <v>4.5063513642148898</v>
      </c>
      <c r="W88" s="233">
        <f t="shared" si="38"/>
        <v>-4.5492992365189879</v>
      </c>
      <c r="X88" s="233" t="str">
        <f>IMPRODUCT(IMDIV(IMSUM(IMPRODUCT(M88,'Small Signal'!$B$57*'Small Signal'!$B$6*'Small Signal'!$B$50*'Small Signal'!$B$7*'Small Signal'!$B$8),'Small Signal'!$B$57*'Small Signal'!$B$6*'Small Signal'!$B$50),IMSUM(IMSUM(IMPRODUCT(M88,('Small Signal'!$B$5+'Small Signal'!$B$6)*('Small Signal'!$B$56*'Small Signal'!$B$57)+'Small Signal'!$B$5*'Small Signal'!$B$57*('Small Signal'!$B$8+'Small Signal'!$B$9)+'Small Signal'!$B$6*'Small Signal'!$B$57*('Small Signal'!$B$8+'Small Signal'!$B$9)+'Small Signal'!$B$7*'Small Signal'!$B$8*('Small Signal'!$B$5+'Small Signal'!$B$6)),'Small Signal'!$B$6+'Small Signal'!$B$5),IMPRODUCT(IMPOWER(M88,2),'Small Signal'!$B$56*'Small Signal'!$B$57*'Small Signal'!$B$8*'Small Signal'!$B$7*('Small Signal'!$B$5+'Small Signal'!$B$6)+('Small Signal'!$B$5+'Small Signal'!$B$6)*('Small Signal'!$B$9*'Small Signal'!$B$8*'Small Signal'!$B$57*'Small Signal'!$B$7)))),-1)</f>
        <v>-1.99265636045243+11.0985915756819i</v>
      </c>
      <c r="Y88" s="233">
        <f t="shared" si="39"/>
        <v>21.043448667197829</v>
      </c>
      <c r="Z88" s="233">
        <f t="shared" si="40"/>
        <v>100.47599902078822</v>
      </c>
      <c r="AA88" s="233" t="str">
        <f t="shared" si="41"/>
        <v>1.00002163913784+0.00519216626397786i</v>
      </c>
      <c r="AB88" s="233" t="str">
        <f t="shared" si="42"/>
        <v>-2.98899422483092+31.2503235213757i</v>
      </c>
      <c r="AC88" s="230">
        <f t="shared" si="43"/>
        <v>29.936640349882452</v>
      </c>
      <c r="AD88" s="233">
        <f t="shared" si="44"/>
        <v>95.463539121132953</v>
      </c>
      <c r="AE88" s="233" t="str">
        <f t="shared" si="45"/>
        <v>-1.85823827350016+18.8527757209855i</v>
      </c>
      <c r="AF88" s="230">
        <f t="shared" si="46"/>
        <v>25.549495005256958</v>
      </c>
      <c r="AG88" s="233">
        <f t="shared" si="47"/>
        <v>95.629219681163747</v>
      </c>
      <c r="AI88" s="233" t="str">
        <f t="shared" si="48"/>
        <v>0.002-2.19197861227838i</v>
      </c>
      <c r="AJ88" s="233">
        <f t="shared" si="49"/>
        <v>0.33750000000000002</v>
      </c>
      <c r="AK88" s="233" t="str">
        <f t="shared" si="50"/>
        <v>0.15-2163.48289031876i</v>
      </c>
      <c r="AL88" s="233" t="str">
        <f t="shared" si="51"/>
        <v>0.329624579531001-0.0507966968061717i</v>
      </c>
      <c r="AM88" s="233" t="str">
        <f t="shared" si="52"/>
        <v>0.366666493674018-0.000251854338748634i</v>
      </c>
      <c r="AN88" s="233" t="str">
        <f t="shared" si="53"/>
        <v>0.005+0.00462217660456129i</v>
      </c>
      <c r="AO88" s="233" t="str">
        <f t="shared" si="54"/>
        <v>2.77329160487924-0.243239301309118i</v>
      </c>
      <c r="AP88" s="233">
        <f t="shared" si="61"/>
        <v>8.8931916826846287</v>
      </c>
      <c r="AQ88" s="233">
        <f t="shared" si="62"/>
        <v>-5.0124598996552665</v>
      </c>
      <c r="AS88" s="233" t="str">
        <f t="shared" si="55"/>
        <v>0.378068550132742-0.000267761481595229i</v>
      </c>
      <c r="AT88" s="233" t="str">
        <f t="shared" si="56"/>
        <v>2.8137122213207-0.249772427281808i</v>
      </c>
      <c r="AU88" s="233">
        <f t="shared" si="63"/>
        <v>9.0196820789639283</v>
      </c>
      <c r="AV88" s="233">
        <f t="shared" si="64"/>
        <v>-5.0728330610504564</v>
      </c>
    </row>
    <row r="89" spans="1:48" x14ac:dyDescent="0.25">
      <c r="A89" s="235" t="s">
        <v>334</v>
      </c>
      <c r="B89" s="233">
        <f>1/(Lo_ss*w_2^2)</f>
        <v>4.0528473456935115E-7</v>
      </c>
      <c r="F89" s="233">
        <v>87</v>
      </c>
      <c r="G89" s="249">
        <f t="shared" si="33"/>
        <v>168.88220967360934</v>
      </c>
      <c r="H89" s="249">
        <f t="shared" si="34"/>
        <v>168.57881372500071</v>
      </c>
      <c r="I89" s="234">
        <f t="shared" si="35"/>
        <v>1</v>
      </c>
      <c r="J89" s="233">
        <f t="shared" si="57"/>
        <v>1</v>
      </c>
      <c r="K89" s="233">
        <f t="shared" si="58"/>
        <v>1</v>
      </c>
      <c r="L89" s="233">
        <f>10^('Small Signal'!F89/30)</f>
        <v>794.32823472428208</v>
      </c>
      <c r="M89" s="233" t="str">
        <f t="shared" si="36"/>
        <v>4990.91149349751i</v>
      </c>
      <c r="N89" s="233">
        <f>IF(D$31=1, IF(AND('Small Signal'!$B$61&gt;=1,FCCM=0),V89+0,S89+0), 0)</f>
        <v>8.8890329166052187</v>
      </c>
      <c r="O89" s="233">
        <f>IF(D$31=1, IF(AND('Small Signal'!$B$61&gt;=1,FCCM=0),W89,T89), 0)</f>
        <v>-5.4108818957111477</v>
      </c>
      <c r="P89" s="233">
        <f>IF(AND('Small Signal'!$B$61&gt;=1,FCCM=0),AF89+0,AC89+0)</f>
        <v>29.28346045890299</v>
      </c>
      <c r="Q89" s="233">
        <f>IF(AND('Small Signal'!$B$61&gt;=1,FCCM=0),AG89,AD89)</f>
        <v>95.667854932964332</v>
      </c>
      <c r="R89" s="233" t="str">
        <f>IMDIV(IMSUM('Small Signal'!$B$2*'Small Signal'!$B$38*'Small Signal'!$B$62,IMPRODUCT(M89,'Small Signal'!$B$2*'Small Signal'!$B$38*'Small Signal'!$B$62*'Small Signal'!$B$14*'Small Signal'!$B$15)),IMSUM(IMPRODUCT('Small Signal'!$B$12*'Small Signal'!$B$14*('Small Signal'!$B$15+'Small Signal'!$B$38),IMPOWER(M89,2)),IMSUM(IMPRODUCT(M89,('Small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2.35889968127174-0.195003331204796i</v>
      </c>
      <c r="S89" s="233">
        <f t="shared" si="59"/>
        <v>8.8890329166052187</v>
      </c>
      <c r="T89" s="233">
        <f t="shared" si="60"/>
        <v>-5.4108818957111477</v>
      </c>
      <c r="U89" s="233" t="str">
        <f>IMDIV(IMSUM('Small Signal'!$B$74,IMPRODUCT(M89,'Small Signal'!$B$75)),IMSUM(IMPRODUCT('Small Signal'!$B$78,IMPOWER(M89,2)),IMSUM(IMPRODUCT(M89,'Small Signal'!$B$77),'Small Signal'!$B$76)))</f>
        <v>1.67340452611332-0.143806948034623i</v>
      </c>
      <c r="V89" s="233">
        <f t="shared" si="37"/>
        <v>4.5039741247419176</v>
      </c>
      <c r="W89" s="233">
        <f t="shared" si="38"/>
        <v>-4.9117455709357625</v>
      </c>
      <c r="X89" s="233" t="str">
        <f>IMPRODUCT(IMDIV(IMSUM(IMPRODUCT(M89,'Small Signal'!$B$57*'Small Signal'!$B$6*'Small Signal'!$B$50*'Small Signal'!$B$7*'Small Signal'!$B$8),'Small Signal'!$B$57*'Small Signal'!$B$6*'Small Signal'!$B$50),IMSUM(IMSUM(IMPRODUCT(M89,('Small Signal'!$B$5+'Small Signal'!$B$6)*('Small Signal'!$B$56*'Small Signal'!$B$57)+'Small Signal'!$B$5*'Small Signal'!$B$57*('Small Signal'!$B$8+'Small Signal'!$B$9)+'Small Signal'!$B$6*'Small Signal'!$B$57*('Small Signal'!$B$8+'Small Signal'!$B$9)+'Small Signal'!$B$7*'Small Signal'!$B$8*('Small Signal'!$B$5+'Small Signal'!$B$6)),'Small Signal'!$B$6+'Small Signal'!$B$5),IMPRODUCT(IMPOWER(M89,2),'Small Signal'!$B$56*'Small Signal'!$B$57*'Small Signal'!$B$8*'Small Signal'!$B$7*('Small Signal'!$B$5+'Small Signal'!$B$6)+('Small Signal'!$B$5+'Small Signal'!$B$6)*('Small Signal'!$B$9*'Small Signal'!$B$8*'Small Signal'!$B$57*'Small Signal'!$B$7)))),-1)</f>
        <v>-1.95316454758177+10.2802432591397i</v>
      </c>
      <c r="Y89" s="233">
        <f t="shared" si="39"/>
        <v>20.39442754229778</v>
      </c>
      <c r="Z89" s="233">
        <f t="shared" si="40"/>
        <v>101.07873682867547</v>
      </c>
      <c r="AA89" s="233" t="str">
        <f t="shared" si="41"/>
        <v>1.00002522930973+0.00560635601429252i</v>
      </c>
      <c r="AB89" s="233" t="str">
        <f t="shared" si="42"/>
        <v>-2.8758125350168+28.9764120677366i</v>
      </c>
      <c r="AC89" s="230">
        <f t="shared" si="43"/>
        <v>29.28346045890299</v>
      </c>
      <c r="AD89" s="233">
        <f t="shared" si="44"/>
        <v>95.667854932964332</v>
      </c>
      <c r="AE89" s="233" t="str">
        <f t="shared" si="45"/>
        <v>-1.79006398601702+17.4838842319875i</v>
      </c>
      <c r="AF89" s="230">
        <f t="shared" si="46"/>
        <v>24.898046035748841</v>
      </c>
      <c r="AG89" s="233">
        <f t="shared" si="47"/>
        <v>95.845782188774734</v>
      </c>
      <c r="AI89" s="233" t="str">
        <f t="shared" si="48"/>
        <v>0.002-2.03003244448877i</v>
      </c>
      <c r="AJ89" s="233">
        <f t="shared" si="49"/>
        <v>0.33750000000000002</v>
      </c>
      <c r="AK89" s="233" t="str">
        <f t="shared" si="50"/>
        <v>0.15-2003.64202271041i</v>
      </c>
      <c r="AL89" s="233" t="str">
        <f t="shared" si="51"/>
        <v>0.328353554151568-0.054636233968414i</v>
      </c>
      <c r="AM89" s="233" t="str">
        <f t="shared" si="52"/>
        <v>0.366666464972063-0.000271946038217824i</v>
      </c>
      <c r="AN89" s="233" t="str">
        <f t="shared" si="53"/>
        <v>0.005+0.00499091149349751i</v>
      </c>
      <c r="AO89" s="233" t="str">
        <f t="shared" si="54"/>
        <v>2.77020645565102-0.262392450168414i</v>
      </c>
      <c r="AP89" s="233">
        <f t="shared" si="61"/>
        <v>8.8890329166052187</v>
      </c>
      <c r="AQ89" s="233">
        <f t="shared" si="62"/>
        <v>-5.4108818957111477</v>
      </c>
      <c r="AS89" s="233" t="str">
        <f t="shared" si="55"/>
        <v>0.378068518669065-0.000289122173193226i</v>
      </c>
      <c r="AT89" s="233" t="str">
        <f t="shared" si="56"/>
        <v>2.81048824616969-0.269430239690851i</v>
      </c>
      <c r="AU89" s="233">
        <f t="shared" si="63"/>
        <v>9.0153660918392404</v>
      </c>
      <c r="AV89" s="233">
        <f t="shared" si="64"/>
        <v>-5.4759822883677876</v>
      </c>
    </row>
    <row r="90" spans="1:48" x14ac:dyDescent="0.25">
      <c r="F90" s="233">
        <v>88</v>
      </c>
      <c r="G90" s="249">
        <f t="shared" si="33"/>
        <v>168.90641043193693</v>
      </c>
      <c r="H90" s="249">
        <f t="shared" si="34"/>
        <v>168.57881372500071</v>
      </c>
      <c r="I90" s="234">
        <f t="shared" si="35"/>
        <v>1</v>
      </c>
      <c r="J90" s="233">
        <f t="shared" si="57"/>
        <v>1</v>
      </c>
      <c r="K90" s="233">
        <f t="shared" si="58"/>
        <v>1</v>
      </c>
      <c r="L90" s="233">
        <f>10^('Small Signal'!F90/30)</f>
        <v>857.69589859089422</v>
      </c>
      <c r="M90" s="233" t="str">
        <f t="shared" si="36"/>
        <v>5389.0622680545i</v>
      </c>
      <c r="N90" s="233">
        <f>IF(D$31=1, IF(AND('Small Signal'!$B$61&gt;=1,FCCM=0),V90+0,S90+0), 0)</f>
        <v>8.8841889033684573</v>
      </c>
      <c r="O90" s="233">
        <f>IF(D$31=1, IF(AND('Small Signal'!$B$61&gt;=1,FCCM=0),W90,T90), 0)</f>
        <v>-5.8407153906785423</v>
      </c>
      <c r="P90" s="233">
        <f>IF(AND('Small Signal'!$B$61&gt;=1,FCCM=0),AF90+0,AC90+0)</f>
        <v>28.632317986279602</v>
      </c>
      <c r="Q90" s="233">
        <f>IF(AND('Small Signal'!$B$61&gt;=1,FCCM=0),AG90,AD90)</f>
        <v>95.901888813095923</v>
      </c>
      <c r="R90" s="233" t="str">
        <f>IMDIV(IMSUM('Small Signal'!$B$2*'Small Signal'!$B$38*'Small Signal'!$B$62,IMPRODUCT(M90,'Small Signal'!$B$2*'Small Signal'!$B$38*'Small Signal'!$B$62*'Small Signal'!$B$14*'Small Signal'!$B$15)),IMSUM(IMPRODUCT('Small Signal'!$B$12*'Small Signal'!$B$14*('Small Signal'!$B$15+'Small Signal'!$B$38),IMPOWER(M90,2)),IMSUM(IMPRODUCT(M90,('Small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2.356741355941-0.210412557477979i</v>
      </c>
      <c r="S90" s="233">
        <f t="shared" si="59"/>
        <v>8.8841889033684573</v>
      </c>
      <c r="T90" s="233">
        <f t="shared" si="60"/>
        <v>-5.8407153906785423</v>
      </c>
      <c r="U90" s="233" t="str">
        <f>IMDIV(IMSUM('Small Signal'!$B$74,IMPRODUCT(M90,'Small Signal'!$B$75)),IMSUM(IMPRODUCT('Small Signal'!$B$78,IMPOWER(M90,2)),IMSUM(IMPRODUCT(M90,'Small Signal'!$B$77),'Small Signal'!$B$76)))</f>
        <v>1.67185015330912-0.155180653667575i</v>
      </c>
      <c r="V90" s="233">
        <f t="shared" si="37"/>
        <v>4.5012033637733415</v>
      </c>
      <c r="W90" s="233">
        <f t="shared" si="38"/>
        <v>-5.3029834361704093</v>
      </c>
      <c r="X90" s="233" t="str">
        <f>IMPRODUCT(IMDIV(IMSUM(IMPRODUCT(M90,'Small Signal'!$B$57*'Small Signal'!$B$6*'Small Signal'!$B$50*'Small Signal'!$B$7*'Small Signal'!$B$8),'Small Signal'!$B$57*'Small Signal'!$B$6*'Small Signal'!$B$50),IMSUM(IMSUM(IMPRODUCT(M90,('Small Signal'!$B$5+'Small Signal'!$B$6)*('Small Signal'!$B$56*'Small Signal'!$B$57)+'Small Signal'!$B$5*'Small Signal'!$B$57*('Small Signal'!$B$8+'Small Signal'!$B$9)+'Small Signal'!$B$6*'Small Signal'!$B$57*('Small Signal'!$B$8+'Small Signal'!$B$9)+'Small Signal'!$B$7*'Small Signal'!$B$8*('Small Signal'!$B$5+'Small Signal'!$B$6)),'Small Signal'!$B$6+'Small Signal'!$B$5),IMPRODUCT(IMPOWER(M90,2),'Small Signal'!$B$56*'Small Signal'!$B$57*'Small Signal'!$B$8*'Small Signal'!$B$7*('Small Signal'!$B$5+'Small Signal'!$B$6)+('Small Signal'!$B$5+'Small Signal'!$B$6)*('Small Signal'!$B$9*'Small Signal'!$B$8*'Small Signal'!$B$57*'Small Signal'!$B$7)))),-1)</f>
        <v>-1.9192863312284+9.52222441817831i</v>
      </c>
      <c r="Y90" s="233">
        <f t="shared" si="39"/>
        <v>19.748129082911145</v>
      </c>
      <c r="Z90" s="233">
        <f t="shared" si="40"/>
        <v>101.74260420377446</v>
      </c>
      <c r="AA90" s="233" t="str">
        <f t="shared" si="41"/>
        <v>1.00002941511671+0.00605358363604225i</v>
      </c>
      <c r="AB90" s="233" t="str">
        <f t="shared" si="42"/>
        <v>-2.7778961337015+26.872481184784i</v>
      </c>
      <c r="AC90" s="230">
        <f t="shared" si="43"/>
        <v>28.632317986279602</v>
      </c>
      <c r="AD90" s="233">
        <f t="shared" si="44"/>
        <v>95.901888813095923</v>
      </c>
      <c r="AE90" s="233" t="str">
        <f t="shared" si="45"/>
        <v>-1.73109413752604+16.2175684608305i</v>
      </c>
      <c r="AF90" s="230">
        <f t="shared" si="46"/>
        <v>24.248917815250614</v>
      </c>
      <c r="AG90" s="233">
        <f t="shared" si="47"/>
        <v>96.092790412852636</v>
      </c>
      <c r="AI90" s="233" t="str">
        <f t="shared" si="48"/>
        <v>0.002-1.88005106555013i</v>
      </c>
      <c r="AJ90" s="233">
        <f t="shared" si="49"/>
        <v>0.33750000000000002</v>
      </c>
      <c r="AK90" s="233" t="str">
        <f t="shared" si="50"/>
        <v>0.15-1855.61040169797i</v>
      </c>
      <c r="AL90" s="233" t="str">
        <f t="shared" si="51"/>
        <v>0.326884042723603-0.0587292179107343i</v>
      </c>
      <c r="AM90" s="233" t="str">
        <f t="shared" si="52"/>
        <v>0.366666431508045-0.000293640550761758i</v>
      </c>
      <c r="AN90" s="233" t="str">
        <f t="shared" si="53"/>
        <v>0.005+0.0053890622680545i</v>
      </c>
      <c r="AO90" s="233" t="str">
        <f t="shared" si="54"/>
        <v>2.76661671171436-0.283009112586802i</v>
      </c>
      <c r="AP90" s="233">
        <f t="shared" si="61"/>
        <v>8.8841889033684573</v>
      </c>
      <c r="AQ90" s="233">
        <f t="shared" si="62"/>
        <v>-5.8407153906785423</v>
      </c>
      <c r="AS90" s="233" t="str">
        <f t="shared" si="55"/>
        <v>0.378068481985116-0.000312186911200788i</v>
      </c>
      <c r="AT90" s="233" t="str">
        <f t="shared" si="56"/>
        <v>2.8067372764653-0.290587618097182i</v>
      </c>
      <c r="AU90" s="233">
        <f t="shared" si="63"/>
        <v>9.0103391697997814</v>
      </c>
      <c r="AV90" s="233">
        <f t="shared" si="64"/>
        <v>-5.9108973059303418</v>
      </c>
    </row>
    <row r="91" spans="1:48" x14ac:dyDescent="0.25">
      <c r="F91" s="233">
        <v>89</v>
      </c>
      <c r="G91" s="249">
        <f t="shared" si="33"/>
        <v>168.9325411099569</v>
      </c>
      <c r="H91" s="249">
        <f t="shared" si="34"/>
        <v>168.57881372500071</v>
      </c>
      <c r="I91" s="234">
        <f t="shared" si="35"/>
        <v>1</v>
      </c>
      <c r="J91" s="233">
        <f t="shared" si="57"/>
        <v>1</v>
      </c>
      <c r="K91" s="233">
        <f t="shared" si="58"/>
        <v>1</v>
      </c>
      <c r="L91" s="233">
        <f>10^('Small Signal'!F91/30)</f>
        <v>926.11872812879471</v>
      </c>
      <c r="M91" s="233" t="str">
        <f t="shared" si="36"/>
        <v>5818.97558528269i</v>
      </c>
      <c r="N91" s="233">
        <f>IF(D$31=1, IF(AND('Small Signal'!$B$61&gt;=1,FCCM=0),V91+0,S91+0), 0)</f>
        <v>8.8785476441822926</v>
      </c>
      <c r="O91" s="233">
        <f>IF(D$31=1, IF(AND('Small Signal'!$B$61&gt;=1,FCCM=0),W91,T91), 0)</f>
        <v>-6.3043707640208142</v>
      </c>
      <c r="P91" s="233">
        <f>IF(AND('Small Signal'!$B$61&gt;=1,FCCM=0),AF91+0,AC91+0)</f>
        <v>27.983539870407608</v>
      </c>
      <c r="Q91" s="233">
        <f>IF(AND('Small Signal'!$B$61&gt;=1,FCCM=0),AG91,AD91)</f>
        <v>96.166112736967307</v>
      </c>
      <c r="R91" s="233" t="str">
        <f>IMDIV(IMSUM('Small Signal'!$B$2*'Small Signal'!$B$38*'Small Signal'!$B$62,IMPRODUCT(M91,'Small Signal'!$B$2*'Small Signal'!$B$38*'Small Signal'!$B$62*'Small Signal'!$B$14*'Small Signal'!$B$15)),IMSUM(IMPRODUCT('Small Signal'!$B$12*'Small Signal'!$B$14*('Small Signal'!$B$15+'Small Signal'!$B$38),IMPOWER(M91,2)),IMSUM(IMPRODUCT(M91,('Small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2.35422845129097-0.227013196596258i</v>
      </c>
      <c r="S91" s="233">
        <f t="shared" si="59"/>
        <v>8.8785476441822926</v>
      </c>
      <c r="T91" s="233">
        <f t="shared" si="60"/>
        <v>-6.3043707640208142</v>
      </c>
      <c r="U91" s="233" t="str">
        <f>IMDIV(IMSUM('Small Signal'!$B$74,IMPRODUCT(M91,'Small Signal'!$B$75)),IMSUM(IMPRODUCT('Small Signal'!$B$78,IMPOWER(M91,2)),IMSUM(IMPRODUCT(M91,'Small Signal'!$B$77),'Small Signal'!$B$76)))</f>
        <v>1.67004000019331-0.167436322134292i</v>
      </c>
      <c r="V91" s="233">
        <f t="shared" si="37"/>
        <v>4.4979741117701613</v>
      </c>
      <c r="W91" s="233">
        <f t="shared" si="38"/>
        <v>-5.725278027463693</v>
      </c>
      <c r="X91" s="233" t="str">
        <f>IMPRODUCT(IMDIV(IMSUM(IMPRODUCT(M91,'Small Signal'!$B$57*'Small Signal'!$B$6*'Small Signal'!$B$50*'Small Signal'!$B$7*'Small Signal'!$B$8),'Small Signal'!$B$57*'Small Signal'!$B$6*'Small Signal'!$B$50),IMSUM(IMSUM(IMPRODUCT(M91,('Small Signal'!$B$5+'Small Signal'!$B$6)*('Small Signal'!$B$56*'Small Signal'!$B$57)+'Small Signal'!$B$5*'Small Signal'!$B$57*('Small Signal'!$B$8+'Small Signal'!$B$9)+'Small Signal'!$B$6*'Small Signal'!$B$57*('Small Signal'!$B$8+'Small Signal'!$B$9)+'Small Signal'!$B$7*'Small Signal'!$B$8*('Small Signal'!$B$5+'Small Signal'!$B$6)),'Small Signal'!$B$6+'Small Signal'!$B$5),IMPRODUCT(IMPOWER(M91,2),'Small Signal'!$B$56*'Small Signal'!$B$57*'Small Signal'!$B$8*'Small Signal'!$B$7*('Small Signal'!$B$5+'Small Signal'!$B$6)+('Small Signal'!$B$5+'Small Signal'!$B$6)*('Small Signal'!$B$9*'Small Signal'!$B$8*'Small Signal'!$B$57*'Small Signal'!$B$7)))),-1)</f>
        <v>-1.89022424761745+8.82012103551078i</v>
      </c>
      <c r="Y91" s="233">
        <f t="shared" si="39"/>
        <v>19.104992226225324</v>
      </c>
      <c r="Z91" s="233">
        <f t="shared" si="40"/>
        <v>102.47048350098814</v>
      </c>
      <c r="AA91" s="233" t="str">
        <f t="shared" si="41"/>
        <v>1.00003429537384+0.00653648364772429i</v>
      </c>
      <c r="AB91" s="233" t="str">
        <f t="shared" si="42"/>
        <v>-2.69294309469889+24.9262621769421i</v>
      </c>
      <c r="AC91" s="230">
        <f t="shared" si="43"/>
        <v>27.983539870407608</v>
      </c>
      <c r="AD91" s="233">
        <f t="shared" si="44"/>
        <v>96.166112736967307</v>
      </c>
      <c r="AE91" s="233" t="str">
        <f t="shared" si="45"/>
        <v>-1.67994147589122+15.0464471318796i</v>
      </c>
      <c r="AF91" s="230">
        <f t="shared" si="46"/>
        <v>23.60248291895779</v>
      </c>
      <c r="AG91" s="233">
        <f t="shared" si="47"/>
        <v>96.370710724353899</v>
      </c>
      <c r="AI91" s="233" t="str">
        <f t="shared" si="48"/>
        <v>0.002-1.74115050164446i</v>
      </c>
      <c r="AJ91" s="233">
        <f t="shared" si="49"/>
        <v>0.33750000000000002</v>
      </c>
      <c r="AK91" s="233" t="str">
        <f t="shared" si="50"/>
        <v>0.15-1718.51554512308i</v>
      </c>
      <c r="AL91" s="233" t="str">
        <f t="shared" si="51"/>
        <v>0.325187339711065-0.0630831860383682i</v>
      </c>
      <c r="AM91" s="233" t="str">
        <f t="shared" si="52"/>
        <v>0.366666392491872-0.0003170657396265i</v>
      </c>
      <c r="AN91" s="233" t="str">
        <f t="shared" si="53"/>
        <v>0.005+0.00581897558528269i</v>
      </c>
      <c r="AO91" s="233" t="str">
        <f t="shared" si="54"/>
        <v>2.76244123583476-0.305189652664104i</v>
      </c>
      <c r="AP91" s="233">
        <f t="shared" si="61"/>
        <v>8.8785476441822926</v>
      </c>
      <c r="AQ91" s="233">
        <f t="shared" si="62"/>
        <v>-6.3043707640208142</v>
      </c>
      <c r="AS91" s="233" t="str">
        <f t="shared" si="55"/>
        <v>0.378068439214782-0.00033709163458373i</v>
      </c>
      <c r="AT91" s="233" t="str">
        <f t="shared" si="56"/>
        <v>2.80237468186444-0.313346745456062i</v>
      </c>
      <c r="AU91" s="233">
        <f t="shared" si="63"/>
        <v>9.0044851931135064</v>
      </c>
      <c r="AV91" s="233">
        <f t="shared" si="64"/>
        <v>-6.3800109546106016</v>
      </c>
    </row>
    <row r="92" spans="1:48" x14ac:dyDescent="0.25">
      <c r="F92" s="233">
        <v>90</v>
      </c>
      <c r="G92" s="249">
        <f t="shared" si="33"/>
        <v>168.96075548618126</v>
      </c>
      <c r="H92" s="249">
        <f t="shared" si="34"/>
        <v>168.57881372500071</v>
      </c>
      <c r="I92" s="234">
        <f t="shared" si="35"/>
        <v>1</v>
      </c>
      <c r="J92" s="233">
        <f t="shared" si="57"/>
        <v>1</v>
      </c>
      <c r="K92" s="233">
        <f t="shared" si="58"/>
        <v>1</v>
      </c>
      <c r="L92" s="233">
        <f>10^('Small Signal'!F92/30)</f>
        <v>1000</v>
      </c>
      <c r="M92" s="233" t="str">
        <f t="shared" si="36"/>
        <v>6283.18530717959i</v>
      </c>
      <c r="N92" s="233">
        <f>IF(D$31=1, IF(AND('Small Signal'!$B$61&gt;=1,FCCM=0),V92+0,S92+0), 0)</f>
        <v>8.8719791584783945</v>
      </c>
      <c r="O92" s="233">
        <f>IF(D$31=1, IF(AND('Small Signal'!$B$61&gt;=1,FCCM=0),W92,T92), 0)</f>
        <v>-6.8044264330832105</v>
      </c>
      <c r="P92" s="233">
        <f>IF(AND('Small Signal'!$B$61&gt;=1,FCCM=0),AF92+0,AC92+0)</f>
        <v>27.337495399018763</v>
      </c>
      <c r="Q92" s="233">
        <f>IF(AND('Small Signal'!$B$61&gt;=1,FCCM=0),AG92,AD92)</f>
        <v>96.460959437714351</v>
      </c>
      <c r="R92" s="233" t="str">
        <f>IMDIV(IMSUM('Small Signal'!$B$2*'Small Signal'!$B$38*'Small Signal'!$B$62,IMPRODUCT(M92,'Small Signal'!$B$2*'Small Signal'!$B$38*'Small Signal'!$B$62*'Small Signal'!$B$14*'Small Signal'!$B$15)),IMSUM(IMPRODUCT('Small Signal'!$B$12*'Small Signal'!$B$14*('Small Signal'!$B$15+'Small Signal'!$B$38),IMPOWER(M92,2)),IMSUM(IMPRODUCT(M92,('Small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2.35130339121865-0.24489060776079i</v>
      </c>
      <c r="S92" s="233">
        <f t="shared" si="59"/>
        <v>8.8719791584783945</v>
      </c>
      <c r="T92" s="233">
        <f t="shared" si="60"/>
        <v>-6.8044264330832105</v>
      </c>
      <c r="U92" s="233" t="str">
        <f>IMDIV(IMSUM('Small Signal'!$B$74,IMPRODUCT(M92,'Small Signal'!$B$75)),IMSUM(IMPRODUCT('Small Signal'!$B$78,IMPOWER(M92,2)),IMSUM(IMPRODUCT(M92,'Small Signal'!$B$77),'Small Signal'!$B$76)))</f>
        <v>1.66793238356118-0.180637803096361i</v>
      </c>
      <c r="V92" s="233">
        <f t="shared" si="37"/>
        <v>4.4942107347552067</v>
      </c>
      <c r="W92" s="233">
        <f t="shared" si="38"/>
        <v>-6.1810671027230839</v>
      </c>
      <c r="X92" s="233" t="str">
        <f>IMPRODUCT(IMDIV(IMSUM(IMPRODUCT(M92,'Small Signal'!$B$57*'Small Signal'!$B$6*'Small Signal'!$B$50*'Small Signal'!$B$7*'Small Signal'!$B$8),'Small Signal'!$B$57*'Small Signal'!$B$6*'Small Signal'!$B$50),IMSUM(IMSUM(IMPRODUCT(M92,('Small Signal'!$B$5+'Small Signal'!$B$6)*('Small Signal'!$B$56*'Small Signal'!$B$57)+'Small Signal'!$B$5*'Small Signal'!$B$57*('Small Signal'!$B$8+'Small Signal'!$B$9)+'Small Signal'!$B$6*'Small Signal'!$B$57*('Small Signal'!$B$8+'Small Signal'!$B$9)+'Small Signal'!$B$7*'Small Signal'!$B$8*('Small Signal'!$B$5+'Small Signal'!$B$6)),'Small Signal'!$B$6+'Small Signal'!$B$5),IMPRODUCT(IMPOWER(M92,2),'Small Signal'!$B$56*'Small Signal'!$B$57*'Small Signal'!$B$8*'Small Signal'!$B$7*('Small Signal'!$B$5+'Small Signal'!$B$6)+('Small Signal'!$B$5+'Small Signal'!$B$6)*('Small Signal'!$B$9*'Small Signal'!$B$8*'Small Signal'!$B$57*'Small Signal'!$B$7)))),-1)</f>
        <v>-1.86529390643864+8.16983763155049i</v>
      </c>
      <c r="Y92" s="233">
        <f t="shared" si="39"/>
        <v>18.465516240540378</v>
      </c>
      <c r="Z92" s="233">
        <f t="shared" si="40"/>
        <v>103.26538587079757</v>
      </c>
      <c r="AA92" s="233" t="str">
        <f t="shared" si="41"/>
        <v>1.00003998528763+0.00705790045657304i</v>
      </c>
      <c r="AB92" s="233" t="str">
        <f t="shared" si="42"/>
        <v>-2.61895689540301+23.1263803977111i</v>
      </c>
      <c r="AC92" s="230">
        <f t="shared" si="43"/>
        <v>27.337495399018763</v>
      </c>
      <c r="AD92" s="233">
        <f t="shared" si="44"/>
        <v>96.460959437714351</v>
      </c>
      <c r="AE92" s="233" t="str">
        <f t="shared" si="45"/>
        <v>-1.63540258999109+13.9636793474879i</v>
      </c>
      <c r="AF92" s="230">
        <f t="shared" si="46"/>
        <v>22.959163357856003</v>
      </c>
      <c r="AG92" s="233">
        <f t="shared" si="47"/>
        <v>96.679953742324557</v>
      </c>
      <c r="AI92" s="233" t="str">
        <f t="shared" si="48"/>
        <v>0.002-1.61251208806378i</v>
      </c>
      <c r="AJ92" s="233">
        <f t="shared" si="49"/>
        <v>0.33750000000000002</v>
      </c>
      <c r="AK92" s="233" t="str">
        <f t="shared" si="50"/>
        <v>0.15-1591.54943091895i</v>
      </c>
      <c r="AL92" s="233" t="str">
        <f t="shared" si="51"/>
        <v>0.323231369199677-0.0677034328234502i</v>
      </c>
      <c r="AM92" s="233" t="str">
        <f t="shared" si="52"/>
        <v>0.366666347002364-0.000342359667999798i</v>
      </c>
      <c r="AN92" s="233" t="str">
        <f t="shared" si="53"/>
        <v>0.005+0.00628318530717959i</v>
      </c>
      <c r="AO92" s="233" t="str">
        <f t="shared" si="54"/>
        <v>2.75758633821327-0.329038333727948i</v>
      </c>
      <c r="AP92" s="233">
        <f t="shared" si="61"/>
        <v>8.8719791584783945</v>
      </c>
      <c r="AQ92" s="233">
        <f t="shared" si="62"/>
        <v>-6.8044264330832105</v>
      </c>
      <c r="AS92" s="233" t="str">
        <f t="shared" si="55"/>
        <v>0.378068389348245-0.000363983126443245i</v>
      </c>
      <c r="AT92" s="233" t="str">
        <f t="shared" si="56"/>
        <v>2.79730277771638-0.337813589995211i</v>
      </c>
      <c r="AU92" s="233">
        <f t="shared" si="63"/>
        <v>8.9976694261853325</v>
      </c>
      <c r="AV92" s="233">
        <f t="shared" si="64"/>
        <v>-6.8859244521905012</v>
      </c>
    </row>
    <row r="93" spans="1:48" x14ac:dyDescent="0.25">
      <c r="F93" s="233">
        <v>91</v>
      </c>
      <c r="G93" s="249">
        <f t="shared" si="33"/>
        <v>168.99121955994048</v>
      </c>
      <c r="H93" s="249">
        <f t="shared" si="34"/>
        <v>168.57881372500071</v>
      </c>
      <c r="I93" s="234">
        <f t="shared" si="35"/>
        <v>1</v>
      </c>
      <c r="J93" s="233">
        <f t="shared" si="57"/>
        <v>1</v>
      </c>
      <c r="K93" s="233">
        <f t="shared" si="58"/>
        <v>1</v>
      </c>
      <c r="L93" s="233">
        <f>10^('Small Signal'!F93/30)</f>
        <v>1079.7751623277097</v>
      </c>
      <c r="M93" s="233" t="str">
        <f t="shared" si="36"/>
        <v>6784.42743499492i</v>
      </c>
      <c r="N93" s="233">
        <f>IF(D$31=1, IF(AND('Small Signal'!$B$61&gt;=1,FCCM=0),V93+0,S93+0), 0)</f>
        <v>8.8643327115395039</v>
      </c>
      <c r="O93" s="233">
        <f>IF(D$31=1, IF(AND('Small Signal'!$B$61&gt;=1,FCCM=0),W93,T93), 0)</f>
        <v>-7.3436361959334979</v>
      </c>
      <c r="P93" s="233">
        <f>IF(AND('Small Signal'!$B$61&gt;=1,FCCM=0),AF93+0,AC93+0)</f>
        <v>26.694600496850612</v>
      </c>
      <c r="Q93" s="233">
        <f>IF(AND('Small Signal'!$B$61&gt;=1,FCCM=0),AG93,AD93)</f>
        <v>96.786777150508783</v>
      </c>
      <c r="R93" s="233" t="str">
        <f>IMDIV(IMSUM('Small Signal'!$B$2*'Small Signal'!$B$38*'Small Signal'!$B$62,IMPRODUCT(M93,'Small Signal'!$B$2*'Small Signal'!$B$38*'Small Signal'!$B$62*'Small Signal'!$B$14*'Small Signal'!$B$15)),IMSUM(IMPRODUCT('Small Signal'!$B$12*'Small Signal'!$B$14*('Small Signal'!$B$15+'Small Signal'!$B$38),IMPOWER(M93,2)),IMSUM(IMPRODUCT(M93,('Small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2.34789949136871-0.264134506005597i</v>
      </c>
      <c r="S93" s="233">
        <f t="shared" si="59"/>
        <v>8.8643327115395039</v>
      </c>
      <c r="T93" s="233">
        <f t="shared" si="60"/>
        <v>-7.3436361959334979</v>
      </c>
      <c r="U93" s="233" t="str">
        <f>IMDIV(IMSUM('Small Signal'!$B$74,IMPRODUCT(M93,'Small Signal'!$B$75)),IMSUM(IMPRODUCT('Small Signal'!$B$78,IMPOWER(M93,2)),IMSUM(IMPRODUCT(M93,'Small Signal'!$B$77),'Small Signal'!$B$76)))</f>
        <v>1.66547897273283-0.194852383032441i</v>
      </c>
      <c r="V93" s="233">
        <f t="shared" si="37"/>
        <v>4.4898252059243093</v>
      </c>
      <c r="W93" s="233">
        <f t="shared" si="38"/>
        <v>-6.6729726644696861</v>
      </c>
      <c r="X93" s="233" t="str">
        <f>IMPRODUCT(IMDIV(IMSUM(IMPRODUCT(M93,'Small Signal'!$B$57*'Small Signal'!$B$6*'Small Signal'!$B$50*'Small Signal'!$B$7*'Small Signal'!$B$8),'Small Signal'!$B$57*'Small Signal'!$B$6*'Small Signal'!$B$50),IMSUM(IMSUM(IMPRODUCT(M93,('Small Signal'!$B$5+'Small Signal'!$B$6)*('Small Signal'!$B$56*'Small Signal'!$B$57)+'Small Signal'!$B$5*'Small Signal'!$B$57*('Small Signal'!$B$8+'Small Signal'!$B$9)+'Small Signal'!$B$6*'Small Signal'!$B$57*('Small Signal'!$B$8+'Small Signal'!$B$9)+'Small Signal'!$B$7*'Small Signal'!$B$8*('Small Signal'!$B$5+'Small Signal'!$B$6)),'Small Signal'!$B$6+'Small Signal'!$B$5),IMPRODUCT(IMPOWER(M93,2),'Small Signal'!$B$56*'Small Signal'!$B$57*'Small Signal'!$B$8*'Small Signal'!$B$7*('Small Signal'!$B$5+'Small Signal'!$B$6)+('Small Signal'!$B$5+'Small Signal'!$B$6)*('Small Signal'!$B$9*'Small Signal'!$B$8*'Small Signal'!$B$57*'Small Signal'!$B$7)))),-1)</f>
        <v>-1.84390800036109+7.56757538806839i</v>
      </c>
      <c r="Y93" s="233">
        <f t="shared" si="39"/>
        <v>17.830267785311101</v>
      </c>
      <c r="Z93" s="233">
        <f t="shared" si="40"/>
        <v>104.13041334644231</v>
      </c>
      <c r="AA93" s="233" t="str">
        <f t="shared" si="41"/>
        <v>1.00004661917444+0.00762090502987673i</v>
      </c>
      <c r="AB93" s="233" t="str">
        <f t="shared" si="42"/>
        <v>-2.55420013833419+21.4622933961328i</v>
      </c>
      <c r="AC93" s="230">
        <f t="shared" si="43"/>
        <v>26.694600496850612</v>
      </c>
      <c r="AD93" s="233">
        <f t="shared" si="44"/>
        <v>96.786777150508783</v>
      </c>
      <c r="AE93" s="233" t="str">
        <f t="shared" si="45"/>
        <v>-1.59642990411246+12.9629275513613i</v>
      </c>
      <c r="AF93" s="230">
        <f t="shared" si="46"/>
        <v>22.319435872118966</v>
      </c>
      <c r="AG93" s="233">
        <f t="shared" si="47"/>
        <v>97.020823794524617</v>
      </c>
      <c r="AI93" s="233" t="str">
        <f t="shared" si="48"/>
        <v>0.002-1.49337764408993i</v>
      </c>
      <c r="AJ93" s="233">
        <f t="shared" si="49"/>
        <v>0.33750000000000002</v>
      </c>
      <c r="AK93" s="233" t="str">
        <f t="shared" si="50"/>
        <v>0.15-1473.96373471677i</v>
      </c>
      <c r="AL93" s="233" t="str">
        <f t="shared" si="51"/>
        <v>0.32098055772976-0.0725922798556974i</v>
      </c>
      <c r="AM93" s="233" t="str">
        <f t="shared" si="52"/>
        <v>0.366666293965507-0.000369671412617406i</v>
      </c>
      <c r="AN93" s="233" t="str">
        <f t="shared" si="53"/>
        <v>0.005+0.00678442743499492i</v>
      </c>
      <c r="AO93" s="233" t="str">
        <f t="shared" si="54"/>
        <v>2.75194400985761-0.354662627976646i</v>
      </c>
      <c r="AP93" s="233">
        <f t="shared" si="61"/>
        <v>8.8643327115395039</v>
      </c>
      <c r="AQ93" s="233">
        <f t="shared" si="62"/>
        <v>-7.3436361959334979</v>
      </c>
      <c r="AS93" s="233" t="str">
        <f t="shared" si="55"/>
        <v>0.378068331208148-0.000393019879000426i</v>
      </c>
      <c r="AT93" s="233" t="str">
        <f t="shared" si="56"/>
        <v>2.79140900175443-0.364097145331625i</v>
      </c>
      <c r="AU93" s="233">
        <f t="shared" si="63"/>
        <v>8.9897356572183629</v>
      </c>
      <c r="AV93" s="233">
        <f t="shared" si="64"/>
        <v>-7.431414409673712</v>
      </c>
    </row>
    <row r="94" spans="1:48" x14ac:dyDescent="0.25">
      <c r="F94" s="233">
        <v>92</v>
      </c>
      <c r="G94" s="249">
        <f t="shared" si="33"/>
        <v>169.02411251416839</v>
      </c>
      <c r="H94" s="249">
        <f t="shared" si="34"/>
        <v>168.57881372500071</v>
      </c>
      <c r="I94" s="234">
        <f t="shared" si="35"/>
        <v>1</v>
      </c>
      <c r="J94" s="233">
        <f t="shared" si="57"/>
        <v>1</v>
      </c>
      <c r="K94" s="233">
        <f t="shared" si="58"/>
        <v>1</v>
      </c>
      <c r="L94" s="233">
        <f>10^('Small Signal'!F94/30)</f>
        <v>1165.914401179833</v>
      </c>
      <c r="M94" s="233" t="str">
        <f t="shared" si="36"/>
        <v>7325.65623492221i</v>
      </c>
      <c r="N94" s="233">
        <f>IF(D$31=1, IF(AND('Small Signal'!$B$61&gt;=1,FCCM=0),V94+0,S94+0), 0)</f>
        <v>8.855433655298981</v>
      </c>
      <c r="O94" s="233">
        <f>IF(D$31=1, IF(AND('Small Signal'!$B$61&gt;=1,FCCM=0),W94,T94), 0)</f>
        <v>-7.9249356890164302</v>
      </c>
      <c r="P94" s="233">
        <f>IF(AND('Small Signal'!$B$61&gt;=1,FCCM=0),AF94+0,AC94+0)</f>
        <v>26.055321744575878</v>
      </c>
      <c r="Q94" s="233">
        <f>IF(AND('Small Signal'!$B$61&gt;=1,FCCM=0),AG94,AD94)</f>
        <v>97.143774872075355</v>
      </c>
      <c r="R94" s="233" t="str">
        <f>IMDIV(IMSUM('Small Signal'!$B$2*'Small Signal'!$B$38*'Small Signal'!$B$62,IMPRODUCT(M94,'Small Signal'!$B$2*'Small Signal'!$B$38*'Small Signal'!$B$62*'Small Signal'!$B$14*'Small Signal'!$B$15)),IMSUM(IMPRODUCT('Small Signal'!$B$12*'Small Signal'!$B$14*('Small Signal'!$B$15+'Small Signal'!$B$38),IMPOWER(M94,2)),IMSUM(IMPRODUCT(M94,('Small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2.34393960414944-0.284838699322829i</v>
      </c>
      <c r="S94" s="233">
        <f t="shared" si="59"/>
        <v>8.855433655298981</v>
      </c>
      <c r="T94" s="233">
        <f t="shared" si="60"/>
        <v>-7.9249356890164302</v>
      </c>
      <c r="U94" s="233" t="str">
        <f>IMDIV(IMSUM('Small Signal'!$B$74,IMPRODUCT(M94,'Small Signal'!$B$75)),IMSUM(IMPRODUCT('Small Signal'!$B$78,IMPOWER(M94,2)),IMSUM(IMPRODUCT(M94,'Small Signal'!$B$77),'Small Signal'!$B$76)))</f>
        <v>1.66262378149214-0.210150643631243i</v>
      </c>
      <c r="V94" s="233">
        <f t="shared" si="37"/>
        <v>4.4847151050453551</v>
      </c>
      <c r="W94" s="233">
        <f t="shared" si="38"/>
        <v>-7.2038130453225939</v>
      </c>
      <c r="X94" s="233" t="str">
        <f>IMPRODUCT(IMDIV(IMSUM(IMPRODUCT(M94,'Small Signal'!$B$57*'Small Signal'!$B$6*'Small Signal'!$B$50*'Small Signal'!$B$7*'Small Signal'!$B$8),'Small Signal'!$B$57*'Small Signal'!$B$6*'Small Signal'!$B$50),IMSUM(IMSUM(IMPRODUCT(M94,('Small Signal'!$B$5+'Small Signal'!$B$6)*('Small Signal'!$B$56*'Small Signal'!$B$57)+'Small Signal'!$B$5*'Small Signal'!$B$57*('Small Signal'!$B$8+'Small Signal'!$B$9)+'Small Signal'!$B$6*'Small Signal'!$B$57*('Small Signal'!$B$8+'Small Signal'!$B$9)+'Small Signal'!$B$7*'Small Signal'!$B$8*('Small Signal'!$B$5+'Small Signal'!$B$6)),'Small Signal'!$B$6+'Small Signal'!$B$5),IMPRODUCT(IMPOWER(M94,2),'Small Signal'!$B$56*'Small Signal'!$B$57*'Small Signal'!$B$8*'Small Signal'!$B$7*('Small Signal'!$B$5+'Small Signal'!$B$6)+('Small Signal'!$B$5+'Small Signal'!$B$6)*('Small Signal'!$B$9*'Small Signal'!$B$8*'Small Signal'!$B$57*'Small Signal'!$B$7)))),-1)</f>
        <v>-1.82556256231745+7.00981155664907i</v>
      </c>
      <c r="Y94" s="233">
        <f t="shared" si="39"/>
        <v>17.199888089276893</v>
      </c>
      <c r="Z94" s="233">
        <f t="shared" si="40"/>
        <v>105.06871056109181</v>
      </c>
      <c r="AA94" s="233" t="str">
        <f t="shared" si="41"/>
        <v>1.00005435362939+0.00822881287746331i</v>
      </c>
      <c r="AB94" s="233" t="str">
        <f t="shared" si="42"/>
        <v>-2.49715439981975+19.9242324038479i</v>
      </c>
      <c r="AC94" s="230">
        <f t="shared" si="43"/>
        <v>26.055321744575878</v>
      </c>
      <c r="AD94" s="233">
        <f t="shared" si="44"/>
        <v>97.143774872075355</v>
      </c>
      <c r="AE94" s="233" t="str">
        <f t="shared" si="45"/>
        <v>-1.56210732034719+12.0383225453233i</v>
      </c>
      <c r="AF94" s="230">
        <f t="shared" si="46"/>
        <v>21.683837064053289</v>
      </c>
      <c r="AG94" s="233">
        <f t="shared" si="47"/>
        <v>97.393457532120024</v>
      </c>
      <c r="AI94" s="233" t="str">
        <f t="shared" si="48"/>
        <v>0.002-1.38304500436054i</v>
      </c>
      <c r="AJ94" s="233">
        <f t="shared" si="49"/>
        <v>0.33750000000000002</v>
      </c>
      <c r="AK94" s="233" t="str">
        <f t="shared" si="50"/>
        <v>0.15-1365.06541930386i</v>
      </c>
      <c r="AL94" s="233" t="str">
        <f t="shared" si="51"/>
        <v>0.318395805743942-0.0777482187466661i</v>
      </c>
      <c r="AM94" s="233" t="str">
        <f t="shared" si="52"/>
        <v>0.366666232129091-0.000399161942250219i</v>
      </c>
      <c r="AN94" s="233" t="str">
        <f t="shared" si="53"/>
        <v>0.005+0.00732565623492221i</v>
      </c>
      <c r="AO94" s="233" t="str">
        <f t="shared" si="54"/>
        <v>2.74538997030177-0.382172239745883i</v>
      </c>
      <c r="AP94" s="233">
        <f t="shared" si="61"/>
        <v>8.855433655298981</v>
      </c>
      <c r="AQ94" s="233">
        <f t="shared" si="62"/>
        <v>-7.9249356890164302</v>
      </c>
      <c r="AS94" s="233" t="str">
        <f t="shared" si="55"/>
        <v>0.378068263421795-0.000424373027557062i</v>
      </c>
      <c r="AT94" s="233" t="str">
        <f t="shared" si="56"/>
        <v>2.78456390449302-0.392308365964298i</v>
      </c>
      <c r="AU94" s="233">
        <f t="shared" si="63"/>
        <v>8.9805029423078402</v>
      </c>
      <c r="AV94" s="233">
        <f t="shared" si="64"/>
        <v>-8.0194388549959914</v>
      </c>
    </row>
    <row r="95" spans="1:48" x14ac:dyDescent="0.25">
      <c r="F95" s="233">
        <v>93</v>
      </c>
      <c r="G95" s="249">
        <f t="shared" si="33"/>
        <v>169.05962775185517</v>
      </c>
      <c r="H95" s="249">
        <f t="shared" si="34"/>
        <v>168.57881372500071</v>
      </c>
      <c r="I95" s="234">
        <f t="shared" si="35"/>
        <v>1</v>
      </c>
      <c r="J95" s="233">
        <f t="shared" si="57"/>
        <v>1</v>
      </c>
      <c r="K95" s="233">
        <f t="shared" si="58"/>
        <v>1</v>
      </c>
      <c r="L95" s="233">
        <f>10^('Small Signal'!F95/30)</f>
        <v>1258.925411794168</v>
      </c>
      <c r="M95" s="233" t="str">
        <f t="shared" si="36"/>
        <v>7910.06165022013i</v>
      </c>
      <c r="N95" s="233">
        <f>IF(D$31=1, IF(AND('Small Signal'!$B$61&gt;=1,FCCM=0),V95+0,S95+0), 0)</f>
        <v>8.8450798428873547</v>
      </c>
      <c r="O95" s="233">
        <f>IF(D$31=1, IF(AND('Small Signal'!$B$61&gt;=1,FCCM=0),W95,T95), 0)</f>
        <v>-8.5514475525246247</v>
      </c>
      <c r="P95" s="233">
        <f>IF(AND('Small Signal'!$B$61&gt;=1,FCCM=0),AF95+0,AC95+0)</f>
        <v>25.420179846405404</v>
      </c>
      <c r="Q95" s="233">
        <f>IF(AND('Small Signal'!$B$61&gt;=1,FCCM=0),AG95,AD95)</f>
        <v>97.531956844783295</v>
      </c>
      <c r="R95" s="233" t="str">
        <f>IMDIV(IMSUM('Small Signal'!$B$2*'Small Signal'!$B$38*'Small Signal'!$B$62,IMPRODUCT(M95,'Small Signal'!$B$2*'Small Signal'!$B$38*'Small Signal'!$B$62*'Small Signal'!$B$14*'Small Signal'!$B$15)),IMSUM(IMPRODUCT('Small Signal'!$B$12*'Small Signal'!$B$14*('Small Signal'!$B$15+'Small Signal'!$B$38),IMPOWER(M95,2)),IMSUM(IMPRODUCT(M95,('Small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2.33933459305479-0.307100658176739i</v>
      </c>
      <c r="S95" s="233">
        <f t="shared" si="59"/>
        <v>8.8450798428873547</v>
      </c>
      <c r="T95" s="233">
        <f t="shared" si="60"/>
        <v>-8.5514475525246247</v>
      </c>
      <c r="U95" s="233" t="str">
        <f>IMDIV(IMSUM('Small Signal'!$B$74,IMPRODUCT(M95,'Small Signal'!$B$75)),IMSUM(IMPRODUCT('Small Signal'!$B$78,IMPOWER(M95,2)),IMSUM(IMPRODUCT(M95,'Small Signal'!$B$77),'Small Signal'!$B$76)))</f>
        <v>1.6593020259414-0.226606207302387i</v>
      </c>
      <c r="V95" s="233">
        <f t="shared" si="37"/>
        <v>4.4787613056053157</v>
      </c>
      <c r="W95" s="233">
        <f t="shared" si="38"/>
        <v>-7.7766152976023601</v>
      </c>
      <c r="X95" s="233" t="str">
        <f>IMPRODUCT(IMDIV(IMSUM(IMPRODUCT(M95,'Small Signal'!$B$57*'Small Signal'!$B$6*'Small Signal'!$B$50*'Small Signal'!$B$7*'Small Signal'!$B$8),'Small Signal'!$B$57*'Small Signal'!$B$6*'Small Signal'!$B$50),IMSUM(IMSUM(IMPRODUCT(M95,('Small Signal'!$B$5+'Small Signal'!$B$6)*('Small Signal'!$B$56*'Small Signal'!$B$57)+'Small Signal'!$B$5*'Small Signal'!$B$57*('Small Signal'!$B$8+'Small Signal'!$B$9)+'Small Signal'!$B$6*'Small Signal'!$B$57*('Small Signal'!$B$8+'Small Signal'!$B$9)+'Small Signal'!$B$7*'Small Signal'!$B$8*('Small Signal'!$B$5+'Small Signal'!$B$6)),'Small Signal'!$B$6+'Small Signal'!$B$5),IMPRODUCT(IMPOWER(M95,2),'Small Signal'!$B$56*'Small Signal'!$B$57*'Small Signal'!$B$8*'Small Signal'!$B$7*('Small Signal'!$B$5+'Small Signal'!$B$6)+('Small Signal'!$B$5+'Small Signal'!$B$6)*('Small Signal'!$B$9*'Small Signal'!$B$8*'Small Signal'!$B$57*'Small Signal'!$B$7)))),-1)</f>
        <v>-1.80982515779691+6.49328012545221i</v>
      </c>
      <c r="Y95" s="233">
        <f t="shared" si="39"/>
        <v>16.57510000351807</v>
      </c>
      <c r="Z95" s="233">
        <f t="shared" si="40"/>
        <v>106.08340439730789</v>
      </c>
      <c r="AA95" s="233" t="str">
        <f t="shared" si="41"/>
        <v>1.00006337122055+0.00888520344508852i</v>
      </c>
      <c r="AB95" s="233" t="str">
        <f t="shared" si="42"/>
        <v>-2.44648533472554+18.5031470268106i</v>
      </c>
      <c r="AC95" s="230">
        <f t="shared" si="43"/>
        <v>25.420179846405404</v>
      </c>
      <c r="AD95" s="233">
        <f t="shared" si="44"/>
        <v>97.531956844783295</v>
      </c>
      <c r="AE95" s="233" t="str">
        <f t="shared" si="45"/>
        <v>-1.53162896875143+11.1844304820567i</v>
      </c>
      <c r="AF95" s="230">
        <f t="shared" si="46"/>
        <v>21.052968086345526</v>
      </c>
      <c r="AG95" s="233">
        <f t="shared" si="47"/>
        <v>97.797750095152722</v>
      </c>
      <c r="AI95" s="233" t="str">
        <f t="shared" si="48"/>
        <v>0.002-1.28086388038327i</v>
      </c>
      <c r="AJ95" s="233">
        <f t="shared" si="49"/>
        <v>0.33750000000000002</v>
      </c>
      <c r="AK95" s="233" t="str">
        <f t="shared" si="50"/>
        <v>0.15-1264.21264993829i</v>
      </c>
      <c r="AL95" s="233" t="str">
        <f t="shared" si="51"/>
        <v>0.315434599590418-0.0831649253414635i</v>
      </c>
      <c r="AM95" s="233" t="str">
        <f t="shared" si="52"/>
        <v>0.366666160033146-0.000431005066241655i</v>
      </c>
      <c r="AN95" s="233" t="str">
        <f t="shared" si="53"/>
        <v>0.005+0.00791006165022013i</v>
      </c>
      <c r="AO95" s="233" t="str">
        <f t="shared" si="54"/>
        <v>2.73778153405517-0.411677772034527i</v>
      </c>
      <c r="AP95" s="233">
        <f t="shared" si="61"/>
        <v>8.8450798428873547</v>
      </c>
      <c r="AQ95" s="233">
        <f t="shared" si="62"/>
        <v>-8.5514475525246247</v>
      </c>
      <c r="AS95" s="233" t="str">
        <f t="shared" si="55"/>
        <v>0.378068184388739-0.000458227358928043i</v>
      </c>
      <c r="AT95" s="233" t="str">
        <f t="shared" si="56"/>
        <v>2.7766189603164-0.422558724303169i</v>
      </c>
      <c r="AU95" s="233">
        <f t="shared" si="63"/>
        <v>8.9697619150031116</v>
      </c>
      <c r="AV95" s="233">
        <f t="shared" si="64"/>
        <v>-8.6531418318952369</v>
      </c>
    </row>
    <row r="96" spans="1:48" x14ac:dyDescent="0.25">
      <c r="F96" s="233">
        <v>94</v>
      </c>
      <c r="G96" s="249">
        <f t="shared" si="33"/>
        <v>169.09797401123456</v>
      </c>
      <c r="H96" s="249">
        <f t="shared" si="34"/>
        <v>168.57881372500071</v>
      </c>
      <c r="I96" s="234">
        <f t="shared" si="35"/>
        <v>1</v>
      </c>
      <c r="J96" s="233">
        <f t="shared" si="57"/>
        <v>1</v>
      </c>
      <c r="K96" s="233">
        <f t="shared" si="58"/>
        <v>1</v>
      </c>
      <c r="L96" s="233">
        <f>10^('Small Signal'!F96/30)</f>
        <v>1359.3563908785268</v>
      </c>
      <c r="M96" s="233" t="str">
        <f t="shared" si="36"/>
        <v>8541.08810238863i</v>
      </c>
      <c r="N96" s="233">
        <f>IF(D$31=1, IF(AND('Small Signal'!$B$61&gt;=1,FCCM=0),V96+0,S96+0), 0)</f>
        <v>8.8330375789968123</v>
      </c>
      <c r="O96" s="233">
        <f>IF(D$31=1, IF(AND('Small Signal'!$B$61&gt;=1,FCCM=0),W96,T96), 0)</f>
        <v>-9.226484796305142</v>
      </c>
      <c r="P96" s="233">
        <f>IF(AND('Small Signal'!$B$61&gt;=1,FCCM=0),AF96+0,AC96+0)</f>
        <v>24.789752171101046</v>
      </c>
      <c r="Q96" s="233">
        <f>IF(AND('Small Signal'!$B$61&gt;=1,FCCM=0),AG96,AD96)</f>
        <v>97.951045131548113</v>
      </c>
      <c r="R96" s="233" t="str">
        <f>IMDIV(IMSUM('Small Signal'!$B$2*'Small Signal'!$B$38*'Small Signal'!$B$62,IMPRODUCT(M96,'Small Signal'!$B$2*'Small Signal'!$B$38*'Small Signal'!$B$62*'Small Signal'!$B$14*'Small Signal'!$B$15)),IMSUM(IMPRODUCT('Small Signal'!$B$12*'Small Signal'!$B$14*('Small Signal'!$B$15+'Small Signal'!$B$38),IMPOWER(M96,2)),IMSUM(IMPRODUCT(M96,('Small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2.33398162627049-0.331020871202041i</v>
      </c>
      <c r="S96" s="233">
        <f t="shared" si="59"/>
        <v>8.8330375789968123</v>
      </c>
      <c r="T96" s="233">
        <f t="shared" si="60"/>
        <v>-9.226484796305142</v>
      </c>
      <c r="U96" s="233" t="str">
        <f>IMDIV(IMSUM('Small Signal'!$B$74,IMPRODUCT(M96,'Small Signal'!$B$75)),IMSUM(IMPRODUCT('Small Signal'!$B$78,IMPOWER(M96,2)),IMSUM(IMPRODUCT(M96,'Small Signal'!$B$77),'Small Signal'!$B$76)))</f>
        <v>1.6554388374172-0.244295337260847i</v>
      </c>
      <c r="V96" s="233">
        <f t="shared" si="37"/>
        <v>4.4718253048045522</v>
      </c>
      <c r="W96" s="233">
        <f t="shared" si="38"/>
        <v>-8.3946277480086806</v>
      </c>
      <c r="X96" s="233" t="str">
        <f>IMPRODUCT(IMDIV(IMSUM(IMPRODUCT(M96,'Small Signal'!$B$57*'Small Signal'!$B$6*'Small Signal'!$B$50*'Small Signal'!$B$7*'Small Signal'!$B$8),'Small Signal'!$B$57*'Small Signal'!$B$6*'Small Signal'!$B$50),IMSUM(IMSUM(IMPRODUCT(M96,('Small Signal'!$B$5+'Small Signal'!$B$6)*('Small Signal'!$B$56*'Small Signal'!$B$57)+'Small Signal'!$B$5*'Small Signal'!$B$57*('Small Signal'!$B$8+'Small Signal'!$B$9)+'Small Signal'!$B$6*'Small Signal'!$B$57*('Small Signal'!$B$8+'Small Signal'!$B$9)+'Small Signal'!$B$7*'Small Signal'!$B$8*('Small Signal'!$B$5+'Small Signal'!$B$6)),'Small Signal'!$B$6+'Small Signal'!$B$5),IMPRODUCT(IMPOWER(M96,2),'Small Signal'!$B$56*'Small Signal'!$B$57*'Small Signal'!$B$8*'Small Signal'!$B$7*('Small Signal'!$B$5+'Small Signal'!$B$6)+('Small Signal'!$B$5+'Small Signal'!$B$6)*('Small Signal'!$B$9*'Small Signal'!$B$8*'Small Signal'!$B$57*'Small Signal'!$B$7)))),-1)</f>
        <v>-1.79632474198671+6.01495370584605i</v>
      </c>
      <c r="Y96" s="233">
        <f t="shared" si="39"/>
        <v>15.956714592104236</v>
      </c>
      <c r="Z96" s="233">
        <f t="shared" si="40"/>
        <v>107.17752992785323</v>
      </c>
      <c r="AA96" s="233" t="str">
        <f t="shared" si="41"/>
        <v>1.00007388479512+0.00959394102516429i</v>
      </c>
      <c r="AB96" s="233" t="str">
        <f t="shared" si="42"/>
        <v>-2.40101229539731+17.1906529612512i</v>
      </c>
      <c r="AC96" s="230">
        <f t="shared" si="43"/>
        <v>24.789752171101046</v>
      </c>
      <c r="AD96" s="233">
        <f t="shared" si="44"/>
        <v>97.951045131548113</v>
      </c>
      <c r="AE96" s="233" t="str">
        <f t="shared" si="45"/>
        <v>-1.50428059832019+10.3962217285977i</v>
      </c>
      <c r="AF96" s="230">
        <f t="shared" si="46"/>
        <v>20.427498502163346</v>
      </c>
      <c r="AG96" s="233">
        <f t="shared" si="47"/>
        <v>98.2332673216806</v>
      </c>
      <c r="AI96" s="233" t="str">
        <f t="shared" si="48"/>
        <v>0.002-1.18623202780666i</v>
      </c>
      <c r="AJ96" s="233">
        <f t="shared" si="49"/>
        <v>0.33750000000000002</v>
      </c>
      <c r="AK96" s="233" t="str">
        <f t="shared" si="50"/>
        <v>0.15-1170.81101144518i</v>
      </c>
      <c r="AL96" s="233" t="str">
        <f t="shared" si="51"/>
        <v>0.312051314402816-0.0888301534513642i</v>
      </c>
      <c r="AM96" s="233" t="str">
        <f t="shared" si="52"/>
        <v>0.366666075975486-0.000465388458675526i</v>
      </c>
      <c r="AN96" s="233" t="str">
        <f t="shared" si="53"/>
        <v>0.005+0.00854108810238863i</v>
      </c>
      <c r="AO96" s="233" t="str">
        <f t="shared" si="54"/>
        <v>2.72895531163919-0.443288953303039i</v>
      </c>
      <c r="AP96" s="233">
        <f t="shared" si="61"/>
        <v>8.8330375789968123</v>
      </c>
      <c r="AQ96" s="233">
        <f t="shared" si="62"/>
        <v>-9.226484796305142</v>
      </c>
      <c r="AS96" s="233" t="str">
        <f t="shared" si="55"/>
        <v>0.378068092243004-0.000494782400277257i</v>
      </c>
      <c r="AT96" s="233" t="str">
        <f t="shared" si="56"/>
        <v>2.76740421889488-0.454958302493576i</v>
      </c>
      <c r="AU96" s="233">
        <f t="shared" si="63"/>
        <v>8.9572706245304818</v>
      </c>
      <c r="AV96" s="233">
        <f t="shared" si="64"/>
        <v>-9.3358560372426673</v>
      </c>
    </row>
    <row r="97" spans="6:48" x14ac:dyDescent="0.25">
      <c r="F97" s="233">
        <v>95</v>
      </c>
      <c r="G97" s="249">
        <f t="shared" si="33"/>
        <v>169.13937656496608</v>
      </c>
      <c r="H97" s="249">
        <f t="shared" si="34"/>
        <v>168.57881372500071</v>
      </c>
      <c r="I97" s="234">
        <f t="shared" si="35"/>
        <v>1</v>
      </c>
      <c r="J97" s="233">
        <f t="shared" si="57"/>
        <v>1</v>
      </c>
      <c r="K97" s="233">
        <f t="shared" si="58"/>
        <v>1</v>
      </c>
      <c r="L97" s="233">
        <f>10^('Small Signal'!F97/30)</f>
        <v>1467.7992676220699</v>
      </c>
      <c r="M97" s="233" t="str">
        <f t="shared" si="36"/>
        <v>9222.45479221195i</v>
      </c>
      <c r="N97" s="233">
        <f>IF(D$31=1, IF(AND('Small Signal'!$B$61&gt;=1,FCCM=0),V97+0,S97+0), 0)</f>
        <v>8.8190370722963305</v>
      </c>
      <c r="O97" s="233">
        <f>IF(D$31=1, IF(AND('Small Signal'!$B$61&gt;=1,FCCM=0),W97,T97), 0)</f>
        <v>-9.9535517418409896</v>
      </c>
      <c r="P97" s="233">
        <f>IF(AND('Small Signal'!$B$61&gt;=1,FCCM=0),AF97+0,AC97+0)</f>
        <v>24.164673885593633</v>
      </c>
      <c r="Q97" s="233">
        <f>IF(AND('Small Signal'!$B$61&gt;=1,FCCM=0),AG97,AD97)</f>
        <v>98.400389485511894</v>
      </c>
      <c r="R97" s="233" t="str">
        <f>IMDIV(IMSUM('Small Signal'!$B$2*'Small Signal'!$B$38*'Small Signal'!$B$62,IMPRODUCT(M97,'Small Signal'!$B$2*'Small Signal'!$B$38*'Small Signal'!$B$62*'Small Signal'!$B$14*'Small Signal'!$B$15)),IMSUM(IMPRODUCT('Small Signal'!$B$12*'Small Signal'!$B$14*('Small Signal'!$B$15+'Small Signal'!$B$38),IMPOWER(M97,2)),IMSUM(IMPRODUCT(M97,('Small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2.32776228380914-0.356701930962333i</v>
      </c>
      <c r="S97" s="233">
        <f t="shared" si="59"/>
        <v>8.8190370722963305</v>
      </c>
      <c r="T97" s="233">
        <f t="shared" si="60"/>
        <v>-9.9535517418409896</v>
      </c>
      <c r="U97" s="233" t="str">
        <f>IMDIV(IMSUM('Small Signal'!$B$74,IMPRODUCT(M97,'Small Signal'!$B$75)),IMSUM(IMPRODUCT('Small Signal'!$B$78,IMPOWER(M97,2)),IMSUM(IMPRODUCT(M97,'Small Signal'!$B$77),'Small Signal'!$B$76)))</f>
        <v>1.65094782160658-0.263296352189832i</v>
      </c>
      <c r="V97" s="233">
        <f t="shared" si="37"/>
        <v>4.4637461464370034</v>
      </c>
      <c r="W97" s="233">
        <f t="shared" si="38"/>
        <v>-9.0613325284143418</v>
      </c>
      <c r="X97" s="233" t="str">
        <f>IMPRODUCT(IMDIV(IMSUM(IMPRODUCT(M97,'Small Signal'!$B$57*'Small Signal'!$B$6*'Small Signal'!$B$50*'Small Signal'!$B$7*'Small Signal'!$B$8),'Small Signal'!$B$57*'Small Signal'!$B$6*'Small Signal'!$B$50),IMSUM(IMSUM(IMPRODUCT(M97,('Small Signal'!$B$5+'Small Signal'!$B$6)*('Small Signal'!$B$56*'Small Signal'!$B$57)+'Small Signal'!$B$5*'Small Signal'!$B$57*('Small Signal'!$B$8+'Small Signal'!$B$9)+'Small Signal'!$B$6*'Small Signal'!$B$57*('Small Signal'!$B$8+'Small Signal'!$B$9)+'Small Signal'!$B$7*'Small Signal'!$B$8*('Small Signal'!$B$5+'Small Signal'!$B$6)),'Small Signal'!$B$6+'Small Signal'!$B$5),IMPRODUCT(IMPOWER(M97,2),'Small Signal'!$B$56*'Small Signal'!$B$57*'Small Signal'!$B$8*'Small Signal'!$B$7*('Small Signal'!$B$5+'Small Signal'!$B$6)+('Small Signal'!$B$5+'Small Signal'!$B$6)*('Small Signal'!$B$9*'Small Signal'!$B$8*'Small Signal'!$B$57*'Small Signal'!$B$7)))),-1)</f>
        <v>-1.7847429486357+5.57202659224364i</v>
      </c>
      <c r="Y97" s="233">
        <f t="shared" si="39"/>
        <v>15.345636813297315</v>
      </c>
      <c r="Z97" s="233">
        <f t="shared" si="40"/>
        <v>108.35394122735286</v>
      </c>
      <c r="AA97" s="233" t="str">
        <f t="shared" si="41"/>
        <v>1.00008614249906+0.0103591972981694i</v>
      </c>
      <c r="AB97" s="233" t="str">
        <f t="shared" si="42"/>
        <v>-2.35968184079975+15.9789825187922i</v>
      </c>
      <c r="AC97" s="230">
        <f t="shared" si="43"/>
        <v>24.164673885593633</v>
      </c>
      <c r="AD97" s="233">
        <f t="shared" si="44"/>
        <v>98.400389485511894</v>
      </c>
      <c r="AE97" s="233" t="str">
        <f t="shared" si="45"/>
        <v>-1.47942320713532+9.66904147237088i</v>
      </c>
      <c r="AF97" s="230">
        <f t="shared" si="46"/>
        <v>19.808168818698398</v>
      </c>
      <c r="AG97" s="233">
        <f t="shared" si="47"/>
        <v>98.699142763676761</v>
      </c>
      <c r="AI97" s="233" t="str">
        <f t="shared" si="48"/>
        <v>0.002-1.09859169685795i</v>
      </c>
      <c r="AJ97" s="233">
        <f t="shared" si="49"/>
        <v>0.33750000000000002</v>
      </c>
      <c r="AK97" s="233" t="str">
        <f t="shared" si="50"/>
        <v>0.15-1084.31000479879i</v>
      </c>
      <c r="AL97" s="233" t="str">
        <f t="shared" si="51"/>
        <v>0.308197765573325-0.0947245305011244i</v>
      </c>
      <c r="AM97" s="233" t="str">
        <f t="shared" si="52"/>
        <v>0.366665977971496-0.000502514764197597i</v>
      </c>
      <c r="AN97" s="233" t="str">
        <f t="shared" si="53"/>
        <v>0.005+0.00922245479221195i</v>
      </c>
      <c r="AO97" s="233" t="str">
        <f t="shared" si="54"/>
        <v>2.71872477729734-0.477112328263646i</v>
      </c>
      <c r="AP97" s="233">
        <f t="shared" si="61"/>
        <v>8.8190370722963305</v>
      </c>
      <c r="AQ97" s="233">
        <f t="shared" si="62"/>
        <v>-9.9535517418409896</v>
      </c>
      <c r="AS97" s="233" t="str">
        <f t="shared" si="55"/>
        <v>0.378067984809021-0.000534253594759681i</v>
      </c>
      <c r="AT97" s="233" t="str">
        <f t="shared" si="56"/>
        <v>2.75672583430348-0.489613318894864i</v>
      </c>
      <c r="AU97" s="233">
        <f t="shared" si="63"/>
        <v>8.9427498709520421</v>
      </c>
      <c r="AV97" s="233">
        <f t="shared" si="64"/>
        <v>-10.071102838292813</v>
      </c>
    </row>
    <row r="98" spans="6:48" x14ac:dyDescent="0.25">
      <c r="F98" s="233">
        <v>96</v>
      </c>
      <c r="G98" s="249">
        <f t="shared" si="33"/>
        <v>169.18407850873024</v>
      </c>
      <c r="H98" s="249">
        <f t="shared" si="34"/>
        <v>168.57881372500071</v>
      </c>
      <c r="I98" s="234">
        <f t="shared" si="35"/>
        <v>1</v>
      </c>
      <c r="J98" s="233">
        <f t="shared" si="57"/>
        <v>1</v>
      </c>
      <c r="K98" s="233">
        <f t="shared" si="58"/>
        <v>1</v>
      </c>
      <c r="L98" s="233">
        <f>10^('Small Signal'!F98/30)</f>
        <v>1584.8931924611156</v>
      </c>
      <c r="M98" s="233" t="str">
        <f t="shared" si="36"/>
        <v>9958.17762032063i</v>
      </c>
      <c r="N98" s="233">
        <f>IF(D$31=1, IF(AND('Small Signal'!$B$61&gt;=1,FCCM=0),V98+0,S98+0), 0)</f>
        <v>8.8027673640210615</v>
      </c>
      <c r="O98" s="233">
        <f>IF(D$31=1, IF(AND('Small Signal'!$B$61&gt;=1,FCCM=0),W98,T98), 0)</f>
        <v>-10.736341780928505</v>
      </c>
      <c r="P98" s="233">
        <f>IF(AND('Small Signal'!$B$61&gt;=1,FCCM=0),AF98+0,AC98+0)</f>
        <v>23.545637087008426</v>
      </c>
      <c r="Q98" s="233">
        <f>IF(AND('Small Signal'!$B$61&gt;=1,FCCM=0),AG98,AD98)</f>
        <v>98.878864301422993</v>
      </c>
      <c r="R98" s="233" t="str">
        <f>IMDIV(IMSUM('Small Signal'!$B$2*'Small Signal'!$B$38*'Small Signal'!$B$62,IMPRODUCT(M98,'Small Signal'!$B$2*'Small Signal'!$B$38*'Small Signal'!$B$62*'Small Signal'!$B$14*'Small Signal'!$B$15)),IMSUM(IMPRODUCT('Small Signal'!$B$12*'Small Signal'!$B$14*('Small Signal'!$B$15+'Small Signal'!$B$38),IMPOWER(M98,2)),IMSUM(IMPRODUCT(M98,('Small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2.32054047916713-0.384247282286804i</v>
      </c>
      <c r="S98" s="233">
        <f t="shared" si="59"/>
        <v>8.8027673640210615</v>
      </c>
      <c r="T98" s="233">
        <f t="shared" si="60"/>
        <v>-10.736341780928505</v>
      </c>
      <c r="U98" s="233" t="str">
        <f>IMDIV(IMSUM('Small Signal'!$B$74,IMPRODUCT(M98,'Small Signal'!$B$75)),IMSUM(IMPRODUCT('Small Signal'!$B$78,IMPOWER(M98,2)),IMSUM(IMPRODUCT(M98,'Small Signal'!$B$77),'Small Signal'!$B$76)))</f>
        <v>1.64572945852067-0.283688806728081i</v>
      </c>
      <c r="V98" s="233">
        <f t="shared" si="37"/>
        <v>4.4543368815945001</v>
      </c>
      <c r="W98" s="233">
        <f t="shared" si="38"/>
        <v>-9.780457831424842</v>
      </c>
      <c r="X98" s="233" t="str">
        <f>IMPRODUCT(IMDIV(IMSUM(IMPRODUCT(M98,'Small Signal'!$B$57*'Small Signal'!$B$6*'Small Signal'!$B$50*'Small Signal'!$B$7*'Small Signal'!$B$8),'Small Signal'!$B$57*'Small Signal'!$B$6*'Small Signal'!$B$50),IMSUM(IMSUM(IMPRODUCT(M98,('Small Signal'!$B$5+'Small Signal'!$B$6)*('Small Signal'!$B$56*'Small Signal'!$B$57)+'Small Signal'!$B$5*'Small Signal'!$B$57*('Small Signal'!$B$8+'Small Signal'!$B$9)+'Small Signal'!$B$6*'Small Signal'!$B$57*('Small Signal'!$B$8+'Small Signal'!$B$9)+'Small Signal'!$B$7*'Small Signal'!$B$8*('Small Signal'!$B$5+'Small Signal'!$B$6)),'Small Signal'!$B$6+'Small Signal'!$B$5),IMPRODUCT(IMPOWER(M98,2),'Small Signal'!$B$56*'Small Signal'!$B$57*'Small Signal'!$B$8*'Small Signal'!$B$7*('Small Signal'!$B$5+'Small Signal'!$B$6)+('Small Signal'!$B$5+'Small Signal'!$B$6)*('Small Signal'!$B$9*'Small Signal'!$B$8*'Small Signal'!$B$57*'Small Signal'!$B$7)))),-1)</f>
        <v>-1.77480660964231+5.16189894309958i</v>
      </c>
      <c r="Y98" s="233">
        <f t="shared" si="39"/>
        <v>14.742869722987379</v>
      </c>
      <c r="Z98" s="233">
        <f t="shared" si="40"/>
        <v>109.61520608235148</v>
      </c>
      <c r="AA98" s="233" t="str">
        <f t="shared" si="41"/>
        <v>1.00010043362804+0.0111854756251365i</v>
      </c>
      <c r="AB98" s="233" t="str">
        <f t="shared" si="42"/>
        <v>-2.32154462123388+14.8609377190733i</v>
      </c>
      <c r="AC98" s="230">
        <f t="shared" si="43"/>
        <v>23.545637087008426</v>
      </c>
      <c r="AD98" s="233">
        <f t="shared" si="44"/>
        <v>98.878864301422993</v>
      </c>
      <c r="AE98" s="233" t="str">
        <f t="shared" si="45"/>
        <v>-1.45647856904668+8.99858192182823i</v>
      </c>
      <c r="AF98" s="230">
        <f t="shared" si="46"/>
        <v>19.195791069125534</v>
      </c>
      <c r="AG98" s="233">
        <f t="shared" si="47"/>
        <v>99.193958783091787</v>
      </c>
      <c r="AI98" s="233" t="str">
        <f t="shared" si="48"/>
        <v>0.002-1.01742634502693i</v>
      </c>
      <c r="AJ98" s="233">
        <f t="shared" si="49"/>
        <v>0.33750000000000002</v>
      </c>
      <c r="AK98" s="233" t="str">
        <f t="shared" si="50"/>
        <v>0.15-1004.19980254158i</v>
      </c>
      <c r="AL98" s="233" t="str">
        <f t="shared" si="51"/>
        <v>0.30382407126806-0.100820296775601i</v>
      </c>
      <c r="AM98" s="233" t="str">
        <f t="shared" si="52"/>
        <v>0.366665863707299-0.000542602791992056i</v>
      </c>
      <c r="AN98" s="233" t="str">
        <f t="shared" si="53"/>
        <v>0.005+0.00995817762032063i</v>
      </c>
      <c r="AO98" s="233" t="str">
        <f t="shared" si="54"/>
        <v>2.70687775773748-0.513248303239543i</v>
      </c>
      <c r="AP98" s="233">
        <f t="shared" si="61"/>
        <v>8.8027673640210615</v>
      </c>
      <c r="AQ98" s="233">
        <f t="shared" si="62"/>
        <v>-10.736341780928505</v>
      </c>
      <c r="AS98" s="233" t="str">
        <f t="shared" si="55"/>
        <v>0.378067859550271-0.000576873570880156i</v>
      </c>
      <c r="AT98" s="233" t="str">
        <f t="shared" si="56"/>
        <v>2.74436353338731-0.52662297612244i</v>
      </c>
      <c r="AU98" s="233">
        <f t="shared" si="63"/>
        <v>8.9258780146759626</v>
      </c>
      <c r="AV98" s="233">
        <f t="shared" si="64"/>
        <v>-10.862588871957126</v>
      </c>
    </row>
    <row r="99" spans="6:48" x14ac:dyDescent="0.25">
      <c r="F99" s="233">
        <v>97</v>
      </c>
      <c r="G99" s="249">
        <f t="shared" si="33"/>
        <v>169.23234214475468</v>
      </c>
      <c r="H99" s="249">
        <f t="shared" si="34"/>
        <v>168.57881372500071</v>
      </c>
      <c r="I99" s="234">
        <f t="shared" si="35"/>
        <v>1</v>
      </c>
      <c r="J99" s="233">
        <f t="shared" si="57"/>
        <v>1</v>
      </c>
      <c r="K99" s="233">
        <f t="shared" si="58"/>
        <v>1</v>
      </c>
      <c r="L99" s="233">
        <f>10^('Small Signal'!F99/30)</f>
        <v>1711.3283041617822</v>
      </c>
      <c r="M99" s="233" t="str">
        <f t="shared" si="36"/>
        <v>10752.5928564699i</v>
      </c>
      <c r="N99" s="233">
        <f>IF(D$31=1, IF(AND('Small Signal'!$B$61&gt;=1,FCCM=0),V99+0,S99+0), 0)</f>
        <v>8.7838707198055239</v>
      </c>
      <c r="O99" s="233">
        <f>IF(D$31=1, IF(AND('Small Signal'!$B$61&gt;=1,FCCM=0),W99,T99), 0)</f>
        <v>-11.578731040059804</v>
      </c>
      <c r="P99" s="233">
        <f>IF(AND('Small Signal'!$B$61&gt;=1,FCCM=0),AF99+0,AC99+0)</f>
        <v>22.933387227120981</v>
      </c>
      <c r="Q99" s="233">
        <f>IF(AND('Small Signal'!$B$61&gt;=1,FCCM=0),AG99,AD99)</f>
        <v>99.384753332286493</v>
      </c>
      <c r="R99" s="233" t="str">
        <f>IMDIV(IMSUM('Small Signal'!$B$2*'Small Signal'!$B$38*'Small Signal'!$B$62,IMPRODUCT(M99,'Small Signal'!$B$2*'Small Signal'!$B$38*'Small Signal'!$B$62*'Small Signal'!$B$14*'Small Signal'!$B$15)),IMSUM(IMPRODUCT('Small Signal'!$B$12*'Small Signal'!$B$14*('Small Signal'!$B$15+'Small Signal'!$B$38),IMPOWER(M99,2)),IMSUM(IMPRODUCT(M99,('Small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2.31216020658286-0.413759553017793i</v>
      </c>
      <c r="S99" s="233">
        <f t="shared" si="59"/>
        <v>8.7838707198055239</v>
      </c>
      <c r="T99" s="233">
        <f t="shared" si="60"/>
        <v>-11.578731040059804</v>
      </c>
      <c r="U99" s="233" t="str">
        <f>IMDIV(IMSUM('Small Signal'!$B$74,IMPRODUCT(M99,'Small Signal'!$B$75)),IMSUM(IMPRODUCT('Small Signal'!$B$78,IMPOWER(M99,2)),IMSUM(IMPRODUCT(M99,'Small Signal'!$B$77),'Small Signal'!$B$76)))</f>
        <v>1.6396693436174-0.305552378901549i</v>
      </c>
      <c r="V99" s="233">
        <f t="shared" si="37"/>
        <v>4.4433805072549291</v>
      </c>
      <c r="W99" s="233">
        <f t="shared" si="38"/>
        <v>-10.555989561984946</v>
      </c>
      <c r="X99" s="233" t="str">
        <f>IMPRODUCT(IMDIV(IMSUM(IMPRODUCT(M99,'Small Signal'!$B$57*'Small Signal'!$B$6*'Small Signal'!$B$50*'Small Signal'!$B$7*'Small Signal'!$B$8),'Small Signal'!$B$57*'Small Signal'!$B$6*'Small Signal'!$B$50),IMSUM(IMSUM(IMPRODUCT(M99,('Small Signal'!$B$5+'Small Signal'!$B$6)*('Small Signal'!$B$56*'Small Signal'!$B$57)+'Small Signal'!$B$5*'Small Signal'!$B$57*('Small Signal'!$B$8+'Small Signal'!$B$9)+'Small Signal'!$B$6*'Small Signal'!$B$57*('Small Signal'!$B$8+'Small Signal'!$B$9)+'Small Signal'!$B$7*'Small Signal'!$B$8*('Small Signal'!$B$5+'Small Signal'!$B$6)),'Small Signal'!$B$6+'Small Signal'!$B$5),IMPRODUCT(IMPOWER(M99,2),'Small Signal'!$B$56*'Small Signal'!$B$57*'Small Signal'!$B$8*'Small Signal'!$B$7*('Small Signal'!$B$5+'Small Signal'!$B$6)+('Small Signal'!$B$5+'Small Signal'!$B$6)*('Small Signal'!$B$9*'Small Signal'!$B$8*'Small Signal'!$B$57*'Small Signal'!$B$7)))),-1)</f>
        <v>-1.76628133219351+4.78216202784956i</v>
      </c>
      <c r="Y99" s="233">
        <f t="shared" si="39"/>
        <v>14.149516507315463</v>
      </c>
      <c r="Z99" s="233">
        <f t="shared" si="40"/>
        <v>110.96348437234629</v>
      </c>
      <c r="AA99" s="233" t="str">
        <f t="shared" si="41"/>
        <v>1.00011709544712+0.0120776372187087i</v>
      </c>
      <c r="AB99" s="233" t="str">
        <f t="shared" si="42"/>
        <v>-2.28573522791164+13.829845689149i</v>
      </c>
      <c r="AC99" s="230">
        <f t="shared" si="43"/>
        <v>22.933387227120981</v>
      </c>
      <c r="AD99" s="233">
        <f t="shared" si="44"/>
        <v>99.384753332286493</v>
      </c>
      <c r="AE99" s="233" t="str">
        <f t="shared" si="45"/>
        <v>-1.43491636869931+8.38085593613727i</v>
      </c>
      <c r="AF99" s="230">
        <f t="shared" si="46"/>
        <v>18.59124668808419</v>
      </c>
      <c r="AG99" s="233">
        <f t="shared" si="47"/>
        <v>99.715611823840462</v>
      </c>
      <c r="AI99" s="233" t="str">
        <f t="shared" si="48"/>
        <v>0.002-0.942257592621068i</v>
      </c>
      <c r="AJ99" s="233">
        <f t="shared" si="49"/>
        <v>0.33750000000000002</v>
      </c>
      <c r="AK99" s="233" t="str">
        <f t="shared" si="50"/>
        <v>0.15-930.008243916995i</v>
      </c>
      <c r="AL99" s="233" t="str">
        <f t="shared" si="51"/>
        <v>0.298879888151536-0.107080054575942i</v>
      </c>
      <c r="AM99" s="233" t="str">
        <f t="shared" si="52"/>
        <v>0.366665730485117-0.000585888804929279i</v>
      </c>
      <c r="AN99" s="233" t="str">
        <f t="shared" si="53"/>
        <v>0.005+0.0107525928564699i</v>
      </c>
      <c r="AO99" s="233" t="str">
        <f t="shared" si="54"/>
        <v>2.69317392601582-0.551787425035297i</v>
      </c>
      <c r="AP99" s="233">
        <f t="shared" si="61"/>
        <v>8.7838707198055239</v>
      </c>
      <c r="AQ99" s="233">
        <f t="shared" si="62"/>
        <v>-11.578731040059804</v>
      </c>
      <c r="AS99" s="233" t="str">
        <f t="shared" si="55"/>
        <v>0.378067713509394-0.000622893513026931i</v>
      </c>
      <c r="AT99" s="233" t="str">
        <f t="shared" si="56"/>
        <v>2.7300681169854-0.566075506594634i</v>
      </c>
      <c r="AU99" s="233">
        <f t="shared" si="63"/>
        <v>8.9062852523441318</v>
      </c>
      <c r="AV99" s="233">
        <f t="shared" si="64"/>
        <v>-11.71419827278455</v>
      </c>
    </row>
    <row r="100" spans="6:48" x14ac:dyDescent="0.25">
      <c r="F100" s="233">
        <v>98</v>
      </c>
      <c r="G100" s="249">
        <f t="shared" si="33"/>
        <v>169.28445046581669</v>
      </c>
      <c r="H100" s="249">
        <f t="shared" si="34"/>
        <v>168.57881372500071</v>
      </c>
      <c r="I100" s="234">
        <f t="shared" si="35"/>
        <v>1</v>
      </c>
      <c r="J100" s="233">
        <f t="shared" si="57"/>
        <v>1</v>
      </c>
      <c r="K100" s="233">
        <f t="shared" si="58"/>
        <v>1</v>
      </c>
      <c r="L100" s="233">
        <f>10^('Small Signal'!F100/30)</f>
        <v>1847.8497974222912</v>
      </c>
      <c r="M100" s="233" t="str">
        <f t="shared" si="36"/>
        <v>11610.3826970385i</v>
      </c>
      <c r="N100" s="233">
        <f>IF(D$31=1, IF(AND('Small Signal'!$B$61&gt;=1,FCCM=0),V100+0,S100+0), 0)</f>
        <v>8.761936491458675</v>
      </c>
      <c r="O100" s="233">
        <f>IF(D$31=1, IF(AND('Small Signal'!$B$61&gt;=1,FCCM=0),W100,T100), 0)</f>
        <v>-12.484766874413953</v>
      </c>
      <c r="P100" s="233">
        <f>IF(AND('Small Signal'!$B$61&gt;=1,FCCM=0),AF100+0,AC100+0)</f>
        <v>22.32871602836051</v>
      </c>
      <c r="Q100" s="233">
        <f>IF(AND('Small Signal'!$B$61&gt;=1,FCCM=0),AG100,AD100)</f>
        <v>99.915624127597084</v>
      </c>
      <c r="R100" s="233" t="str">
        <f>IMDIV(IMSUM('Small Signal'!$B$2*'Small Signal'!$B$38*'Small Signal'!$B$62,IMPRODUCT(M100,'Small Signal'!$B$2*'Small Signal'!$B$38*'Small Signal'!$B$62*'Small Signal'!$B$14*'Small Signal'!$B$15)),IMSUM(IMPRODUCT('Small Signal'!$B$12*'Small Signal'!$B$14*('Small Signal'!$B$15+'Small Signal'!$B$38),IMPOWER(M100,2)),IMSUM(IMPRODUCT(M100,('Small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2.30244313946164-0.445338373306018i</v>
      </c>
      <c r="S100" s="233">
        <f t="shared" si="59"/>
        <v>8.761936491458675</v>
      </c>
      <c r="T100" s="233">
        <f t="shared" si="60"/>
        <v>-12.484766874413953</v>
      </c>
      <c r="U100" s="233" t="str">
        <f>IMDIV(IMSUM('Small Signal'!$B$74,IMPRODUCT(M100,'Small Signal'!$B$75)),IMSUM(IMPRODUCT('Small Signal'!$B$78,IMPOWER(M100,2)),IMSUM(IMPRODUCT(M100,'Small Signal'!$B$77),'Small Signal'!$B$76)))</f>
        <v>1.6326362788724-0.328965394163362i</v>
      </c>
      <c r="V100" s="233">
        <f t="shared" si="37"/>
        <v>4.4306253185200397</v>
      </c>
      <c r="W100" s="233">
        <f t="shared" si="38"/>
        <v>-11.392181961147886</v>
      </c>
      <c r="X100" s="233" t="str">
        <f>IMPRODUCT(IMDIV(IMSUM(IMPRODUCT(M100,'Small Signal'!$B$57*'Small Signal'!$B$6*'Small Signal'!$B$50*'Small Signal'!$B$7*'Small Signal'!$B$8),'Small Signal'!$B$57*'Small Signal'!$B$6*'Small Signal'!$B$50),IMSUM(IMSUM(IMPRODUCT(M100,('Small Signal'!$B$5+'Small Signal'!$B$6)*('Small Signal'!$B$56*'Small Signal'!$B$57)+'Small Signal'!$B$5*'Small Signal'!$B$57*('Small Signal'!$B$8+'Small Signal'!$B$9)+'Small Signal'!$B$6*'Small Signal'!$B$57*('Small Signal'!$B$8+'Small Signal'!$B$9)+'Small Signal'!$B$7*'Small Signal'!$B$8*('Small Signal'!$B$5+'Small Signal'!$B$6)),'Small Signal'!$B$6+'Small Signal'!$B$5),IMPRODUCT(IMPOWER(M100,2),'Small Signal'!$B$56*'Small Signal'!$B$57*'Small Signal'!$B$8*'Small Signal'!$B$7*('Small Signal'!$B$5+'Small Signal'!$B$6)+('Small Signal'!$B$5+'Small Signal'!$B$6)*('Small Signal'!$B$9*'Small Signal'!$B$8*'Small Signal'!$B$57*'Small Signal'!$B$7)))),-1)</f>
        <v>-1.7589659843424+4.43058448306911i</v>
      </c>
      <c r="Y100" s="233">
        <f t="shared" si="39"/>
        <v>13.566779536901862</v>
      </c>
      <c r="Z100" s="233">
        <f t="shared" si="40"/>
        <v>112.40039100201103</v>
      </c>
      <c r="AA100" s="233" t="str">
        <f t="shared" si="41"/>
        <v>1.00013652113919+0.0130409293272756i</v>
      </c>
      <c r="AB100" s="233" t="str">
        <f t="shared" si="42"/>
        <v>-2.25145469787285+12.8795160976478i</v>
      </c>
      <c r="AC100" s="230">
        <f t="shared" si="43"/>
        <v>22.32871602836051</v>
      </c>
      <c r="AD100" s="233">
        <f t="shared" si="44"/>
        <v>99.915624127597084</v>
      </c>
      <c r="AE100" s="233" t="str">
        <f t="shared" si="45"/>
        <v>-1.414242708493+7.81217190202689i</v>
      </c>
      <c r="AF100" s="230">
        <f t="shared" si="46"/>
        <v>17.995480806648189</v>
      </c>
      <c r="AG100" s="233">
        <f t="shared" si="47"/>
        <v>100.26116315833106</v>
      </c>
      <c r="AI100" s="233" t="str">
        <f t="shared" si="48"/>
        <v>0.002-0.872642403247928i</v>
      </c>
      <c r="AJ100" s="233">
        <f t="shared" si="49"/>
        <v>0.33750000000000002</v>
      </c>
      <c r="AK100" s="233" t="str">
        <f t="shared" si="50"/>
        <v>0.15-861.298052005705i</v>
      </c>
      <c r="AL100" s="233" t="str">
        <f t="shared" si="51"/>
        <v>0.293316074192357-0.113455622904951i</v>
      </c>
      <c r="AM100" s="233" t="str">
        <f t="shared" si="52"/>
        <v>0.366665575159578-0.00063262791145696i</v>
      </c>
      <c r="AN100" s="233" t="str">
        <f t="shared" si="53"/>
        <v>0.005+0.0116103826970385i</v>
      </c>
      <c r="AO100" s="233" t="str">
        <f t="shared" si="54"/>
        <v>2.67734242338447-0.592805764215168i</v>
      </c>
      <c r="AP100" s="233">
        <f t="shared" si="61"/>
        <v>8.761936491458675</v>
      </c>
      <c r="AQ100" s="233">
        <f t="shared" si="62"/>
        <v>-12.484766874413953</v>
      </c>
      <c r="AS100" s="233" t="str">
        <f t="shared" si="55"/>
        <v>0.378067543238376-0.000672584641228267i</v>
      </c>
      <c r="AT100" s="233" t="str">
        <f t="shared" si="56"/>
        <v>2.7135591290552-0.608043284857287i</v>
      </c>
      <c r="AU100" s="233">
        <f t="shared" si="63"/>
        <v>8.8835473728956238</v>
      </c>
      <c r="AV100" s="233">
        <f t="shared" si="64"/>
        <v>-12.62997940882097</v>
      </c>
    </row>
    <row r="101" spans="6:48" x14ac:dyDescent="0.25">
      <c r="F101" s="233">
        <v>99</v>
      </c>
      <c r="G101" s="249">
        <f t="shared" si="33"/>
        <v>169.34070874518491</v>
      </c>
      <c r="H101" s="249">
        <f t="shared" si="34"/>
        <v>168.57881372500071</v>
      </c>
      <c r="I101" s="234">
        <f t="shared" si="35"/>
        <v>1</v>
      </c>
      <c r="J101" s="233">
        <f t="shared" si="57"/>
        <v>1</v>
      </c>
      <c r="K101" s="233">
        <f t="shared" si="58"/>
        <v>1</v>
      </c>
      <c r="L101" s="233">
        <f>10^('Small Signal'!F101/30)</f>
        <v>1995.2623149688804</v>
      </c>
      <c r="M101" s="233" t="str">
        <f t="shared" si="36"/>
        <v>12536.6028613816i</v>
      </c>
      <c r="N101" s="233">
        <f>IF(D$31=1, IF(AND('Small Signal'!$B$61&gt;=1,FCCM=0),V101+0,S101+0), 0)</f>
        <v>8.736494483598797</v>
      </c>
      <c r="O101" s="233">
        <f>IF(D$31=1, IF(AND('Small Signal'!$B$61&gt;=1,FCCM=0),W101,T101), 0)</f>
        <v>-13.458649943195176</v>
      </c>
      <c r="P101" s="233">
        <f>IF(AND('Small Signal'!$B$61&gt;=1,FCCM=0),AF101+0,AC101+0)</f>
        <v>21.732450034513704</v>
      </c>
      <c r="Q101" s="233">
        <f>IF(AND('Small Signal'!$B$61&gt;=1,FCCM=0),AG101,AD101)</f>
        <v>100.46819583800131</v>
      </c>
      <c r="R101" s="233" t="str">
        <f>IMDIV(IMSUM('Small Signal'!$B$2*'Small Signal'!$B$38*'Small Signal'!$B$62,IMPRODUCT(M101,'Small Signal'!$B$2*'Small Signal'!$B$38*'Small Signal'!$B$62*'Small Signal'!$B$14*'Small Signal'!$B$15)),IMSUM(IMPRODUCT('Small Signal'!$B$12*'Small Signal'!$B$14*('Small Signal'!$B$15+'Small Signal'!$B$38),IMPOWER(M101,2)),IMSUM(IMPRODUCT(M101,('Small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2.29118612568935-0.479077575521136i</v>
      </c>
      <c r="S101" s="233">
        <f t="shared" si="59"/>
        <v>8.736494483598797</v>
      </c>
      <c r="T101" s="233">
        <f t="shared" si="60"/>
        <v>-13.458649943195176</v>
      </c>
      <c r="U101" s="233" t="str">
        <f>IMDIV(IMSUM('Small Signal'!$B$74,IMPRODUCT(M101,'Small Signal'!$B$75)),IMSUM(IMPRODUCT('Small Signal'!$B$78,IMPOWER(M101,2)),IMSUM(IMPRODUCT(M101,'Small Signal'!$B$77),'Small Signal'!$B$76)))</f>
        <v>1.62448023493462-0.354002903121131i</v>
      </c>
      <c r="V101" s="233">
        <f t="shared" si="37"/>
        <v>4.4157796070911015</v>
      </c>
      <c r="W101" s="233">
        <f t="shared" si="38"/>
        <v>-12.293566662144269</v>
      </c>
      <c r="X101" s="233" t="str">
        <f>IMPRODUCT(IMDIV(IMSUM(IMPRODUCT(M101,'Small Signal'!$B$57*'Small Signal'!$B$6*'Small Signal'!$B$50*'Small Signal'!$B$7*'Small Signal'!$B$8),'Small Signal'!$B$57*'Small Signal'!$B$6*'Small Signal'!$B$50),IMSUM(IMSUM(IMPRODUCT(M101,('Small Signal'!$B$5+'Small Signal'!$B$6)*('Small Signal'!$B$56*'Small Signal'!$B$57)+'Small Signal'!$B$5*'Small Signal'!$B$57*('Small Signal'!$B$8+'Small Signal'!$B$9)+'Small Signal'!$B$6*'Small Signal'!$B$57*('Small Signal'!$B$8+'Small Signal'!$B$9)+'Small Signal'!$B$7*'Small Signal'!$B$8*('Small Signal'!$B$5+'Small Signal'!$B$6)),'Small Signal'!$B$6+'Small Signal'!$B$5),IMPRODUCT(IMPOWER(M101,2),'Small Signal'!$B$56*'Small Signal'!$B$57*'Small Signal'!$B$8*'Small Signal'!$B$7*('Small Signal'!$B$5+'Small Signal'!$B$6)+('Small Signal'!$B$5+'Small Signal'!$B$6)*('Small Signal'!$B$9*'Small Signal'!$B$8*'Small Signal'!$B$57*'Small Signal'!$B$7)))),-1)</f>
        <v>-1.75268796069208+4.10509952087862i</v>
      </c>
      <c r="Y101" s="233">
        <f t="shared" si="39"/>
        <v>12.995955550914905</v>
      </c>
      <c r="Z101" s="233">
        <f t="shared" si="40"/>
        <v>113.92684578119646</v>
      </c>
      <c r="AA101" s="233" t="str">
        <f t="shared" si="41"/>
        <v>1.00015916906839+0.0140810155734651i</v>
      </c>
      <c r="AB101" s="233" t="str">
        <f t="shared" si="42"/>
        <v>-2.21795546576639+12.0042003497099i</v>
      </c>
      <c r="AC101" s="230">
        <f t="shared" si="43"/>
        <v>21.732450034513704</v>
      </c>
      <c r="AD101" s="233">
        <f t="shared" si="44"/>
        <v>100.46819583800131</v>
      </c>
      <c r="AE101" s="233" t="str">
        <f t="shared" si="45"/>
        <v>-1.39398980215995+7.28910966045735i</v>
      </c>
      <c r="AF101" s="230">
        <f t="shared" si="46"/>
        <v>17.409492005034085</v>
      </c>
      <c r="AG101" s="233">
        <f t="shared" si="47"/>
        <v>100.82667803968565</v>
      </c>
      <c r="AI101" s="233" t="str">
        <f t="shared" si="48"/>
        <v>0.002-0.808170472607226i</v>
      </c>
      <c r="AJ101" s="233">
        <f t="shared" si="49"/>
        <v>0.33750000000000002</v>
      </c>
      <c r="AK101" s="233" t="str">
        <f t="shared" si="50"/>
        <v>0.15-797.664256463329i</v>
      </c>
      <c r="AL101" s="233" t="str">
        <f t="shared" si="51"/>
        <v>0.287086812704282-0.119887125259272i</v>
      </c>
      <c r="AM101" s="233" t="str">
        <f t="shared" si="52"/>
        <v>0.366665394063462-0.000683095568405431i</v>
      </c>
      <c r="AN101" s="233" t="str">
        <f t="shared" si="53"/>
        <v>0.005+0.0125366028613816i</v>
      </c>
      <c r="AO101" s="233" t="str">
        <f t="shared" si="54"/>
        <v>2.65907978092433-0.636359272260984i</v>
      </c>
      <c r="AP101" s="233">
        <f t="shared" si="61"/>
        <v>8.736494483598797</v>
      </c>
      <c r="AQ101" s="233">
        <f t="shared" si="62"/>
        <v>-13.458649943195176</v>
      </c>
      <c r="AS101" s="233" t="str">
        <f t="shared" si="55"/>
        <v>0.378067344717136-0.000726239808816548i</v>
      </c>
      <c r="AT101" s="233" t="str">
        <f t="shared" si="56"/>
        <v>2.69452288077783-0.652576876921304i</v>
      </c>
      <c r="AU101" s="233">
        <f t="shared" si="63"/>
        <v>8.8571790385251443</v>
      </c>
      <c r="AV101" s="233">
        <f t="shared" si="64"/>
        <v>-13.614124832455005</v>
      </c>
    </row>
    <row r="102" spans="6:48" x14ac:dyDescent="0.25">
      <c r="F102" s="233">
        <v>100</v>
      </c>
      <c r="G102" s="249">
        <f t="shared" si="33"/>
        <v>169.40144623774566</v>
      </c>
      <c r="H102" s="249">
        <f t="shared" si="34"/>
        <v>168.57881372500071</v>
      </c>
      <c r="I102" s="234">
        <f t="shared" si="35"/>
        <v>1</v>
      </c>
      <c r="J102" s="233">
        <f t="shared" si="57"/>
        <v>1</v>
      </c>
      <c r="K102" s="233">
        <f t="shared" si="58"/>
        <v>1</v>
      </c>
      <c r="L102" s="233">
        <f>10^('Small Signal'!F102/30)</f>
        <v>2154.4346900318851</v>
      </c>
      <c r="M102" s="233" t="str">
        <f t="shared" si="36"/>
        <v>13536.7123896863i</v>
      </c>
      <c r="N102" s="233">
        <f>IF(D$31=1, IF(AND('Small Signal'!$B$61&gt;=1,FCCM=0),V102+0,S102+0), 0)</f>
        <v>8.707007898991673</v>
      </c>
      <c r="O102" s="233">
        <f>IF(D$31=1, IF(AND('Small Signal'!$B$61&gt;=1,FCCM=0),W102,T102), 0)</f>
        <v>-14.504708450070142</v>
      </c>
      <c r="P102" s="233">
        <f>IF(AND('Small Signal'!$B$61&gt;=1,FCCM=0),AF102+0,AC102+0)</f>
        <v>21.145433951258589</v>
      </c>
      <c r="Q102" s="233">
        <f>IF(AND('Small Signal'!$B$61&gt;=1,FCCM=0),AG102,AD102)</f>
        <v>101.03820612853407</v>
      </c>
      <c r="R102" s="233" t="str">
        <f>IMDIV(IMSUM('Small Signal'!$B$2*'Small Signal'!$B$38*'Small Signal'!$B$62,IMPRODUCT(M102,'Small Signal'!$B$2*'Small Signal'!$B$38*'Small Signal'!$B$62*'Small Signal'!$B$14*'Small Signal'!$B$15)),IMSUM(IMPRODUCT('Small Signal'!$B$12*'Small Signal'!$B$14*('Small Signal'!$B$15+'Small Signal'!$B$38),IMPOWER(M102,2)),IMSUM(IMPRODUCT(M102,('Small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2.27815865285145-0.51506165350523i</v>
      </c>
      <c r="S102" s="233">
        <f t="shared" si="59"/>
        <v>8.707007898991673</v>
      </c>
      <c r="T102" s="233">
        <f t="shared" si="60"/>
        <v>-14.504708450070142</v>
      </c>
      <c r="U102" s="233" t="str">
        <f>IMDIV(IMSUM('Small Signal'!$B$74,IMPRODUCT(M102,'Small Signal'!$B$75)),IMSUM(IMPRODUCT('Small Signal'!$B$78,IMPOWER(M102,2)),IMSUM(IMPRODUCT(M102,'Small Signal'!$B$77),'Small Signal'!$B$76)))</f>
        <v>1.61503022284443-0.380734216773962i</v>
      </c>
      <c r="V102" s="233">
        <f t="shared" si="37"/>
        <v>4.3985056372387135</v>
      </c>
      <c r="W102" s="233">
        <f t="shared" si="38"/>
        <v>-13.264959498948</v>
      </c>
      <c r="X102" s="233" t="str">
        <f>IMPRODUCT(IMDIV(IMSUM(IMPRODUCT(M102,'Small Signal'!$B$57*'Small Signal'!$B$6*'Small Signal'!$B$50*'Small Signal'!$B$7*'Small Signal'!$B$8),'Small Signal'!$B$57*'Small Signal'!$B$6*'Small Signal'!$B$50),IMSUM(IMSUM(IMPRODUCT(M102,('Small Signal'!$B$5+'Small Signal'!$B$6)*('Small Signal'!$B$56*'Small Signal'!$B$57)+'Small Signal'!$B$5*'Small Signal'!$B$57*('Small Signal'!$B$8+'Small Signal'!$B$9)+'Small Signal'!$B$6*'Small Signal'!$B$57*('Small Signal'!$B$8+'Small Signal'!$B$9)+'Small Signal'!$B$7*'Small Signal'!$B$8*('Small Signal'!$B$5+'Small Signal'!$B$6)),'Small Signal'!$B$6+'Small Signal'!$B$5),IMPRODUCT(IMPOWER(M102,2),'Small Signal'!$B$56*'Small Signal'!$B$57*'Small Signal'!$B$8*'Small Signal'!$B$7*('Small Signal'!$B$5+'Small Signal'!$B$6)+('Small Signal'!$B$5+'Small Signal'!$B$6)*('Small Signal'!$B$9*'Small Signal'!$B$8*'Small Signal'!$B$57*'Small Signal'!$B$7)))),-1)</f>
        <v>-1.74729911777945+3.8037930333031i</v>
      </c>
      <c r="Y102" s="233">
        <f t="shared" si="39"/>
        <v>12.438426052266923</v>
      </c>
      <c r="Z102" s="233">
        <f t="shared" si="40"/>
        <v>115.54291457860421</v>
      </c>
      <c r="AA102" s="233" t="str">
        <f t="shared" si="41"/>
        <v>1.00018557357542+0.0152040085945458i</v>
      </c>
      <c r="AB102" s="233" t="str">
        <f t="shared" si="42"/>
        <v>-2.184528656795+11.1985522788199i</v>
      </c>
      <c r="AC102" s="230">
        <f t="shared" si="43"/>
        <v>21.145433951258589</v>
      </c>
      <c r="AD102" s="233">
        <f t="shared" si="44"/>
        <v>101.03820612853407</v>
      </c>
      <c r="AE102" s="233" t="str">
        <f t="shared" si="45"/>
        <v>-1.37370672225831+6.80849727130719i</v>
      </c>
      <c r="AF102" s="230">
        <f t="shared" si="46"/>
        <v>16.834316532604134</v>
      </c>
      <c r="AG102" s="233">
        <f t="shared" si="47"/>
        <v>101.40705826040792</v>
      </c>
      <c r="AI102" s="233" t="str">
        <f t="shared" si="48"/>
        <v>0.002-0.748461810202249i</v>
      </c>
      <c r="AJ102" s="233">
        <f t="shared" si="49"/>
        <v>0.33750000000000002</v>
      </c>
      <c r="AK102" s="233" t="str">
        <f t="shared" si="50"/>
        <v>0.15-738.731806669621i</v>
      </c>
      <c r="AL102" s="233" t="str">
        <f t="shared" si="51"/>
        <v>0.28015219736159-0.126302468775811i</v>
      </c>
      <c r="AM102" s="233" t="str">
        <f t="shared" si="52"/>
        <v>0.366665182921118-0.000737589203523192i</v>
      </c>
      <c r="AN102" s="233" t="str">
        <f t="shared" si="53"/>
        <v>0.005+0.0135367123896863i</v>
      </c>
      <c r="AO102" s="233" t="str">
        <f t="shared" si="54"/>
        <v>2.63804837290566-0.682476991494088i</v>
      </c>
      <c r="AP102" s="233">
        <f t="shared" si="61"/>
        <v>8.707007898991673</v>
      </c>
      <c r="AQ102" s="233">
        <f t="shared" si="62"/>
        <v>-14.504708450070142</v>
      </c>
      <c r="AS102" s="233" t="str">
        <f t="shared" si="55"/>
        <v>0.378067113258628-0.00078417522736958i</v>
      </c>
      <c r="AT102" s="233" t="str">
        <f t="shared" si="56"/>
        <v>2.67261107999634-0.699697910020372i</v>
      </c>
      <c r="AU102" s="233">
        <f t="shared" si="63"/>
        <v>8.8266266774770603</v>
      </c>
      <c r="AV102" s="233">
        <f t="shared" si="64"/>
        <v>-14.67094298951336</v>
      </c>
    </row>
    <row r="103" spans="6:48" x14ac:dyDescent="0.25">
      <c r="F103" s="233">
        <v>101</v>
      </c>
      <c r="G103" s="249">
        <f t="shared" si="33"/>
        <v>169.46701799715353</v>
      </c>
      <c r="H103" s="249">
        <f t="shared" si="34"/>
        <v>168.57881372500071</v>
      </c>
      <c r="I103" s="234">
        <f t="shared" si="35"/>
        <v>1</v>
      </c>
      <c r="J103" s="233">
        <f t="shared" si="57"/>
        <v>1</v>
      </c>
      <c r="K103" s="233">
        <f t="shared" si="58"/>
        <v>1</v>
      </c>
      <c r="L103" s="233">
        <f>10^('Small Signal'!F103/30)</f>
        <v>2326.3050671536284</v>
      </c>
      <c r="M103" s="233" t="str">
        <f t="shared" si="36"/>
        <v>14616.6058179571i</v>
      </c>
      <c r="N103" s="233">
        <f>IF(D$31=1, IF(AND('Small Signal'!$B$61&gt;=1,FCCM=0),V103+0,S103+0), 0)</f>
        <v>8.6728659882810835</v>
      </c>
      <c r="O103" s="233">
        <f>IF(D$31=1, IF(AND('Small Signal'!$B$61&gt;=1,FCCM=0),W103,T103), 0)</f>
        <v>-15.627362986178372</v>
      </c>
      <c r="P103" s="233">
        <f>IF(AND('Small Signal'!$B$61&gt;=1,FCCM=0),AF103+0,AC103+0)</f>
        <v>20.568508045977541</v>
      </c>
      <c r="Q103" s="233">
        <f>IF(AND('Small Signal'!$B$61&gt;=1,FCCM=0),AG103,AD103)</f>
        <v>101.62028536527619</v>
      </c>
      <c r="R103" s="233" t="str">
        <f>IMDIV(IMSUM('Small Signal'!$B$2*'Small Signal'!$B$38*'Small Signal'!$B$62,IMPRODUCT(M103,'Small Signal'!$B$2*'Small Signal'!$B$38*'Small Signal'!$B$62*'Small Signal'!$B$14*'Small Signal'!$B$15)),IMSUM(IMPRODUCT('Small Signal'!$B$12*'Small Signal'!$B$14*('Small Signal'!$B$15+'Small Signal'!$B$38),IMPOWER(M103,2)),IMSUM(IMPRODUCT(M103,('Small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2.26310039239574-0.553361349040983i</v>
      </c>
      <c r="S103" s="233">
        <f t="shared" si="59"/>
        <v>8.6728659882810835</v>
      </c>
      <c r="T103" s="233">
        <f t="shared" si="60"/>
        <v>-15.627362986178372</v>
      </c>
      <c r="U103" s="233" t="str">
        <f>IMDIV(IMSUM('Small Signal'!$B$74,IMPRODUCT(M103,'Small Signal'!$B$75)),IMSUM(IMPRODUCT('Small Signal'!$B$78,IMPOWER(M103,2)),IMSUM(IMPRODUCT(M103,'Small Signal'!$B$77),'Small Signal'!$B$76)))</f>
        <v>1.60409213753164-0.409219789996624i</v>
      </c>
      <c r="V103" s="233">
        <f t="shared" si="37"/>
        <v>4.3784128320189284</v>
      </c>
      <c r="W103" s="233">
        <f t="shared" si="38"/>
        <v>-14.311464220689425</v>
      </c>
      <c r="X103" s="233" t="str">
        <f>IMPRODUCT(IMDIV(IMSUM(IMPRODUCT(M103,'Small Signal'!$B$57*'Small Signal'!$B$6*'Small Signal'!$B$50*'Small Signal'!$B$7*'Small Signal'!$B$8),'Small Signal'!$B$57*'Small Signal'!$B$6*'Small Signal'!$B$50),IMSUM(IMSUM(IMPRODUCT(M103,('Small Signal'!$B$5+'Small Signal'!$B$6)*('Small Signal'!$B$56*'Small Signal'!$B$57)+'Small Signal'!$B$5*'Small Signal'!$B$57*('Small Signal'!$B$8+'Small Signal'!$B$9)+'Small Signal'!$B$6*'Small Signal'!$B$57*('Small Signal'!$B$8+'Small Signal'!$B$9)+'Small Signal'!$B$7*'Small Signal'!$B$8*('Small Signal'!$B$5+'Small Signal'!$B$6)),'Small Signal'!$B$6+'Small Signal'!$B$5),IMPRODUCT(IMPOWER(M103,2),'Small Signal'!$B$56*'Small Signal'!$B$57*'Small Signal'!$B$8*'Small Signal'!$B$7*('Small Signal'!$B$5+'Small Signal'!$B$6)+('Small Signal'!$B$5+'Small Signal'!$B$6)*('Small Signal'!$B$9*'Small Signal'!$B$8*'Small Signal'!$B$57*'Small Signal'!$B$7)))),-1)</f>
        <v>-1.74267228420273+3.52489253765192i</v>
      </c>
      <c r="Y103" s="233">
        <f t="shared" si="39"/>
        <v>11.895642057696488</v>
      </c>
      <c r="Z103" s="233">
        <f t="shared" si="40"/>
        <v>117.24764835145453</v>
      </c>
      <c r="AA103" s="233" t="str">
        <f t="shared" si="41"/>
        <v>1.0002163575571+0.016416505137795i</v>
      </c>
      <c r="AB103" s="233" t="str">
        <f t="shared" si="42"/>
        <v>-2.150493720565+10.4575900980121i</v>
      </c>
      <c r="AC103" s="230">
        <f t="shared" si="43"/>
        <v>20.568508045977541</v>
      </c>
      <c r="AD103" s="233">
        <f t="shared" si="44"/>
        <v>101.62028536527619</v>
      </c>
      <c r="AE103" s="233" t="str">
        <f t="shared" si="45"/>
        <v>-1.35295112536532+6.36738839146577i</v>
      </c>
      <c r="AF103" s="230">
        <f t="shared" si="46"/>
        <v>16.271006068213897</v>
      </c>
      <c r="AG103" s="233">
        <f t="shared" si="47"/>
        <v>101.99587556210885</v>
      </c>
      <c r="AI103" s="233" t="str">
        <f t="shared" si="48"/>
        <v>0.002-0.693164499717478i</v>
      </c>
      <c r="AJ103" s="233">
        <f t="shared" si="49"/>
        <v>0.33750000000000002</v>
      </c>
      <c r="AK103" s="233" t="str">
        <f t="shared" si="50"/>
        <v>0.15-684.153361221152i</v>
      </c>
      <c r="AL103" s="233" t="str">
        <f t="shared" si="51"/>
        <v>0.272481226634391-0.132617396168776i</v>
      </c>
      <c r="AM103" s="233" t="str">
        <f t="shared" si="52"/>
        <v>0.366664936747525-0.00079642996725374i</v>
      </c>
      <c r="AN103" s="233" t="str">
        <f t="shared" si="53"/>
        <v>0.005+0.0146166058179571i</v>
      </c>
      <c r="AO103" s="233" t="str">
        <f t="shared" si="54"/>
        <v>2.61387570489142-0.731153022483718i</v>
      </c>
      <c r="AP103" s="233">
        <f t="shared" si="61"/>
        <v>8.6728659882810835</v>
      </c>
      <c r="AQ103" s="233">
        <f t="shared" si="62"/>
        <v>-15.627362986178372</v>
      </c>
      <c r="AS103" s="233" t="str">
        <f t="shared" si="55"/>
        <v>0.378066843398177-0.000846732329037028i</v>
      </c>
      <c r="AT103" s="233" t="str">
        <f t="shared" si="56"/>
        <v>2.64744039029313-0.74939067756305i</v>
      </c>
      <c r="AU103" s="233">
        <f t="shared" si="63"/>
        <v>8.7912611313303373</v>
      </c>
      <c r="AV103" s="233">
        <f t="shared" si="64"/>
        <v>-15.804820093790353</v>
      </c>
    </row>
    <row r="104" spans="6:48" x14ac:dyDescent="0.25">
      <c r="F104" s="233">
        <v>102</v>
      </c>
      <c r="G104" s="249">
        <f t="shared" si="33"/>
        <v>169.53780681320046</v>
      </c>
      <c r="H104" s="249">
        <f t="shared" si="34"/>
        <v>168.57881372500071</v>
      </c>
      <c r="I104" s="234">
        <f t="shared" si="35"/>
        <v>1</v>
      </c>
      <c r="J104" s="233">
        <f t="shared" si="57"/>
        <v>1</v>
      </c>
      <c r="K104" s="233">
        <f t="shared" si="58"/>
        <v>1</v>
      </c>
      <c r="L104" s="233">
        <f>10^('Small Signal'!F104/30)</f>
        <v>2511.8864315095811</v>
      </c>
      <c r="M104" s="233" t="str">
        <f t="shared" si="36"/>
        <v>15782.6479197648i</v>
      </c>
      <c r="N104" s="233">
        <f>IF(D$31=1, IF(AND('Small Signal'!$B$61&gt;=1,FCCM=0),V104+0,S104+0), 0)</f>
        <v>8.6333765965673397</v>
      </c>
      <c r="O104" s="233">
        <f>IF(D$31=1, IF(AND('Small Signal'!$B$61&gt;=1,FCCM=0),W104,T104), 0)</f>
        <v>-16.831080314437511</v>
      </c>
      <c r="P104" s="233">
        <f>IF(AND('Small Signal'!$B$61&gt;=1,FCCM=0),AF104+0,AC104+0)</f>
        <v>20.002479128642054</v>
      </c>
      <c r="Q104" s="233">
        <f>IF(AND('Small Signal'!$B$61&gt;=1,FCCM=0),AG104,AD104)</f>
        <v>102.20784879721653</v>
      </c>
      <c r="R104" s="233" t="str">
        <f>IMDIV(IMSUM('Small Signal'!$B$2*'Small Signal'!$B$38*'Small Signal'!$B$62,IMPRODUCT(M104,'Small Signal'!$B$2*'Small Signal'!$B$38*'Small Signal'!$B$62*'Small Signal'!$B$14*'Small Signal'!$B$15)),IMSUM(IMPRODUCT('Small Signal'!$B$12*'Small Signal'!$B$14*('Small Signal'!$B$15+'Small Signal'!$B$38),IMPOWER(M104,2)),IMSUM(IMPRODUCT(M104,('Small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2.24571897809854-0.594028227670348i</v>
      </c>
      <c r="S104" s="233">
        <f t="shared" si="59"/>
        <v>8.6333765965673397</v>
      </c>
      <c r="T104" s="233">
        <f t="shared" si="60"/>
        <v>-16.831080314437511</v>
      </c>
      <c r="U104" s="233" t="str">
        <f>IMDIV(IMSUM('Small Signal'!$B$74,IMPRODUCT(M104,'Small Signal'!$B$75)),IMSUM(IMPRODUCT('Small Signal'!$B$78,IMPOWER(M104,2)),IMSUM(IMPRODUCT(M104,'Small Signal'!$B$77),'Small Signal'!$B$76)))</f>
        <v>1.59144666703671-0.439507332496771i</v>
      </c>
      <c r="V104" s="233">
        <f t="shared" si="37"/>
        <v>4.3550501081244057</v>
      </c>
      <c r="W104" s="233">
        <f t="shared" si="38"/>
        <v>-15.438472069077337</v>
      </c>
      <c r="X104" s="233" t="str">
        <f>IMPRODUCT(IMDIV(IMSUM(IMPRODUCT(M104,'Small Signal'!$B$57*'Small Signal'!$B$6*'Small Signal'!$B$50*'Small Signal'!$B$7*'Small Signal'!$B$8),'Small Signal'!$B$57*'Small Signal'!$B$6*'Small Signal'!$B$50),IMSUM(IMSUM(IMPRODUCT(M104,('Small Signal'!$B$5+'Small Signal'!$B$6)*('Small Signal'!$B$56*'Small Signal'!$B$57)+'Small Signal'!$B$5*'Small Signal'!$B$57*('Small Signal'!$B$8+'Small Signal'!$B$9)+'Small Signal'!$B$6*'Small Signal'!$B$57*('Small Signal'!$B$8+'Small Signal'!$B$9)+'Small Signal'!$B$7*'Small Signal'!$B$8*('Small Signal'!$B$5+'Small Signal'!$B$6)),'Small Signal'!$B$6+'Small Signal'!$B$5),IMPRODUCT(IMPOWER(M104,2),'Small Signal'!$B$56*'Small Signal'!$B$57*'Small Signal'!$B$8*'Small Signal'!$B$7*('Small Signal'!$B$5+'Small Signal'!$B$6)+('Small Signal'!$B$5+'Small Signal'!$B$6)*('Small Signal'!$B$9*'Small Signal'!$B$8*'Small Signal'!$B$57*'Small Signal'!$B$7)))),-1)</f>
        <v>-1.73869826383967+3.26675690982052i</v>
      </c>
      <c r="Y104" s="233">
        <f t="shared" si="39"/>
        <v>11.369102532074711</v>
      </c>
      <c r="Z104" s="233">
        <f t="shared" si="40"/>
        <v>119.03892911165404</v>
      </c>
      <c r="AA104" s="233" t="str">
        <f t="shared" si="41"/>
        <v>1.00025224712358+0.0177256237682063i</v>
      </c>
      <c r="AB104" s="233" t="str">
        <f t="shared" si="42"/>
        <v>-2.11519051291029+9.77665942112565i</v>
      </c>
      <c r="AC104" s="230">
        <f t="shared" si="43"/>
        <v>20.002479128642054</v>
      </c>
      <c r="AD104" s="233">
        <f t="shared" si="44"/>
        <v>102.20784879721653</v>
      </c>
      <c r="AE104" s="233" t="str">
        <f t="shared" si="45"/>
        <v>-1.33128194161955+5.96304003210995i</v>
      </c>
      <c r="AF104" s="230">
        <f t="shared" si="46"/>
        <v>15.720598284624174</v>
      </c>
      <c r="AG104" s="233">
        <f t="shared" si="47"/>
        <v>102.58521599615382</v>
      </c>
      <c r="AI104" s="233" t="str">
        <f t="shared" si="48"/>
        <v>0.002-0.641952624862381i</v>
      </c>
      <c r="AJ104" s="233">
        <f t="shared" si="49"/>
        <v>0.33750000000000002</v>
      </c>
      <c r="AK104" s="233" t="str">
        <f t="shared" si="50"/>
        <v>0.15-633.607240739172i</v>
      </c>
      <c r="AL104" s="233" t="str">
        <f t="shared" si="51"/>
        <v>0.264055088188629-0.138736299244541i</v>
      </c>
      <c r="AM104" s="233" t="str">
        <f t="shared" si="52"/>
        <v>0.366664649730605-0.000859964624012912i</v>
      </c>
      <c r="AN104" s="233" t="str">
        <f t="shared" si="53"/>
        <v>0.005+0.0157826479197648i</v>
      </c>
      <c r="AO104" s="233" t="str">
        <f t="shared" si="54"/>
        <v>2.58615491968689-0.782337202948148i</v>
      </c>
      <c r="AP104" s="233">
        <f t="shared" si="61"/>
        <v>8.6333765965673397</v>
      </c>
      <c r="AQ104" s="233">
        <f t="shared" si="62"/>
        <v>-16.831080314437511</v>
      </c>
      <c r="AS104" s="233" t="str">
        <f t="shared" si="55"/>
        <v>0.378066528764478-0.000914279777154164i</v>
      </c>
      <c r="AT104" s="233" t="str">
        <f t="shared" si="56"/>
        <v>2.61859332608017-0.801592451018214i</v>
      </c>
      <c r="AU104" s="233">
        <f t="shared" si="63"/>
        <v>8.7503702705207065</v>
      </c>
      <c r="AV104" s="233">
        <f t="shared" si="64"/>
        <v>-17.0201704942261</v>
      </c>
    </row>
    <row r="105" spans="6:48" x14ac:dyDescent="0.25">
      <c r="F105" s="233">
        <v>103</v>
      </c>
      <c r="G105" s="249">
        <f t="shared" si="33"/>
        <v>169.61422527263676</v>
      </c>
      <c r="H105" s="249">
        <f t="shared" si="34"/>
        <v>168.57881372500071</v>
      </c>
      <c r="I105" s="234">
        <f t="shared" si="35"/>
        <v>1</v>
      </c>
      <c r="J105" s="233">
        <f t="shared" si="57"/>
        <v>1</v>
      </c>
      <c r="K105" s="233">
        <f t="shared" si="58"/>
        <v>1</v>
      </c>
      <c r="L105" s="233">
        <f>10^('Small Signal'!F105/30)</f>
        <v>2712.2725793320301</v>
      </c>
      <c r="M105" s="233" t="str">
        <f t="shared" si="36"/>
        <v>17041.7112195251i</v>
      </c>
      <c r="N105" s="233">
        <f>IF(D$31=1, IF(AND('Small Signal'!$B$61&gt;=1,FCCM=0),V105+0,S105+0), 0)</f>
        <v>8.5877588823334712</v>
      </c>
      <c r="O105" s="233">
        <f>IF(D$31=1, IF(AND('Small Signal'!$B$61&gt;=1,FCCM=0),W105,T105), 0)</f>
        <v>-18.120314418481172</v>
      </c>
      <c r="P105" s="233">
        <f>IF(AND('Small Signal'!$B$61&gt;=1,FCCM=0),AF105+0,AC105+0)</f>
        <v>19.448085055616787</v>
      </c>
      <c r="Q105" s="233">
        <f>IF(AND('Small Signal'!$B$61&gt;=1,FCCM=0),AG105,AD105)</f>
        <v>102.79301982357816</v>
      </c>
      <c r="R105" s="233" t="str">
        <f>IMDIV(IMSUM('Small Signal'!$B$2*'Small Signal'!$B$38*'Small Signal'!$B$62,IMPRODUCT(M105,'Small Signal'!$B$2*'Small Signal'!$B$38*'Small Signal'!$B$62*'Small Signal'!$B$14*'Small Signal'!$B$15)),IMSUM(IMPRODUCT('Small Signal'!$B$12*'Small Signal'!$B$14*('Small Signal'!$B$15+'Small Signal'!$B$38),IMPOWER(M105,2)),IMSUM(IMPRODUCT(M105,('Small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2.22568823210324-0.637088109152691i</v>
      </c>
      <c r="S105" s="233">
        <f t="shared" si="59"/>
        <v>8.5877588823334712</v>
      </c>
      <c r="T105" s="233">
        <f t="shared" si="60"/>
        <v>-18.120314418481172</v>
      </c>
      <c r="U105" s="233" t="str">
        <f>IMDIV(IMSUM('Small Signal'!$B$74,IMPRODUCT(M105,'Small Signal'!$B$75)),IMSUM(IMPRODUCT('Small Signal'!$B$78,IMPOWER(M105,2)),IMSUM(IMPRODUCT(M105,'Small Signal'!$B$77),'Small Signal'!$B$76)))</f>
        <v>1.57684740279444-0.47162701871319i</v>
      </c>
      <c r="V105" s="233">
        <f t="shared" si="37"/>
        <v>4.3278973092094972</v>
      </c>
      <c r="W105" s="233">
        <f t="shared" si="38"/>
        <v>-16.651655949238425</v>
      </c>
      <c r="X105" s="233" t="str">
        <f>IMPRODUCT(IMDIV(IMSUM(IMPRODUCT(M105,'Small Signal'!$B$57*'Small Signal'!$B$6*'Small Signal'!$B$50*'Small Signal'!$B$7*'Small Signal'!$B$8),'Small Signal'!$B$57*'Small Signal'!$B$6*'Small Signal'!$B$50),IMSUM(IMSUM(IMPRODUCT(M105,('Small Signal'!$B$5+'Small Signal'!$B$6)*('Small Signal'!$B$56*'Small Signal'!$B$57)+'Small Signal'!$B$5*'Small Signal'!$B$57*('Small Signal'!$B$8+'Small Signal'!$B$9)+'Small Signal'!$B$6*'Small Signal'!$B$57*('Small Signal'!$B$8+'Small Signal'!$B$9)+'Small Signal'!$B$7*'Small Signal'!$B$8*('Small Signal'!$B$5+'Small Signal'!$B$6)),'Small Signal'!$B$6+'Small Signal'!$B$5),IMPRODUCT(IMPOWER(M105,2),'Small Signal'!$B$56*'Small Signal'!$B$57*'Small Signal'!$B$8*'Small Signal'!$B$7*('Small Signal'!$B$5+'Small Signal'!$B$6)+('Small Signal'!$B$5+'Small Signal'!$B$6)*('Small Signal'!$B$9*'Small Signal'!$B$8*'Small Signal'!$B$57*'Small Signal'!$B$7)))),-1)</f>
        <v>-1.73528326194932+3.02786685457531i</v>
      </c>
      <c r="Y105" s="233">
        <f t="shared" si="39"/>
        <v>10.860326173283317</v>
      </c>
      <c r="Z105" s="233">
        <f t="shared" si="40"/>
        <v>120.91333424205934</v>
      </c>
      <c r="AA105" s="233" t="str">
        <f t="shared" si="41"/>
        <v>1.00029408867479+0.019139045348544i</v>
      </c>
      <c r="AB105" s="233" t="str">
        <f t="shared" si="42"/>
        <v>-2.07797403867027+9.15139724160498i</v>
      </c>
      <c r="AC105" s="230">
        <f t="shared" si="43"/>
        <v>19.448085055616787</v>
      </c>
      <c r="AD105" s="233">
        <f t="shared" si="44"/>
        <v>102.79301982357816</v>
      </c>
      <c r="AE105" s="233" t="str">
        <f t="shared" si="45"/>
        <v>-1.30825308703361+5.59289045710051i</v>
      </c>
      <c r="AF105" s="230">
        <f t="shared" si="46"/>
        <v>15.184079828526535</v>
      </c>
      <c r="AG105" s="233">
        <f t="shared" si="47"/>
        <v>103.16554791619728</v>
      </c>
      <c r="AI105" s="233" t="str">
        <f t="shared" si="48"/>
        <v>0.002-0.59452434845649i</v>
      </c>
      <c r="AJ105" s="233">
        <f t="shared" si="49"/>
        <v>0.33750000000000002</v>
      </c>
      <c r="AK105" s="233" t="str">
        <f t="shared" si="50"/>
        <v>0.15-586.795531926557i</v>
      </c>
      <c r="AL105" s="233" t="str">
        <f t="shared" si="51"/>
        <v>0.25487053358992-0.144553964646776i</v>
      </c>
      <c r="AM105" s="233" t="str">
        <f t="shared" si="52"/>
        <v>0.366664315094012-0.000928567594031384i</v>
      </c>
      <c r="AN105" s="233" t="str">
        <f t="shared" si="53"/>
        <v>0.005+0.0170417112195251i</v>
      </c>
      <c r="AO105" s="233" t="str">
        <f t="shared" si="54"/>
        <v>2.554446988634-0.835924533131122i</v>
      </c>
      <c r="AP105" s="233">
        <f t="shared" si="61"/>
        <v>8.5877588823334712</v>
      </c>
      <c r="AQ105" s="233">
        <f t="shared" si="62"/>
        <v>-18.120314418481172</v>
      </c>
      <c r="AS105" s="233" t="str">
        <f t="shared" si="55"/>
        <v>0.378066161929178-0.000987215636900241i</v>
      </c>
      <c r="AT105" s="233" t="str">
        <f t="shared" si="56"/>
        <v>2.58562097460231-0.856182561542088i</v>
      </c>
      <c r="AU105" s="233">
        <f t="shared" si="63"/>
        <v>8.703151879408269</v>
      </c>
      <c r="AV105" s="233">
        <f t="shared" si="64"/>
        <v>-18.32137387682069</v>
      </c>
    </row>
    <row r="106" spans="6:48" x14ac:dyDescent="0.25">
      <c r="F106" s="233">
        <v>104</v>
      </c>
      <c r="G106" s="249">
        <f t="shared" si="33"/>
        <v>169.69671794531368</v>
      </c>
      <c r="H106" s="249">
        <f t="shared" si="34"/>
        <v>168.57881372500071</v>
      </c>
      <c r="I106" s="234">
        <f t="shared" si="35"/>
        <v>1</v>
      </c>
      <c r="J106" s="233">
        <f t="shared" si="57"/>
        <v>1</v>
      </c>
      <c r="K106" s="233">
        <f t="shared" si="58"/>
        <v>1</v>
      </c>
      <c r="L106" s="233">
        <f>10^('Small Signal'!F106/30)</f>
        <v>2928.6445646252391</v>
      </c>
      <c r="M106" s="233" t="str">
        <f t="shared" si="36"/>
        <v>18401.2164984047i</v>
      </c>
      <c r="N106" s="233">
        <f>IF(D$31=1, IF(AND('Small Signal'!$B$61&gt;=1,FCCM=0),V106+0,S106+0), 0)</f>
        <v>8.5351365836020676</v>
      </c>
      <c r="O106" s="233">
        <f>IF(D$31=1, IF(AND('Small Signal'!$B$61&gt;=1,FCCM=0),W106,T106), 0)</f>
        <v>-19.499433254562653</v>
      </c>
      <c r="P106" s="233">
        <f>IF(AND('Small Signal'!$B$61&gt;=1,FCCM=0),AF106+0,AC106+0)</f>
        <v>18.90595329923692</v>
      </c>
      <c r="Q106" s="233">
        <f>IF(AND('Small Signal'!$B$61&gt;=1,FCCM=0),AG106,AD106)</f>
        <v>103.36659915944995</v>
      </c>
      <c r="R106" s="233" t="str">
        <f>IMDIV(IMSUM('Small Signal'!$B$2*'Small Signal'!$B$38*'Small Signal'!$B$62,IMPRODUCT(M106,'Small Signal'!$B$2*'Small Signal'!$B$38*'Small Signal'!$B$62*'Small Signal'!$B$14*'Small Signal'!$B$15)),IMSUM(IMPRODUCT('Small Signal'!$B$12*'Small Signal'!$B$14*('Small Signal'!$B$15+'Small Signal'!$B$38),IMPOWER(M106,2)),IMSUM(IMPRODUCT(M106,('Small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2.20264712186788-0.682533235042029i</v>
      </c>
      <c r="S106" s="233">
        <f t="shared" si="59"/>
        <v>8.5351365836020676</v>
      </c>
      <c r="T106" s="233">
        <f t="shared" si="60"/>
        <v>-19.499433254562653</v>
      </c>
      <c r="U106" s="233" t="str">
        <f>IMDIV(IMSUM('Small Signal'!$B$74,IMPRODUCT(M106,'Small Signal'!$B$75)),IMSUM(IMPRODUCT('Small Signal'!$B$78,IMPOWER(M106,2)),IMSUM(IMPRODUCT(M106,'Small Signal'!$B$77),'Small Signal'!$B$76)))</f>
        <v>1.56001933898878-0.505585667342823i</v>
      </c>
      <c r="V106" s="233">
        <f t="shared" si="37"/>
        <v>4.2963557069297549</v>
      </c>
      <c r="W106" s="233">
        <f t="shared" si="38"/>
        <v>-17.956957667859569</v>
      </c>
      <c r="X106" s="233" t="str">
        <f>IMPRODUCT(IMDIV(IMSUM(IMPRODUCT(M106,'Small Signal'!$B$57*'Small Signal'!$B$6*'Small Signal'!$B$50*'Small Signal'!$B$7*'Small Signal'!$B$8),'Small Signal'!$B$57*'Small Signal'!$B$6*'Small Signal'!$B$50),IMSUM(IMSUM(IMPRODUCT(M106,('Small Signal'!$B$5+'Small Signal'!$B$6)*('Small Signal'!$B$56*'Small Signal'!$B$57)+'Small Signal'!$B$5*'Small Signal'!$B$57*('Small Signal'!$B$8+'Small Signal'!$B$9)+'Small Signal'!$B$6*'Small Signal'!$B$57*('Small Signal'!$B$8+'Small Signal'!$B$9)+'Small Signal'!$B$7*'Small Signal'!$B$8*('Small Signal'!$B$5+'Small Signal'!$B$6)),'Small Signal'!$B$6+'Small Signal'!$B$5),IMPRODUCT(IMPOWER(M106,2),'Small Signal'!$B$56*'Small Signal'!$B$57*'Small Signal'!$B$8*'Small Signal'!$B$7*('Small Signal'!$B$5+'Small Signal'!$B$6)+('Small Signal'!$B$5+'Small Signal'!$B$6)*('Small Signal'!$B$9*'Small Signal'!$B$8*'Small Signal'!$B$57*'Small Signal'!$B$7)))),-1)</f>
        <v>-1.73234667379085+2.80681606425182i</v>
      </c>
      <c r="Y106" s="233">
        <f t="shared" si="39"/>
        <v>10.370816715634854</v>
      </c>
      <c r="Z106" s="233">
        <f t="shared" si="40"/>
        <v>122.86603241401258</v>
      </c>
      <c r="AA106" s="233" t="str">
        <f t="shared" si="41"/>
        <v>1.00034286879272+0.0206650564520523i</v>
      </c>
      <c r="AB106" s="233" t="str">
        <f t="shared" si="42"/>
        <v>-2.03821216598143+8.57769686914856i</v>
      </c>
      <c r="AC106" s="230">
        <f t="shared" si="43"/>
        <v>18.90595329923692</v>
      </c>
      <c r="AD106" s="233">
        <f t="shared" si="44"/>
        <v>103.36659915944995</v>
      </c>
      <c r="AE106" s="233" t="str">
        <f t="shared" si="45"/>
        <v>-1.2834083399933+5.25453699035488i</v>
      </c>
      <c r="AF106" s="230">
        <f t="shared" si="46"/>
        <v>14.662341848041212</v>
      </c>
      <c r="AG106" s="233">
        <f t="shared" si="47"/>
        <v>103.7256283794209</v>
      </c>
      <c r="AI106" s="233" t="str">
        <f t="shared" si="48"/>
        <v>0.002-0.550600133434125i</v>
      </c>
      <c r="AJ106" s="233">
        <f t="shared" si="49"/>
        <v>0.33750000000000002</v>
      </c>
      <c r="AK106" s="233" t="str">
        <f t="shared" si="50"/>
        <v>0.15-543.442331699481i</v>
      </c>
      <c r="AL106" s="233" t="str">
        <f t="shared" si="51"/>
        <v>0.244943060830494-0.14995836987414i</v>
      </c>
      <c r="AM106" s="233" t="str">
        <f t="shared" si="52"/>
        <v>0.366663924937161-0.00100264315769289i</v>
      </c>
      <c r="AN106" s="233" t="str">
        <f t="shared" si="53"/>
        <v>0.005+0.0184012164984047i</v>
      </c>
      <c r="AO106" s="233" t="str">
        <f t="shared" si="54"/>
        <v>2.51828513573849-0.891743504099205i</v>
      </c>
      <c r="AP106" s="233">
        <f t="shared" si="61"/>
        <v>8.5351365836020676</v>
      </c>
      <c r="AQ106" s="233">
        <f t="shared" si="62"/>
        <v>-19.499433254562653</v>
      </c>
      <c r="AS106" s="233" t="str">
        <f t="shared" si="55"/>
        <v>0.378065734231517-0.00106596971867772i</v>
      </c>
      <c r="AT106" s="233" t="str">
        <f t="shared" si="56"/>
        <v>2.5480481127099-0.912970448099143i</v>
      </c>
      <c r="AU106" s="233">
        <f t="shared" si="63"/>
        <v>8.6487072157859028</v>
      </c>
      <c r="AV106" s="233">
        <f t="shared" si="64"/>
        <v>-19.71269780321521</v>
      </c>
    </row>
    <row r="107" spans="6:48" x14ac:dyDescent="0.25">
      <c r="F107" s="233">
        <v>105</v>
      </c>
      <c r="G107" s="249">
        <f t="shared" si="33"/>
        <v>169.78576369563416</v>
      </c>
      <c r="H107" s="249">
        <f t="shared" si="34"/>
        <v>168.57881372500071</v>
      </c>
      <c r="I107" s="234">
        <f t="shared" si="35"/>
        <v>1</v>
      </c>
      <c r="J107" s="233">
        <f t="shared" si="57"/>
        <v>1</v>
      </c>
      <c r="K107" s="233">
        <f t="shared" si="58"/>
        <v>1</v>
      </c>
      <c r="L107" s="233">
        <f>10^('Small Signal'!F107/30)</f>
        <v>3162.2776601683804</v>
      </c>
      <c r="M107" s="233" t="str">
        <f t="shared" si="36"/>
        <v>19869.1765315922i</v>
      </c>
      <c r="N107" s="233">
        <f>IF(D$31=1, IF(AND('Small Signal'!$B$61&gt;=1,FCCM=0),V107+0,S107+0), 0)</f>
        <v>8.4745323197261531</v>
      </c>
      <c r="O107" s="233">
        <f>IF(D$31=1, IF(AND('Small Signal'!$B$61&gt;=1,FCCM=0),W107,T107), 0)</f>
        <v>-20.972629948327761</v>
      </c>
      <c r="P107" s="233">
        <f>IF(AND('Small Signal'!$B$61&gt;=1,FCCM=0),AF107+0,AC107+0)</f>
        <v>18.376554892391464</v>
      </c>
      <c r="Q107" s="233">
        <f>IF(AND('Small Signal'!$B$61&gt;=1,FCCM=0),AG107,AD107)</f>
        <v>103.91809523008223</v>
      </c>
      <c r="R107" s="233" t="str">
        <f>IMDIV(IMSUM('Small Signal'!$B$2*'Small Signal'!$B$38*'Small Signal'!$B$62,IMPRODUCT(M107,'Small Signal'!$B$2*'Small Signal'!$B$38*'Small Signal'!$B$62*'Small Signal'!$B$14*'Small Signal'!$B$15)),IMSUM(IMPRODUCT('Small Signal'!$B$12*'Small Signal'!$B$14*('Small Signal'!$B$15+'Small Signal'!$B$38),IMPOWER(M107,2)),IMSUM(IMPRODUCT(M107,('Small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2.17619981278827-0.730313093790898i</v>
      </c>
      <c r="S107" s="233">
        <f t="shared" si="59"/>
        <v>8.4745323197261531</v>
      </c>
      <c r="T107" s="233">
        <f t="shared" si="60"/>
        <v>-20.972629948327761</v>
      </c>
      <c r="U107" s="233" t="str">
        <f>IMDIV(IMSUM('Small Signal'!$B$74,IMPRODUCT(M107,'Small Signal'!$B$75)),IMSUM(IMPRODUCT('Small Signal'!$B$78,IMPOWER(M107,2)),IMSUM(IMPRODUCT(M107,'Small Signal'!$B$77),'Small Signal'!$B$76)))</f>
        <v>1.54065801411103-0.541359771943818i</v>
      </c>
      <c r="V107" s="233">
        <f t="shared" si="37"/>
        <v>4.2597375688764032</v>
      </c>
      <c r="W107" s="233">
        <f t="shared" si="38"/>
        <v>-19.360566430351444</v>
      </c>
      <c r="X107" s="233" t="str">
        <f>IMPRODUCT(IMDIV(IMSUM(IMPRODUCT(M107,'Small Signal'!$B$57*'Small Signal'!$B$6*'Small Signal'!$B$50*'Small Signal'!$B$7*'Small Signal'!$B$8),'Small Signal'!$B$57*'Small Signal'!$B$6*'Small Signal'!$B$50),IMSUM(IMSUM(IMPRODUCT(M107,('Small Signal'!$B$5+'Small Signal'!$B$6)*('Small Signal'!$B$56*'Small Signal'!$B$57)+'Small Signal'!$B$5*'Small Signal'!$B$57*('Small Signal'!$B$8+'Small Signal'!$B$9)+'Small Signal'!$B$6*'Small Signal'!$B$57*('Small Signal'!$B$8+'Small Signal'!$B$9)+'Small Signal'!$B$7*'Small Signal'!$B$8*('Small Signal'!$B$5+'Small Signal'!$B$6)),'Small Signal'!$B$6+'Small Signal'!$B$5),IMPRODUCT(IMPOWER(M107,2),'Small Signal'!$B$56*'Small Signal'!$B$57*'Small Signal'!$B$8*'Small Signal'!$B$7*('Small Signal'!$B$5+'Small Signal'!$B$6)+('Small Signal'!$B$5+'Small Signal'!$B$6)*('Small Signal'!$B$9*'Small Signal'!$B$8*'Small Signal'!$B$57*'Small Signal'!$B$7)))),-1)</f>
        <v>-1.72981918384617+2.60230301977831i</v>
      </c>
      <c r="Y107" s="233">
        <f t="shared" si="39"/>
        <v>9.9020225726653202</v>
      </c>
      <c r="Z107" s="233">
        <f t="shared" si="40"/>
        <v>124.89072517841001</v>
      </c>
      <c r="AA107" s="233" t="str">
        <f t="shared" si="41"/>
        <v>1.00039973741066+0.0223125958652427i</v>
      </c>
      <c r="AB107" s="233" t="str">
        <f t="shared" si="42"/>
        <v>-1.9952867002166+8.0516739799924i</v>
      </c>
      <c r="AC107" s="230">
        <f t="shared" si="43"/>
        <v>18.376554892391464</v>
      </c>
      <c r="AD107" s="233">
        <f t="shared" si="44"/>
        <v>103.91809523008223</v>
      </c>
      <c r="AE107" s="233" t="str">
        <f t="shared" si="45"/>
        <v>-1.25627761923971+4.94571352143779i</v>
      </c>
      <c r="AF107" s="230">
        <f t="shared" si="46"/>
        <v>14.156128881523461</v>
      </c>
      <c r="AG107" s="233">
        <f t="shared" si="47"/>
        <v>104.25246383891478</v>
      </c>
      <c r="AI107" s="233" t="str">
        <f t="shared" si="48"/>
        <v>0.002-0.509921095283557i</v>
      </c>
      <c r="AJ107" s="233">
        <f t="shared" si="49"/>
        <v>0.33750000000000002</v>
      </c>
      <c r="AK107" s="233" t="str">
        <f t="shared" si="50"/>
        <v>0.15-503.29212104487i</v>
      </c>
      <c r="AL107" s="233" t="str">
        <f t="shared" si="51"/>
        <v>0.234309552245471-0.154834555250632i</v>
      </c>
      <c r="AM107" s="233" t="str">
        <f t="shared" si="52"/>
        <v>0.366663470048718-0.00108262783522955i</v>
      </c>
      <c r="AN107" s="233" t="str">
        <f t="shared" si="53"/>
        <v>0.005+0.0198691765315922i</v>
      </c>
      <c r="AO107" s="233" t="str">
        <f t="shared" si="54"/>
        <v>2.47718210364845-0.949543655306255i</v>
      </c>
      <c r="AP107" s="233">
        <f t="shared" si="61"/>
        <v>8.4745323197261531</v>
      </c>
      <c r="AQ107" s="233">
        <f t="shared" si="62"/>
        <v>-20.972629948327761</v>
      </c>
      <c r="AS107" s="233" t="str">
        <f t="shared" si="55"/>
        <v>0.378065235573878-0.00115100610787628i</v>
      </c>
      <c r="AT107" s="233" t="str">
        <f t="shared" si="56"/>
        <v>2.50538133993251-0.971683053044125i</v>
      </c>
      <c r="AU107" s="233">
        <f t="shared" si="63"/>
        <v>8.5860357663706424</v>
      </c>
      <c r="AV107" s="233">
        <f t="shared" si="64"/>
        <v>-21.198204453521249</v>
      </c>
    </row>
    <row r="108" spans="6:48" x14ac:dyDescent="0.25">
      <c r="F108" s="233">
        <v>106</v>
      </c>
      <c r="G108" s="249">
        <f t="shared" si="33"/>
        <v>169.88187811675675</v>
      </c>
      <c r="H108" s="249">
        <f t="shared" si="34"/>
        <v>168.57881372500071</v>
      </c>
      <c r="I108" s="234">
        <f t="shared" si="35"/>
        <v>1</v>
      </c>
      <c r="J108" s="233">
        <f t="shared" si="57"/>
        <v>1</v>
      </c>
      <c r="K108" s="233">
        <f t="shared" si="58"/>
        <v>1</v>
      </c>
      <c r="L108" s="233">
        <f>10^('Small Signal'!F108/30)</f>
        <v>3414.5488738336035</v>
      </c>
      <c r="M108" s="233" t="str">
        <f t="shared" si="36"/>
        <v>21454.2433147179i</v>
      </c>
      <c r="N108" s="233">
        <f>IF(D$31=1, IF(AND('Small Signal'!$B$61&gt;=1,FCCM=0),V108+0,S108+0), 0)</f>
        <v>8.4048635392706217</v>
      </c>
      <c r="O108" s="233">
        <f>IF(D$31=1, IF(AND('Small Signal'!$B$61&gt;=1,FCCM=0),W108,T108), 0)</f>
        <v>-22.543817737193404</v>
      </c>
      <c r="P108" s="233">
        <f>IF(AND('Small Signal'!$B$61&gt;=1,FCCM=0),AF108+0,AC108+0)</f>
        <v>17.860155933485132</v>
      </c>
      <c r="Q108" s="233">
        <f>IF(AND('Small Signal'!$B$61&gt;=1,FCCM=0),AG108,AD108)</f>
        <v>104.43582985726681</v>
      </c>
      <c r="R108" s="233" t="str">
        <f>IMDIV(IMSUM('Small Signal'!$B$2*'Small Signal'!$B$38*'Small Signal'!$B$62,IMPRODUCT(M108,'Small Signal'!$B$2*'Small Signal'!$B$38*'Small Signal'!$B$62*'Small Signal'!$B$14*'Small Signal'!$B$15)),IMSUM(IMPRODUCT('Small Signal'!$B$12*'Small Signal'!$B$14*('Small Signal'!$B$15+'Small Signal'!$B$38),IMPOWER(M108,2)),IMSUM(IMPRODUCT(M108,('Small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2.14591727095928-0.780323890691218i</v>
      </c>
      <c r="S108" s="233">
        <f t="shared" si="59"/>
        <v>8.4048635392706217</v>
      </c>
      <c r="T108" s="233">
        <f t="shared" si="60"/>
        <v>-22.543817737193404</v>
      </c>
      <c r="U108" s="233" t="str">
        <f>IMDIV(IMSUM('Small Signal'!$B$74,IMPRODUCT(M108,'Small Signal'!$B$75)),IMSUM(IMPRODUCT('Small Signal'!$B$78,IMPOWER(M108,2)),IMSUM(IMPRODUCT(M108,'Small Signal'!$B$77),'Small Signal'!$B$76)))</f>
        <v>1.51842962566125-0.578887292544101i</v>
      </c>
      <c r="V108" s="233">
        <f t="shared" si="37"/>
        <v>4.2172548361443765</v>
      </c>
      <c r="W108" s="233">
        <f t="shared" si="38"/>
        <v>-20.868886490028878</v>
      </c>
      <c r="X108" s="233" t="str">
        <f>IMPRODUCT(IMDIV(IMSUM(IMPRODUCT(M108,'Small Signal'!$B$57*'Small Signal'!$B$6*'Small Signal'!$B$50*'Small Signal'!$B$7*'Small Signal'!$B$8),'Small Signal'!$B$57*'Small Signal'!$B$6*'Small Signal'!$B$50),IMSUM(IMSUM(IMPRODUCT(M108,('Small Signal'!$B$5+'Small Signal'!$B$6)*('Small Signal'!$B$56*'Small Signal'!$B$57)+'Small Signal'!$B$5*'Small Signal'!$B$57*('Small Signal'!$B$8+'Small Signal'!$B$9)+'Small Signal'!$B$6*'Small Signal'!$B$57*('Small Signal'!$B$8+'Small Signal'!$B$9)+'Small Signal'!$B$7*'Small Signal'!$B$8*('Small Signal'!$B$5+'Small Signal'!$B$6)),'Small Signal'!$B$6+'Small Signal'!$B$5),IMPRODUCT(IMPOWER(M108,2),'Small Signal'!$B$56*'Small Signal'!$B$57*'Small Signal'!$B$8*'Small Signal'!$B$7*('Small Signal'!$B$5+'Small Signal'!$B$6)+('Small Signal'!$B$5+'Small Signal'!$B$6)*('Small Signal'!$B$9*'Small Signal'!$B$8*'Small Signal'!$B$57*'Small Signal'!$B$7)))),-1)</f>
        <v>-1.72764113098919+2.41312339046918i</v>
      </c>
      <c r="Y108" s="233">
        <f t="shared" si="39"/>
        <v>9.4552923942145117</v>
      </c>
      <c r="Z108" s="233">
        <f t="shared" si="40"/>
        <v>126.97964759446023</v>
      </c>
      <c r="AA108" s="233" t="str">
        <f t="shared" si="41"/>
        <v>1.0004660347946+0.024091304331066i</v>
      </c>
      <c r="AB108" s="233" t="str">
        <f t="shared" si="42"/>
        <v>-1.94859824588869+7.56963413872303i</v>
      </c>
      <c r="AC108" s="230">
        <f t="shared" si="43"/>
        <v>17.860155933485132</v>
      </c>
      <c r="AD108" s="233">
        <f t="shared" si="44"/>
        <v>104.43582985726681</v>
      </c>
      <c r="AE108" s="233" t="str">
        <f t="shared" si="45"/>
        <v>-1.22637500972135+4.66426754327068i</v>
      </c>
      <c r="AF108" s="230">
        <f t="shared" si="46"/>
        <v>13.665982718228079</v>
      </c>
      <c r="AG108" s="233">
        <f t="shared" si="47"/>
        <v>104.73134060342348</v>
      </c>
      <c r="AI108" s="233" t="str">
        <f t="shared" si="48"/>
        <v>0.002-0.472247476210048i</v>
      </c>
      <c r="AJ108" s="233">
        <f t="shared" si="49"/>
        <v>0.33750000000000002</v>
      </c>
      <c r="AK108" s="233" t="str">
        <f t="shared" si="50"/>
        <v>0.15-466.108259019318i</v>
      </c>
      <c r="AL108" s="233" t="str">
        <f t="shared" si="51"/>
        <v>0.223029978166403-0.15906946753957i</v>
      </c>
      <c r="AM108" s="233" t="str">
        <f t="shared" si="52"/>
        <v>0.366662939689155-0.00116899295563577i</v>
      </c>
      <c r="AN108" s="233" t="str">
        <f t="shared" si="53"/>
        <v>0.005+0.0214542433147179i</v>
      </c>
      <c r="AO108" s="233" t="str">
        <f t="shared" si="54"/>
        <v>2.43064089308571-1.00898291082637i</v>
      </c>
      <c r="AP108" s="233">
        <f t="shared" si="61"/>
        <v>8.4048635392706217</v>
      </c>
      <c r="AQ108" s="233">
        <f t="shared" si="62"/>
        <v>-22.543817737193404</v>
      </c>
      <c r="AS108" s="233" t="str">
        <f t="shared" si="55"/>
        <v>0.378064654183416-0.00124282589574597i</v>
      </c>
      <c r="AT108" s="233" t="str">
        <f t="shared" si="56"/>
        <v>2.45712085741321-1.0319521839455i</v>
      </c>
      <c r="AU108" s="233">
        <f t="shared" si="63"/>
        <v>8.5140318427792252</v>
      </c>
      <c r="AV108" s="233">
        <f t="shared" si="64"/>
        <v>-22.781641080614719</v>
      </c>
    </row>
    <row r="109" spans="6:48" x14ac:dyDescent="0.25">
      <c r="F109" s="233">
        <v>107</v>
      </c>
      <c r="G109" s="249">
        <f t="shared" si="33"/>
        <v>169.98561608161697</v>
      </c>
      <c r="H109" s="249">
        <f t="shared" si="34"/>
        <v>168.57881372500071</v>
      </c>
      <c r="I109" s="234">
        <f t="shared" si="35"/>
        <v>1</v>
      </c>
      <c r="J109" s="233">
        <f t="shared" si="57"/>
        <v>1</v>
      </c>
      <c r="K109" s="233">
        <f t="shared" si="58"/>
        <v>1</v>
      </c>
      <c r="L109" s="233">
        <f>10^('Small Signal'!F109/30)</f>
        <v>3686.9450645195784</v>
      </c>
      <c r="M109" s="233" t="str">
        <f t="shared" si="36"/>
        <v>23165.7590577677i</v>
      </c>
      <c r="N109" s="233">
        <f>IF(D$31=1, IF(AND('Small Signal'!$B$61&gt;=1,FCCM=0),V109+0,S109+0), 0)</f>
        <v>8.3249408446596931</v>
      </c>
      <c r="O109" s="233">
        <f>IF(D$31=1, IF(AND('Small Signal'!$B$61&gt;=1,FCCM=0),W109,T109), 0)</f>
        <v>-24.216508841953775</v>
      </c>
      <c r="P109" s="233">
        <f>IF(AND('Small Signal'!$B$61&gt;=1,FCCM=0),AF109+0,AC109+0)</f>
        <v>17.35676972173583</v>
      </c>
      <c r="Q109" s="233">
        <f>IF(AND('Small Signal'!$B$61&gt;=1,FCCM=0),AG109,AD109)</f>
        <v>104.90712978131766</v>
      </c>
      <c r="R109" s="233" t="str">
        <f>IMDIV(IMSUM('Small Signal'!$B$2*'Small Signal'!$B$38*'Small Signal'!$B$62,IMPRODUCT(M109,'Small Signal'!$B$2*'Small Signal'!$B$38*'Small Signal'!$B$62*'Small Signal'!$B$14*'Small Signal'!$B$15)),IMSUM(IMPRODUCT('Small Signal'!$B$12*'Small Signal'!$B$14*('Small Signal'!$B$15+'Small Signal'!$B$38),IMPOWER(M109,2)),IMSUM(IMPRODUCT(M109,('Small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2.11134096190879-0.832396755238031i</v>
      </c>
      <c r="S109" s="233">
        <f t="shared" si="59"/>
        <v>8.3249408446596931</v>
      </c>
      <c r="T109" s="233">
        <f t="shared" si="60"/>
        <v>-24.216508841953775</v>
      </c>
      <c r="U109" s="233" t="str">
        <f>IMDIV(IMSUM('Small Signal'!$B$74,IMPRODUCT(M109,'Small Signal'!$B$75)),IMSUM(IMPRODUCT('Small Signal'!$B$78,IMPOWER(M109,2)),IMSUM(IMPRODUCT(M109,'Small Signal'!$B$77),'Small Signal'!$B$76)))</f>
        <v>1.4929725378821-0.618058172380571i</v>
      </c>
      <c r="V109" s="233">
        <f t="shared" si="37"/>
        <v>4.1680070139039769</v>
      </c>
      <c r="W109" s="233">
        <f t="shared" si="38"/>
        <v>-22.488491543202365</v>
      </c>
      <c r="X109" s="233" t="str">
        <f>IMPRODUCT(IMDIV(IMSUM(IMPRODUCT(M109,'Small Signal'!$B$57*'Small Signal'!$B$6*'Small Signal'!$B$50*'Small Signal'!$B$7*'Small Signal'!$B$8),'Small Signal'!$B$57*'Small Signal'!$B$6*'Small Signal'!$B$50),IMSUM(IMSUM(IMPRODUCT(M109,('Small Signal'!$B$5+'Small Signal'!$B$6)*('Small Signal'!$B$56*'Small Signal'!$B$57)+'Small Signal'!$B$5*'Small Signal'!$B$57*('Small Signal'!$B$8+'Small Signal'!$B$9)+'Small Signal'!$B$6*'Small Signal'!$B$57*('Small Signal'!$B$8+'Small Signal'!$B$9)+'Small Signal'!$B$7*'Small Signal'!$B$8*('Small Signal'!$B$5+'Small Signal'!$B$6)),'Small Signal'!$B$6+'Small Signal'!$B$5),IMPRODUCT(IMPOWER(M109,2),'Small Signal'!$B$56*'Small Signal'!$B$57*'Small Signal'!$B$8*'Small Signal'!$B$7*('Small Signal'!$B$5+'Small Signal'!$B$6)+('Small Signal'!$B$5+'Small Signal'!$B$6)*('Small Signal'!$B$9*'Small Signal'!$B$8*'Small Signal'!$B$57*'Small Signal'!$B$7)))),-1)</f>
        <v>-1.725761101167+2.23816299156013i</v>
      </c>
      <c r="Y109" s="233">
        <f t="shared" si="39"/>
        <v>9.0318288770761406</v>
      </c>
      <c r="Z109" s="233">
        <f t="shared" si="40"/>
        <v>129.12363862327146</v>
      </c>
      <c r="AA109" s="233" t="str">
        <f t="shared" si="41"/>
        <v>1.00054332295784+0.0260115776700415i</v>
      </c>
      <c r="AB109" s="233" t="str">
        <f t="shared" si="42"/>
        <v>-1.89757526425253+7.1280423962646i</v>
      </c>
      <c r="AC109" s="230">
        <f t="shared" si="43"/>
        <v>17.35676972173583</v>
      </c>
      <c r="AD109" s="233">
        <f t="shared" si="44"/>
        <v>104.90712978131766</v>
      </c>
      <c r="AE109" s="233" t="str">
        <f t="shared" si="45"/>
        <v>-1.19319900293402+4.40813663385608i</v>
      </c>
      <c r="AF109" s="230">
        <f t="shared" si="46"/>
        <v>13.192183665326711</v>
      </c>
      <c r="AG109" s="233">
        <f t="shared" si="47"/>
        <v>105.14593820692374</v>
      </c>
      <c r="AI109" s="233" t="str">
        <f t="shared" si="48"/>
        <v>0.002-0.437357232029683i</v>
      </c>
      <c r="AJ109" s="233">
        <f t="shared" si="49"/>
        <v>0.33750000000000002</v>
      </c>
      <c r="AK109" s="233" t="str">
        <f t="shared" si="50"/>
        <v>0.15-431.671588013297i</v>
      </c>
      <c r="AL109" s="233" t="str">
        <f t="shared" si="51"/>
        <v>0.211187792602549-0.162557515990777i</v>
      </c>
      <c r="AM109" s="233" t="str">
        <f t="shared" si="52"/>
        <v>0.366662321337242-0.00126224742973421i</v>
      </c>
      <c r="AN109" s="233" t="str">
        <f t="shared" si="53"/>
        <v>0.005+0.0231657590577677i</v>
      </c>
      <c r="AO109" s="233" t="str">
        <f t="shared" si="54"/>
        <v>2.37816956370916-1.06961551777869i</v>
      </c>
      <c r="AP109" s="233">
        <f t="shared" si="61"/>
        <v>8.3249408446596931</v>
      </c>
      <c r="AQ109" s="233">
        <f t="shared" si="62"/>
        <v>-24.216508841953775</v>
      </c>
      <c r="AS109" s="233" t="str">
        <f t="shared" si="55"/>
        <v>0.37806397633416-0.0013419701272408i</v>
      </c>
      <c r="AT109" s="233" t="str">
        <f t="shared" si="56"/>
        <v>2.4027764556407-1.09330274719378i</v>
      </c>
      <c r="AU109" s="233">
        <f t="shared" si="63"/>
        <v>8.4314837799328615</v>
      </c>
      <c r="AV109" s="233">
        <f t="shared" si="64"/>
        <v>-24.466314664369285</v>
      </c>
    </row>
    <row r="110" spans="6:48" x14ac:dyDescent="0.25">
      <c r="F110" s="233">
        <v>108</v>
      </c>
      <c r="G110" s="249">
        <f t="shared" si="33"/>
        <v>170.0975744003922</v>
      </c>
      <c r="H110" s="249">
        <f t="shared" si="34"/>
        <v>168.57881372500071</v>
      </c>
      <c r="I110" s="234">
        <f t="shared" si="35"/>
        <v>1</v>
      </c>
      <c r="J110" s="233">
        <f t="shared" si="57"/>
        <v>1</v>
      </c>
      <c r="K110" s="233">
        <f t="shared" si="58"/>
        <v>1</v>
      </c>
      <c r="L110" s="233">
        <f>10^('Small Signal'!F110/30)</f>
        <v>3981.0717055349769</v>
      </c>
      <c r="M110" s="233" t="str">
        <f t="shared" si="36"/>
        <v>25013.8112470457i</v>
      </c>
      <c r="N110" s="233">
        <f>IF(D$31=1, IF(AND('Small Signal'!$B$61&gt;=1,FCCM=0),V110+0,S110+0), 0)</f>
        <v>8.2334695262977178</v>
      </c>
      <c r="O110" s="233">
        <f>IF(D$31=1, IF(AND('Small Signal'!$B$61&gt;=1,FCCM=0),W110,T110), 0)</f>
        <v>-25.99367871707663</v>
      </c>
      <c r="P110" s="233">
        <f>IF(AND('Small Signal'!$B$61&gt;=1,FCCM=0),AF110+0,AC110+0)</f>
        <v>16.866113343823436</v>
      </c>
      <c r="Q110" s="233">
        <f>IF(AND('Small Signal'!$B$61&gt;=1,FCCM=0),AG110,AD110)</f>
        <v>105.31860859373853</v>
      </c>
      <c r="R110" s="233" t="str">
        <f>IMDIV(IMSUM('Small Signal'!$B$2*'Small Signal'!$B$38*'Small Signal'!$B$62,IMPRODUCT(M110,'Small Signal'!$B$2*'Small Signal'!$B$38*'Small Signal'!$B$62*'Small Signal'!$B$14*'Small Signal'!$B$15)),IMSUM(IMPRODUCT('Small Signal'!$B$12*'Small Signal'!$B$14*('Small Signal'!$B$15+'Small Signal'!$B$38),IMPOWER(M110,2)),IMSUM(IMPRODUCT(M110,('Small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2.07198927266963-0.886284931734933i</v>
      </c>
      <c r="S110" s="233">
        <f t="shared" si="59"/>
        <v>8.2334695262977178</v>
      </c>
      <c r="T110" s="233">
        <f t="shared" si="60"/>
        <v>-25.99367871707663</v>
      </c>
      <c r="U110" s="233" t="str">
        <f>IMDIV(IMSUM('Small Signal'!$B$74,IMPRODUCT(M110,'Small Signal'!$B$75)),IMSUM(IMPRODUCT('Small Signal'!$B$78,IMPOWER(M110,2)),IMSUM(IMPRODUCT(M110,'Small Signal'!$B$77),'Small Signal'!$B$76)))</f>
        <v>1.46390069804477-0.658703633556542i</v>
      </c>
      <c r="V110" s="233">
        <f t="shared" si="37"/>
        <v>4.1109684596933898</v>
      </c>
      <c r="W110" s="233">
        <f t="shared" si="38"/>
        <v>-24.226063190464547</v>
      </c>
      <c r="X110" s="233" t="str">
        <f>IMPRODUCT(IMDIV(IMSUM(IMPRODUCT(M110,'Small Signal'!$B$57*'Small Signal'!$B$6*'Small Signal'!$B$50*'Small Signal'!$B$7*'Small Signal'!$B$8),'Small Signal'!$B$57*'Small Signal'!$B$6*'Small Signal'!$B$50),IMSUM(IMSUM(IMPRODUCT(M110,('Small Signal'!$B$5+'Small Signal'!$B$6)*('Small Signal'!$B$56*'Small Signal'!$B$57)+'Small Signal'!$B$5*'Small Signal'!$B$57*('Small Signal'!$B$8+'Small Signal'!$B$9)+'Small Signal'!$B$6*'Small Signal'!$B$57*('Small Signal'!$B$8+'Small Signal'!$B$9)+'Small Signal'!$B$7*'Small Signal'!$B$8*('Small Signal'!$B$5+'Small Signal'!$B$6)),'Small Signal'!$B$6+'Small Signal'!$B$5),IMPRODUCT(IMPOWER(M110,2),'Small Signal'!$B$56*'Small Signal'!$B$57*'Small Signal'!$B$8*'Small Signal'!$B$7*('Small Signal'!$B$5+'Small Signal'!$B$6)+('Small Signal'!$B$5+'Small Signal'!$B$6)*('Small Signal'!$B$9*'Small Signal'!$B$8*'Small Signal'!$B$57*'Small Signal'!$B$7)))),-1)</f>
        <v>-1.72413471448917+2.07639126094258i</v>
      </c>
      <c r="Y110" s="233">
        <f t="shared" si="39"/>
        <v>8.6326438175257127</v>
      </c>
      <c r="Z110" s="233">
        <f t="shared" si="40"/>
        <v>131.31228731081521</v>
      </c>
      <c r="AA110" s="233" t="str">
        <f t="shared" si="41"/>
        <v>1.00063342222884+0.0280846233968728i</v>
      </c>
      <c r="AB110" s="233" t="str">
        <f t="shared" si="42"/>
        <v>-1.84168762477412+6.72349584808889i</v>
      </c>
      <c r="AC110" s="230">
        <f t="shared" si="43"/>
        <v>16.866113343823436</v>
      </c>
      <c r="AD110" s="233">
        <f t="shared" si="44"/>
        <v>105.31860859373853</v>
      </c>
      <c r="AE110" s="233" t="str">
        <f t="shared" si="45"/>
        <v>-1.15623554379599+4.17532441748289i</v>
      </c>
      <c r="AF110" s="230">
        <f t="shared" si="46"/>
        <v>12.734692384962127</v>
      </c>
      <c r="AG110" s="233">
        <f t="shared" si="47"/>
        <v>105.4785344069435</v>
      </c>
      <c r="AI110" s="233" t="str">
        <f t="shared" si="48"/>
        <v>0.002-0.40504472346526i</v>
      </c>
      <c r="AJ110" s="233">
        <f t="shared" si="49"/>
        <v>0.33750000000000002</v>
      </c>
      <c r="AK110" s="233" t="str">
        <f t="shared" si="50"/>
        <v>0.15-399.779142060212i</v>
      </c>
      <c r="AL110" s="233" t="str">
        <f t="shared" si="51"/>
        <v>0.198888731232064-0.165206426109302i</v>
      </c>
      <c r="AM110" s="233" t="str">
        <f t="shared" si="52"/>
        <v>0.366661600394474-0.00136294074347759i</v>
      </c>
      <c r="AN110" s="233" t="str">
        <f t="shared" si="53"/>
        <v>0.005+0.0250138112470457i</v>
      </c>
      <c r="AO110" s="233" t="str">
        <f t="shared" si="54"/>
        <v>2.31930054183598-1.13088172205728i</v>
      </c>
      <c r="AP110" s="233">
        <f t="shared" si="61"/>
        <v>8.2334695262977178</v>
      </c>
      <c r="AQ110" s="233">
        <f t="shared" si="62"/>
        <v>-25.99367871707663</v>
      </c>
      <c r="AS110" s="233" t="str">
        <f t="shared" si="55"/>
        <v>0.378063186023022-0.00144902298291263i</v>
      </c>
      <c r="AT110" s="233" t="str">
        <f t="shared" si="56"/>
        <v>2.34188809889195-1.15514307707228i</v>
      </c>
      <c r="AU110" s="233">
        <f t="shared" si="63"/>
        <v>8.3370765926452393</v>
      </c>
      <c r="AV110" s="233">
        <f t="shared" si="64"/>
        <v>-26.254952630807988</v>
      </c>
    </row>
    <row r="111" spans="6:48" x14ac:dyDescent="0.25">
      <c r="F111" s="233">
        <v>109</v>
      </c>
      <c r="G111" s="249">
        <f t="shared" si="33"/>
        <v>170.21839456826939</v>
      </c>
      <c r="H111" s="249">
        <f t="shared" si="34"/>
        <v>168.57881372500071</v>
      </c>
      <c r="I111" s="234">
        <f t="shared" si="35"/>
        <v>1</v>
      </c>
      <c r="J111" s="233">
        <f t="shared" si="57"/>
        <v>1</v>
      </c>
      <c r="K111" s="233">
        <f t="shared" si="58"/>
        <v>1</v>
      </c>
      <c r="L111" s="233">
        <f>10^('Small Signal'!F111/30)</f>
        <v>4298.6623470822833</v>
      </c>
      <c r="M111" s="233" t="str">
        <f t="shared" si="36"/>
        <v>27009.2920997135i</v>
      </c>
      <c r="N111" s="233">
        <f>IF(D$31=1, IF(AND('Small Signal'!$B$61&gt;=1,FCCM=0),V111+0,S111+0), 0)</f>
        <v>8.1290551996125231</v>
      </c>
      <c r="O111" s="233">
        <f>IF(D$31=1, IF(AND('Small Signal'!$B$61&gt;=1,FCCM=0),W111,T111), 0)</f>
        <v>-27.877618808417626</v>
      </c>
      <c r="P111" s="233">
        <f>IF(AND('Small Signal'!$B$61&gt;=1,FCCM=0),AF111+0,AC111+0)</f>
        <v>16.38757298680736</v>
      </c>
      <c r="Q111" s="233">
        <f>IF(AND('Small Signal'!$B$61&gt;=1,FCCM=0),AG111,AD111)</f>
        <v>105.65653546774024</v>
      </c>
      <c r="R111" s="233" t="str">
        <f>IMDIV(IMSUM('Small Signal'!$B$2*'Small Signal'!$B$38*'Small Signal'!$B$62,IMPRODUCT(M111,'Small Signal'!$B$2*'Small Signal'!$B$38*'Small Signal'!$B$62*'Small Signal'!$B$14*'Small Signal'!$B$15)),IMSUM(IMPRODUCT('Small Signal'!$B$12*'Small Signal'!$B$14*('Small Signal'!$B$15+'Small Signal'!$B$38),IMPOWER(M111,2)),IMSUM(IMPRODUCT(M111,('Small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2.02736733837803-0.94165040804522i</v>
      </c>
      <c r="S111" s="233">
        <f t="shared" si="59"/>
        <v>8.1290551996125231</v>
      </c>
      <c r="T111" s="233">
        <f t="shared" si="60"/>
        <v>-27.877618808417626</v>
      </c>
      <c r="U111" s="233" t="str">
        <f>IMDIV(IMSUM('Small Signal'!$B$74,IMPRODUCT(M111,'Small Signal'!$B$75)),IMSUM(IMPRODUCT('Small Signal'!$B$78,IMPOWER(M111,2)),IMSUM(IMPRODUCT(M111,'Small Signal'!$B$77),'Small Signal'!$B$76)))</f>
        <v>1.43080957023065-0.700584441547342i</v>
      </c>
      <c r="V111" s="233">
        <f t="shared" si="37"/>
        <v>4.0449753596491043</v>
      </c>
      <c r="W111" s="233">
        <f t="shared" si="38"/>
        <v>-26.088310574676452</v>
      </c>
      <c r="X111" s="233" t="str">
        <f>IMPRODUCT(IMDIV(IMSUM(IMPRODUCT(M111,'Small Signal'!$B$57*'Small Signal'!$B$6*'Small Signal'!$B$50*'Small Signal'!$B$7*'Small Signal'!$B$8),'Small Signal'!$B$57*'Small Signal'!$B$6*'Small Signal'!$B$50),IMSUM(IMSUM(IMPRODUCT(M111,('Small Signal'!$B$5+'Small Signal'!$B$6)*('Small Signal'!$B$56*'Small Signal'!$B$57)+'Small Signal'!$B$5*'Small Signal'!$B$57*('Small Signal'!$B$8+'Small Signal'!$B$9)+'Small Signal'!$B$6*'Small Signal'!$B$57*('Small Signal'!$B$8+'Small Signal'!$B$9)+'Small Signal'!$B$7*'Small Signal'!$B$8*('Small Signal'!$B$5+'Small Signal'!$B$6)),'Small Signal'!$B$6+'Small Signal'!$B$5),IMPRODUCT(IMPOWER(M111,2),'Small Signal'!$B$56*'Small Signal'!$B$57*'Small Signal'!$B$8*'Small Signal'!$B$7*('Small Signal'!$B$5+'Small Signal'!$B$6)+('Small Signal'!$B$5+'Small Signal'!$B$6)*('Small Signal'!$B$9*'Small Signal'!$B$8*'Small Signal'!$B$57*'Small Signal'!$B$7)))),-1)</f>
        <v>-1.72272357818178+1.92685521897093i</v>
      </c>
      <c r="Y111" s="233">
        <f t="shared" si="39"/>
        <v>8.258517787194835</v>
      </c>
      <c r="Z111" s="233">
        <f t="shared" si="40"/>
        <v>133.53415427615781</v>
      </c>
      <c r="AA111" s="233" t="str">
        <f t="shared" si="41"/>
        <v>1.0007384538061+0.0303225209205223i</v>
      </c>
      <c r="AB111" s="233" t="str">
        <f t="shared" si="42"/>
        <v>-1.78046472050207+6.35270032208436i</v>
      </c>
      <c r="AC111" s="230">
        <f t="shared" si="43"/>
        <v>16.38757298680736</v>
      </c>
      <c r="AD111" s="233">
        <f t="shared" si="44"/>
        <v>105.65653546774024</v>
      </c>
      <c r="AE111" s="233" t="str">
        <f t="shared" si="45"/>
        <v>-1.11496459499915+3.9638762237134i</v>
      </c>
      <c r="AF111" s="230">
        <f t="shared" si="46"/>
        <v>12.293095962366369</v>
      </c>
      <c r="AG111" s="233">
        <f t="shared" si="47"/>
        <v>105.71030423865669</v>
      </c>
      <c r="AI111" s="233" t="str">
        <f t="shared" si="48"/>
        <v>0.002-0.375119504130925i</v>
      </c>
      <c r="AJ111" s="233">
        <f t="shared" si="49"/>
        <v>0.33750000000000002</v>
      </c>
      <c r="AK111" s="233" t="str">
        <f t="shared" si="50"/>
        <v>0.15-370.242950577223i</v>
      </c>
      <c r="AL111" s="233" t="str">
        <f t="shared" si="51"/>
        <v>0.18625787639943-0.166942853434513i</v>
      </c>
      <c r="AM111" s="233" t="str">
        <f t="shared" si="52"/>
        <v>0.366660759840497-0.00147166618880031i</v>
      </c>
      <c r="AN111" s="233" t="str">
        <f t="shared" si="53"/>
        <v>0.005+0.0270092920997135i</v>
      </c>
      <c r="AO111" s="233" t="str">
        <f t="shared" si="54"/>
        <v>2.25361460473991-1.19210063513558i</v>
      </c>
      <c r="AP111" s="233">
        <f t="shared" si="61"/>
        <v>8.1290551996125231</v>
      </c>
      <c r="AQ111" s="233">
        <f t="shared" si="62"/>
        <v>-27.877618808417626</v>
      </c>
      <c r="AS111" s="233" t="str">
        <f t="shared" si="55"/>
        <v>0.378062264592054-0.00156461521323797i</v>
      </c>
      <c r="AT111" s="233" t="str">
        <f t="shared" si="56"/>
        <v>2.2740511772681-1.21675889768423i</v>
      </c>
      <c r="AU111" s="233">
        <f t="shared" si="63"/>
        <v>8.2293989914415029</v>
      </c>
      <c r="AV111" s="233">
        <f t="shared" si="64"/>
        <v>-28.14955329194715</v>
      </c>
    </row>
    <row r="112" spans="6:48" x14ac:dyDescent="0.25">
      <c r="F112" s="233">
        <v>110</v>
      </c>
      <c r="G112" s="249">
        <f t="shared" si="33"/>
        <v>170.34876557993928</v>
      </c>
      <c r="H112" s="249">
        <f t="shared" si="34"/>
        <v>168.57881372500071</v>
      </c>
      <c r="I112" s="234">
        <f t="shared" si="35"/>
        <v>1</v>
      </c>
      <c r="J112" s="233">
        <f t="shared" si="57"/>
        <v>1</v>
      </c>
      <c r="K112" s="233">
        <f t="shared" si="58"/>
        <v>1</v>
      </c>
      <c r="L112" s="233">
        <f>10^('Small Signal'!F112/30)</f>
        <v>4641.5888336127782</v>
      </c>
      <c r="M112" s="233" t="str">
        <f t="shared" si="36"/>
        <v>29163.9627613246i</v>
      </c>
      <c r="N112" s="233">
        <f>IF(D$31=1, IF(AND('Small Signal'!$B$61&gt;=1,FCCM=0),V112+0,S112+0), 0)</f>
        <v>8.010214428490233</v>
      </c>
      <c r="O112" s="233">
        <f>IF(D$31=1, IF(AND('Small Signal'!$B$61&gt;=1,FCCM=0),W112,T112), 0)</f>
        <v>-29.86978301649895</v>
      </c>
      <c r="P112" s="233">
        <f>IF(AND('Small Signal'!$B$61&gt;=1,FCCM=0),AF112+0,AC112+0)</f>
        <v>15.920182256065827</v>
      </c>
      <c r="Q112" s="233">
        <f>IF(AND('Small Signal'!$B$61&gt;=1,FCCM=0),AG112,AD112)</f>
        <v>105.90727740467212</v>
      </c>
      <c r="R112" s="233" t="str">
        <f>IMDIV(IMSUM('Small Signal'!$B$2*'Small Signal'!$B$38*'Small Signal'!$B$62,IMPRODUCT(M112,'Small Signal'!$B$2*'Small Signal'!$B$38*'Small Signal'!$B$62*'Small Signal'!$B$14*'Small Signal'!$B$15)),IMSUM(IMPRODUCT('Small Signal'!$B$12*'Small Signal'!$B$14*('Small Signal'!$B$15+'Small Signal'!$B$38),IMPOWER(M112,2)),IMSUM(IMPRODUCT(M112,('Small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1.97698095546017-0.998050705488834i</v>
      </c>
      <c r="S112" s="233">
        <f t="shared" si="59"/>
        <v>8.010214428490233</v>
      </c>
      <c r="T112" s="233">
        <f t="shared" si="60"/>
        <v>-29.86978301649895</v>
      </c>
      <c r="U112" s="233" t="str">
        <f>IMDIV(IMSUM('Small Signal'!$B$74,IMPRODUCT(M112,'Small Signal'!$B$75)),IMSUM(IMPRODUCT('Small Signal'!$B$78,IMPOWER(M112,2)),IMSUM(IMPRODUCT(M112,'Small Signal'!$B$77),'Small Signal'!$B$76)))</f>
        <v>1.39328527166304-0.743378522111439i</v>
      </c>
      <c r="V112" s="233">
        <f t="shared" si="37"/>
        <v>3.9687128151296855</v>
      </c>
      <c r="W112" s="233">
        <f t="shared" si="38"/>
        <v>-28.081868213807219</v>
      </c>
      <c r="X112" s="233" t="str">
        <f>IMPRODUCT(IMDIV(IMSUM(IMPRODUCT(M112,'Small Signal'!$B$57*'Small Signal'!$B$6*'Small Signal'!$B$50*'Small Signal'!$B$7*'Small Signal'!$B$8),'Small Signal'!$B$57*'Small Signal'!$B$6*'Small Signal'!$B$50),IMSUM(IMSUM(IMPRODUCT(M112,('Small Signal'!$B$5+'Small Signal'!$B$6)*('Small Signal'!$B$56*'Small Signal'!$B$57)+'Small Signal'!$B$5*'Small Signal'!$B$57*('Small Signal'!$B$8+'Small Signal'!$B$9)+'Small Signal'!$B$6*'Small Signal'!$B$57*('Small Signal'!$B$8+'Small Signal'!$B$9)+'Small Signal'!$B$7*'Small Signal'!$B$8*('Small Signal'!$B$5+'Small Signal'!$B$6)),'Small Signal'!$B$6+'Small Signal'!$B$5),IMPRODUCT(IMPOWER(M112,2),'Small Signal'!$B$56*'Small Signal'!$B$57*'Small Signal'!$B$8*'Small Signal'!$B$7*('Small Signal'!$B$5+'Small Signal'!$B$6)+('Small Signal'!$B$5+'Small Signal'!$B$6)*('Small Signal'!$B$9*'Small Signal'!$B$8*'Small Signal'!$B$57*'Small Signal'!$B$7)))),-1)</f>
        <v>-1.72149438075917+1.78867387754348i</v>
      </c>
      <c r="Y112" s="233">
        <f t="shared" si="39"/>
        <v>7.9099678275755982</v>
      </c>
      <c r="Z112" s="233">
        <f t="shared" si="40"/>
        <v>135.77706042117106</v>
      </c>
      <c r="AA112" s="233" t="str">
        <f t="shared" si="41"/>
        <v>1.00086088926487+0.0327382853739299i</v>
      </c>
      <c r="AB112" s="233" t="str">
        <f t="shared" si="42"/>
        <v>-1.71351784647821+6.01245261160144i</v>
      </c>
      <c r="AC112" s="230">
        <f t="shared" si="43"/>
        <v>15.920182256065827</v>
      </c>
      <c r="AD112" s="233">
        <f t="shared" si="44"/>
        <v>105.90727740467212</v>
      </c>
      <c r="AE112" s="233" t="str">
        <f t="shared" si="45"/>
        <v>-1.06887102233483+3.77185491798165i</v>
      </c>
      <c r="AF112" s="230">
        <f t="shared" si="46"/>
        <v>11.866562010662989</v>
      </c>
      <c r="AG112" s="233">
        <f t="shared" si="47"/>
        <v>105.82170805343421</v>
      </c>
      <c r="AI112" s="233" t="str">
        <f t="shared" si="48"/>
        <v>0.002-0.347405198062036i</v>
      </c>
      <c r="AJ112" s="233">
        <f t="shared" si="49"/>
        <v>0.33750000000000002</v>
      </c>
      <c r="AK112" s="233" t="str">
        <f t="shared" si="50"/>
        <v>0.15-342.88893048723i</v>
      </c>
      <c r="AL112" s="233" t="str">
        <f t="shared" si="51"/>
        <v>0.173435063255284-0.167717163747543i</v>
      </c>
      <c r="AM112" s="233" t="str">
        <f t="shared" si="52"/>
        <v>0.366659779831379-0.00158906435064913i</v>
      </c>
      <c r="AN112" s="233" t="str">
        <f t="shared" si="53"/>
        <v>0.005+0.0291639627613246i</v>
      </c>
      <c r="AO112" s="233" t="str">
        <f t="shared" si="54"/>
        <v>2.18076927436814-1.25246801970037i</v>
      </c>
      <c r="AP112" s="233">
        <f t="shared" si="61"/>
        <v>8.010214428490233</v>
      </c>
      <c r="AQ112" s="233">
        <f t="shared" si="62"/>
        <v>-29.86978301649895</v>
      </c>
      <c r="AS112" s="233" t="str">
        <f t="shared" si="55"/>
        <v>0.378061190288093-0.00168942784515265i</v>
      </c>
      <c r="AT112" s="233" t="str">
        <f t="shared" si="56"/>
        <v>2.19894601353737-1.27731270643874i</v>
      </c>
      <c r="AU112" s="233">
        <f t="shared" si="63"/>
        <v>8.1069556246069787</v>
      </c>
      <c r="AV112" s="233">
        <f t="shared" si="64"/>
        <v>-30.151231825080814</v>
      </c>
    </row>
    <row r="113" spans="6:48" x14ac:dyDescent="0.25">
      <c r="F113" s="233">
        <v>111</v>
      </c>
      <c r="G113" s="249">
        <f t="shared" si="33"/>
        <v>170.48942677772766</v>
      </c>
      <c r="H113" s="249">
        <f t="shared" si="34"/>
        <v>168.57881372500071</v>
      </c>
      <c r="I113" s="234">
        <f t="shared" si="35"/>
        <v>1</v>
      </c>
      <c r="J113" s="233">
        <f t="shared" si="57"/>
        <v>1</v>
      </c>
      <c r="K113" s="233">
        <f t="shared" si="58"/>
        <v>1</v>
      </c>
      <c r="L113" s="233">
        <f>10^('Small Signal'!F113/30)</f>
        <v>5011.8723362727324</v>
      </c>
      <c r="M113" s="233" t="str">
        <f t="shared" si="36"/>
        <v>31490.5226247287i</v>
      </c>
      <c r="N113" s="233">
        <f>IF(D$31=1, IF(AND('Small Signal'!$B$61&gt;=1,FCCM=0),V113+0,S113+0), 0)</f>
        <v>7.8753911044675116</v>
      </c>
      <c r="O113" s="233">
        <f>IF(D$31=1, IF(AND('Small Signal'!$B$61&gt;=1,FCCM=0),W113,T113), 0)</f>
        <v>-31.970635416671545</v>
      </c>
      <c r="P113" s="233">
        <f>IF(AND('Small Signal'!$B$61&gt;=1,FCCM=0),AF113+0,AC113+0)</f>
        <v>15.462617227769154</v>
      </c>
      <c r="Q113" s="233">
        <f>IF(AND('Small Signal'!$B$61&gt;=1,FCCM=0),AG113,AD113)</f>
        <v>106.0577917765887</v>
      </c>
      <c r="R113" s="233" t="str">
        <f>IMDIV(IMSUM('Small Signal'!$B$2*'Small Signal'!$B$38*'Small Signal'!$B$62,IMPRODUCT(M113,'Small Signal'!$B$2*'Small Signal'!$B$38*'Small Signal'!$B$62*'Small Signal'!$B$14*'Small Signal'!$B$15)),IMSUM(IMPRODUCT('Small Signal'!$B$12*'Small Signal'!$B$14*('Small Signal'!$B$15+'Small Signal'!$B$38),IMPOWER(M113,2)),IMSUM(IMPRODUCT(M113,('Small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1.92035517888443-1.05492687402732i</v>
      </c>
      <c r="S113" s="233">
        <f t="shared" si="59"/>
        <v>7.8753911044675116</v>
      </c>
      <c r="T113" s="233">
        <f t="shared" si="60"/>
        <v>-31.970635416671545</v>
      </c>
      <c r="U113" s="233" t="str">
        <f>IMDIV(IMSUM('Small Signal'!$B$74,IMPRODUCT(M113,'Small Signal'!$B$75)),IMSUM(IMPRODUCT('Small Signal'!$B$78,IMPOWER(M113,2)),IMSUM(IMPRODUCT(M113,'Small Signal'!$B$77),'Small Signal'!$B$76)))</f>
        <v>1.35091763228388-0.786668573849075i</v>
      </c>
      <c r="V113" s="233">
        <f t="shared" si="37"/>
        <v>3.8807026219270266</v>
      </c>
      <c r="W113" s="233">
        <f t="shared" si="38"/>
        <v>-30.213169142660927</v>
      </c>
      <c r="X113" s="233" t="str">
        <f>IMPRODUCT(IMDIV(IMSUM(IMPRODUCT(M113,'Small Signal'!$B$57*'Small Signal'!$B$6*'Small Signal'!$B$50*'Small Signal'!$B$7*'Small Signal'!$B$8),'Small Signal'!$B$57*'Small Signal'!$B$6*'Small Signal'!$B$50),IMSUM(IMSUM(IMPRODUCT(M113,('Small Signal'!$B$5+'Small Signal'!$B$6)*('Small Signal'!$B$56*'Small Signal'!$B$57)+'Small Signal'!$B$5*'Small Signal'!$B$57*('Small Signal'!$B$8+'Small Signal'!$B$9)+'Small Signal'!$B$6*'Small Signal'!$B$57*('Small Signal'!$B$8+'Small Signal'!$B$9)+'Small Signal'!$B$7*'Small Signal'!$B$8*('Small Signal'!$B$5+'Small Signal'!$B$6)),'Small Signal'!$B$6+'Small Signal'!$B$5),IMPRODUCT(IMPOWER(M113,2),'Small Signal'!$B$56*'Small Signal'!$B$57*'Small Signal'!$B$8*'Small Signal'!$B$7*('Small Signal'!$B$5+'Small Signal'!$B$6)+('Small Signal'!$B$5+'Small Signal'!$B$6)*('Small Signal'!$B$9*'Small Signal'!$B$8*'Small Signal'!$B$57*'Small Signal'!$B$7)))),-1)</f>
        <v>-1.72041810608669+1.66103306688022i</v>
      </c>
      <c r="Y113" s="233">
        <f t="shared" si="39"/>
        <v>7.5872261233016447</v>
      </c>
      <c r="Z113" s="233">
        <f t="shared" si="40"/>
        <v>138.02842719326023</v>
      </c>
      <c r="AA113" s="233" t="str">
        <f t="shared" si="41"/>
        <v>1.00100360813003+0.0353459350620735i</v>
      </c>
      <c r="AB113" s="233" t="str">
        <f t="shared" si="42"/>
        <v>-1.64056601824465+5.69962981076466i</v>
      </c>
      <c r="AC113" s="230">
        <f t="shared" si="43"/>
        <v>15.462617227769154</v>
      </c>
      <c r="AD113" s="233">
        <f t="shared" si="44"/>
        <v>106.0577917765887</v>
      </c>
      <c r="AE113" s="233" t="str">
        <f t="shared" si="45"/>
        <v>-1.01746064057413+3.5973177157944i</v>
      </c>
      <c r="AF113" s="230">
        <f t="shared" si="46"/>
        <v>11.453804340987386</v>
      </c>
      <c r="AG113" s="233">
        <f t="shared" si="47"/>
        <v>105.79295580140237</v>
      </c>
      <c r="AI113" s="233" t="str">
        <f t="shared" si="48"/>
        <v>0.002-0.321738460174544i</v>
      </c>
      <c r="AJ113" s="233">
        <f t="shared" si="49"/>
        <v>0.33750000000000002</v>
      </c>
      <c r="AK113" s="233" t="str">
        <f t="shared" si="50"/>
        <v>0.15-317.555860192274i</v>
      </c>
      <c r="AL113" s="233" t="str">
        <f t="shared" si="51"/>
        <v>0.160568931942683-0.167506823096092i</v>
      </c>
      <c r="AM113" s="233" t="str">
        <f t="shared" si="52"/>
        <v>0.366658637231247-0.00171582687022514i</v>
      </c>
      <c r="AN113" s="233" t="str">
        <f t="shared" si="53"/>
        <v>0.005+0.0314905226247287i</v>
      </c>
      <c r="AO113" s="233" t="str">
        <f t="shared" si="54"/>
        <v>2.10053074535659-1.31106087668371i</v>
      </c>
      <c r="AP113" s="233">
        <f t="shared" si="61"/>
        <v>7.8753911044675116</v>
      </c>
      <c r="AQ113" s="233">
        <f t="shared" si="62"/>
        <v>-31.970635416671545</v>
      </c>
      <c r="AS113" s="233" t="str">
        <f t="shared" si="55"/>
        <v>0.378059937749341-0.00182419618205239i</v>
      </c>
      <c r="AT113" s="233" t="str">
        <f t="shared" si="56"/>
        <v>2.11637055900731-1.33585047639881i</v>
      </c>
      <c r="AU113" s="233">
        <f t="shared" si="63"/>
        <v>7.968185266313502</v>
      </c>
      <c r="AV113" s="233">
        <f t="shared" si="64"/>
        <v>-32.260070012225725</v>
      </c>
    </row>
    <row r="114" spans="6:48" x14ac:dyDescent="0.25">
      <c r="F114" s="233">
        <v>112</v>
      </c>
      <c r="G114" s="249">
        <f t="shared" si="33"/>
        <v>170.64117068818342</v>
      </c>
      <c r="H114" s="249">
        <f t="shared" si="34"/>
        <v>168.57881372500071</v>
      </c>
      <c r="I114" s="234">
        <f t="shared" si="35"/>
        <v>1</v>
      </c>
      <c r="J114" s="233">
        <f t="shared" si="57"/>
        <v>1</v>
      </c>
      <c r="K114" s="233">
        <f t="shared" si="58"/>
        <v>1</v>
      </c>
      <c r="L114" s="233">
        <f>10^('Small Signal'!F114/30)</f>
        <v>5411.6952654646393</v>
      </c>
      <c r="M114" s="233" t="str">
        <f t="shared" si="36"/>
        <v>34002.6841789008i</v>
      </c>
      <c r="N114" s="233">
        <f>IF(D$31=1, IF(AND('Small Signal'!$B$61&gt;=1,FCCM=0),V114+0,S114+0), 0)</f>
        <v>7.7229791005314397</v>
      </c>
      <c r="O114" s="233">
        <f>IF(D$31=1, IF(AND('Small Signal'!$B$61&gt;=1,FCCM=0),W114,T114), 0)</f>
        <v>-34.179509207206394</v>
      </c>
      <c r="P114" s="233">
        <f>IF(AND('Small Signal'!$B$61&gt;=1,FCCM=0),AF114+0,AC114+0)</f>
        <v>15.013210844883087</v>
      </c>
      <c r="Q114" s="233">
        <f>IF(AND('Small Signal'!$B$61&gt;=1,FCCM=0),AG114,AD114)</f>
        <v>106.0961372491728</v>
      </c>
      <c r="R114" s="233" t="str">
        <f>IMDIV(IMSUM('Small Signal'!$B$2*'Small Signal'!$B$38*'Small Signal'!$B$62,IMPRODUCT(M114,'Small Signal'!$B$2*'Small Signal'!$B$38*'Small Signal'!$B$62*'Small Signal'!$B$14*'Small Signal'!$B$15)),IMSUM(IMPRODUCT('Small Signal'!$B$12*'Small Signal'!$B$14*('Small Signal'!$B$15+'Small Signal'!$B$38),IMPOWER(M114,2)),IMSUM(IMPRODUCT(M114,('Small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1.85705799339731-1.11159409046856i</v>
      </c>
      <c r="S114" s="233">
        <f t="shared" si="59"/>
        <v>7.7229791005314397</v>
      </c>
      <c r="T114" s="233">
        <f t="shared" si="60"/>
        <v>-34.179509207206394</v>
      </c>
      <c r="U114" s="233" t="str">
        <f>IMDIV(IMSUM('Small Signal'!$B$74,IMPRODUCT(M114,'Small Signal'!$B$75)),IMSUM(IMPRODUCT('Small Signal'!$B$78,IMPOWER(M114,2)),IMSUM(IMPRODUCT(M114,'Small Signal'!$B$77),'Small Signal'!$B$76)))</f>
        <v>1.30331786090678-0.829930647545385i</v>
      </c>
      <c r="V114" s="233">
        <f t="shared" si="37"/>
        <v>3.779292509109605</v>
      </c>
      <c r="W114" s="233">
        <f t="shared" si="38"/>
        <v>-32.488290849659847</v>
      </c>
      <c r="X114" s="233" t="str">
        <f>IMPRODUCT(IMDIV(IMSUM(IMPRODUCT(M114,'Small Signal'!$B$57*'Small Signal'!$B$6*'Small Signal'!$B$50*'Small Signal'!$B$7*'Small Signal'!$B$8),'Small Signal'!$B$57*'Small Signal'!$B$6*'Small Signal'!$B$50),IMSUM(IMSUM(IMPRODUCT(M114,('Small Signal'!$B$5+'Small Signal'!$B$6)*('Small Signal'!$B$56*'Small Signal'!$B$57)+'Small Signal'!$B$5*'Small Signal'!$B$57*('Small Signal'!$B$8+'Small Signal'!$B$9)+'Small Signal'!$B$6*'Small Signal'!$B$57*('Small Signal'!$B$8+'Small Signal'!$B$9)+'Small Signal'!$B$7*'Small Signal'!$B$8*('Small Signal'!$B$5+'Small Signal'!$B$6)),'Small Signal'!$B$6+'Small Signal'!$B$5),IMPRODUCT(IMPOWER(M114,2),'Small Signal'!$B$56*'Small Signal'!$B$57*'Small Signal'!$B$8*'Small Signal'!$B$7*('Small Signal'!$B$5+'Small Signal'!$B$6)+('Small Signal'!$B$5+'Small Signal'!$B$6)*('Small Signal'!$B$9*'Small Signal'!$B$8*'Small Signal'!$B$57*'Small Signal'!$B$7)))),-1)</f>
        <v>-1.71946934883128+1.54318065053172i</v>
      </c>
      <c r="Y114" s="233">
        <f t="shared" si="39"/>
        <v>7.2902317443516509</v>
      </c>
      <c r="Z114" s="233">
        <f t="shared" si="40"/>
        <v>140.27564645637918</v>
      </c>
      <c r="AA114" s="233" t="str">
        <f t="shared" si="41"/>
        <v>1.00116996480092+0.0381605624395918i</v>
      </c>
      <c r="AB114" s="233" t="str">
        <f t="shared" si="42"/>
        <v>-1.56146375492124+5.4111872654085i</v>
      </c>
      <c r="AC114" s="230">
        <f t="shared" si="43"/>
        <v>15.013210844883087</v>
      </c>
      <c r="AD114" s="233">
        <f t="shared" si="44"/>
        <v>106.0961372491728</v>
      </c>
      <c r="AE114" s="233" t="str">
        <f t="shared" si="45"/>
        <v>-0.960282197038259+3.43829521455372i</v>
      </c>
      <c r="AF114" s="230">
        <f t="shared" si="46"/>
        <v>11.053063039695877</v>
      </c>
      <c r="AG114" s="233">
        <f t="shared" si="47"/>
        <v>105.60452818361235</v>
      </c>
      <c r="AI114" s="233" t="str">
        <f t="shared" si="48"/>
        <v>0.002-0.297968013526965i</v>
      </c>
      <c r="AJ114" s="233">
        <f t="shared" si="49"/>
        <v>0.33750000000000002</v>
      </c>
      <c r="AK114" s="233" t="str">
        <f t="shared" si="50"/>
        <v>0.15-294.094429351115i</v>
      </c>
      <c r="AL114" s="233" t="str">
        <f t="shared" si="51"/>
        <v>0.14781013691367-0.166317977417756i</v>
      </c>
      <c r="AM114" s="233" t="str">
        <f t="shared" si="52"/>
        <v>0.366657305066291-0.00185270050596258i</v>
      </c>
      <c r="AN114" s="233" t="str">
        <f t="shared" si="53"/>
        <v>0.005+0.0340026841789008i</v>
      </c>
      <c r="AO114" s="233" t="str">
        <f t="shared" si="54"/>
        <v>2.01280771655712-1.36685065951661i</v>
      </c>
      <c r="AP114" s="233">
        <f t="shared" si="61"/>
        <v>7.7229791005314397</v>
      </c>
      <c r="AQ114" s="233">
        <f t="shared" si="62"/>
        <v>-34.179509207206394</v>
      </c>
      <c r="AS114" s="233" t="str">
        <f t="shared" si="55"/>
        <v>0.37805847740685-0.00196971412009506i</v>
      </c>
      <c r="AT114" s="233" t="str">
        <f t="shared" si="56"/>
        <v>2.02627442528936-1.39131744524319i</v>
      </c>
      <c r="AU114" s="233">
        <f t="shared" si="63"/>
        <v>7.8114853796450028</v>
      </c>
      <c r="AV114" s="233">
        <f t="shared" si="64"/>
        <v>-34.474980351859166</v>
      </c>
    </row>
    <row r="115" spans="6:48" x14ac:dyDescent="0.25">
      <c r="F115" s="233">
        <v>113</v>
      </c>
      <c r="G115" s="249">
        <f t="shared" si="33"/>
        <v>170.80484578666247</v>
      </c>
      <c r="H115" s="249">
        <f t="shared" si="34"/>
        <v>168.57881372500071</v>
      </c>
      <c r="I115" s="234">
        <f t="shared" si="35"/>
        <v>1</v>
      </c>
      <c r="J115" s="233">
        <f t="shared" si="57"/>
        <v>1</v>
      </c>
      <c r="K115" s="233">
        <f t="shared" si="58"/>
        <v>1</v>
      </c>
      <c r="L115" s="233">
        <f>10^('Small Signal'!F115/30)</f>
        <v>5843.4141337351803</v>
      </c>
      <c r="M115" s="233" t="str">
        <f t="shared" si="36"/>
        <v>36715.2538288504i</v>
      </c>
      <c r="N115" s="233">
        <f>IF(D$31=1, IF(AND('Small Signal'!$B$61&gt;=1,FCCM=0),V115+0,S115+0), 0)</f>
        <v>7.5513513084875399</v>
      </c>
      <c r="O115" s="233">
        <f>IF(D$31=1, IF(AND('Small Signal'!$B$61&gt;=1,FCCM=0),W115,T115), 0)</f>
        <v>-36.494488999596861</v>
      </c>
      <c r="P115" s="233">
        <f>IF(AND('Small Signal'!$B$61&gt;=1,FCCM=0),AF115+0,AC115+0)</f>
        <v>14.569987658601558</v>
      </c>
      <c r="Q115" s="233">
        <f>IF(AND('Small Signal'!$B$61&gt;=1,FCCM=0),AG115,AD115)</f>
        <v>106.0119652353911</v>
      </c>
      <c r="R115" s="233" t="str">
        <f>IMDIV(IMSUM('Small Signal'!$B$2*'Small Signal'!$B$38*'Small Signal'!$B$62,IMPRODUCT(M115,'Small Signal'!$B$2*'Small Signal'!$B$38*'Small Signal'!$B$62*'Small Signal'!$B$14*'Small Signal'!$B$15)),IMSUM(IMPRODUCT('Small Signal'!$B$12*'Small Signal'!$B$14*('Small Signal'!$B$15+'Small Signal'!$B$38),IMPOWER(M115,2)),IMSUM(IMPRODUCT(M115,('Small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1.78672908120958-1.16723660243839i</v>
      </c>
      <c r="S115" s="233">
        <f t="shared" si="59"/>
        <v>7.5513513084875399</v>
      </c>
      <c r="T115" s="233">
        <f t="shared" si="60"/>
        <v>-36.494488999596861</v>
      </c>
      <c r="U115" s="233" t="str">
        <f>IMDIV(IMSUM('Small Signal'!$B$74,IMPRODUCT(M115,'Small Signal'!$B$75)),IMSUM(IMPRODUCT('Small Signal'!$B$78,IMPOWER(M115,2)),IMSUM(IMPRODUCT(M115,'Small Signal'!$B$77),'Small Signal'!$B$76)))</f>
        <v>1.25014134909305-0.87252504947047i</v>
      </c>
      <c r="V115" s="233">
        <f t="shared" si="37"/>
        <v>3.6626478072678772</v>
      </c>
      <c r="W115" s="233">
        <f t="shared" si="38"/>
        <v>-34.912772245248171</v>
      </c>
      <c r="X115" s="233" t="str">
        <f>IMPRODUCT(IMDIV(IMSUM(IMPRODUCT(M115,'Small Signal'!$B$57*'Small Signal'!$B$6*'Small Signal'!$B$50*'Small Signal'!$B$7*'Small Signal'!$B$8),'Small Signal'!$B$57*'Small Signal'!$B$6*'Small Signal'!$B$50),IMSUM(IMSUM(IMPRODUCT(M115,('Small Signal'!$B$5+'Small Signal'!$B$6)*('Small Signal'!$B$56*'Small Signal'!$B$57)+'Small Signal'!$B$5*'Small Signal'!$B$57*('Small Signal'!$B$8+'Small Signal'!$B$9)+'Small Signal'!$B$6*'Small Signal'!$B$57*('Small Signal'!$B$8+'Small Signal'!$B$9)+'Small Signal'!$B$7*'Small Signal'!$B$8*('Small Signal'!$B$5+'Small Signal'!$B$6)),'Small Signal'!$B$6+'Small Signal'!$B$5),IMPRODUCT(IMPOWER(M115,2),'Small Signal'!$B$56*'Small Signal'!$B$57*'Small Signal'!$B$8*'Small Signal'!$B$7*('Small Signal'!$B$5+'Small Signal'!$B$6)+('Small Signal'!$B$5+'Small Signal'!$B$6)*('Small Signal'!$B$9*'Small Signal'!$B$8*'Small Signal'!$B$57*'Small Signal'!$B$7)))),-1)</f>
        <v>-1.71862571518759+1.43442210114392i</v>
      </c>
      <c r="Y115" s="233">
        <f t="shared" si="39"/>
        <v>7.0186363501140105</v>
      </c>
      <c r="Z115" s="233">
        <f t="shared" si="40"/>
        <v>142.50645423498793</v>
      </c>
      <c r="AA115" s="233" t="str">
        <f t="shared" si="41"/>
        <v>1.00136386630783+0.041198408426301i</v>
      </c>
      <c r="AB115" s="233" t="str">
        <f t="shared" si="42"/>
        <v>-1.47622863133185+5.14416634018849i</v>
      </c>
      <c r="AC115" s="230">
        <f t="shared" si="43"/>
        <v>14.569987658601558</v>
      </c>
      <c r="AD115" s="233">
        <f t="shared" si="44"/>
        <v>106.0119652353911</v>
      </c>
      <c r="AE115" s="233" t="str">
        <f t="shared" si="45"/>
        <v>-0.896955855408487+3.29277436785822i</v>
      </c>
      <c r="AF115" s="230">
        <f t="shared" si="46"/>
        <v>10.662100798159431</v>
      </c>
      <c r="AG115" s="233">
        <f t="shared" si="47"/>
        <v>105.23773077659368</v>
      </c>
      <c r="AI115" s="233" t="str">
        <f t="shared" si="48"/>
        <v>0.002-0.275953757710657i</v>
      </c>
      <c r="AJ115" s="233">
        <f t="shared" si="49"/>
        <v>0.33750000000000002</v>
      </c>
      <c r="AK115" s="233" t="str">
        <f t="shared" si="50"/>
        <v>0.15-272.366358860418i</v>
      </c>
      <c r="AL115" s="233" t="str">
        <f t="shared" si="51"/>
        <v>0.135304359875736-0.164185019221448i</v>
      </c>
      <c r="AM115" s="233" t="str">
        <f t="shared" si="52"/>
        <v>0.366655751888206-0.00200049151535563i</v>
      </c>
      <c r="AN115" s="233" t="str">
        <f t="shared" si="53"/>
        <v>0.005+0.0367152538288504i</v>
      </c>
      <c r="AO115" s="233" t="str">
        <f t="shared" si="54"/>
        <v>1.91768466384793-1.41872657737525i</v>
      </c>
      <c r="AP115" s="233">
        <f t="shared" si="61"/>
        <v>7.5513513084875399</v>
      </c>
      <c r="AQ115" s="233">
        <f t="shared" si="62"/>
        <v>-36.494488999596861</v>
      </c>
      <c r="AS115" s="233" t="str">
        <f t="shared" si="55"/>
        <v>0.378056774786755-0.00212683880531331i</v>
      </c>
      <c r="AT115" s="233" t="str">
        <f t="shared" si="56"/>
        <v>1.92879156409345-1.44258429781233i</v>
      </c>
      <c r="AU115" s="233">
        <f t="shared" si="63"/>
        <v>7.6352430296083575</v>
      </c>
      <c r="AV115" s="233">
        <f t="shared" si="64"/>
        <v>-36.793597160189378</v>
      </c>
    </row>
    <row r="116" spans="6:48" x14ac:dyDescent="0.25">
      <c r="F116" s="233">
        <v>114</v>
      </c>
      <c r="G116" s="249">
        <f t="shared" si="33"/>
        <v>170.98135911025656</v>
      </c>
      <c r="H116" s="249">
        <f t="shared" si="34"/>
        <v>168.57881372500071</v>
      </c>
      <c r="I116" s="234">
        <f t="shared" si="35"/>
        <v>1</v>
      </c>
      <c r="J116" s="233">
        <f t="shared" si="57"/>
        <v>1</v>
      </c>
      <c r="K116" s="233">
        <f t="shared" si="58"/>
        <v>1</v>
      </c>
      <c r="L116" s="233">
        <f>10^('Small Signal'!F116/30)</f>
        <v>6309.5734448019384</v>
      </c>
      <c r="M116" s="233" t="str">
        <f t="shared" si="36"/>
        <v>39644.21916295i</v>
      </c>
      <c r="N116" s="233">
        <f>IF(D$31=1, IF(AND('Small Signal'!$B$61&gt;=1,FCCM=0),V116+0,S116+0), 0)</f>
        <v>7.3588945967044372</v>
      </c>
      <c r="O116" s="233">
        <f>IF(D$31=1, IF(AND('Small Signal'!$B$61&gt;=1,FCCM=0),W116,T116), 0)</f>
        <v>-38.912329974461109</v>
      </c>
      <c r="P116" s="233">
        <f>IF(AND('Small Signal'!$B$61&gt;=1,FCCM=0),AF116+0,AC116+0)</f>
        <v>14.130718004694515</v>
      </c>
      <c r="Q116" s="233">
        <f>IF(AND('Small Signal'!$B$61&gt;=1,FCCM=0),AG116,AD116)</f>
        <v>105.79695206452652</v>
      </c>
      <c r="R116" s="233" t="str">
        <f>IMDIV(IMSUM('Small Signal'!$B$2*'Small Signal'!$B$38*'Small Signal'!$B$62,IMPRODUCT(M116,'Small Signal'!$B$2*'Small Signal'!$B$38*'Small Signal'!$B$62*'Small Signal'!$B$14*'Small Signal'!$B$15)),IMSUM(IMPRODUCT('Small Signal'!$B$12*'Small Signal'!$B$14*('Small Signal'!$B$15+'Small Signal'!$B$38),IMPOWER(M116,2)),IMSUM(IMPRODUCT(M116,('Small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1.70911315492224-1.22090903161818i</v>
      </c>
      <c r="S116" s="233">
        <f t="shared" si="59"/>
        <v>7.3588945967044372</v>
      </c>
      <c r="T116" s="233">
        <f t="shared" si="60"/>
        <v>-38.912329974461109</v>
      </c>
      <c r="U116" s="233" t="str">
        <f>IMDIV(IMSUM('Small Signal'!$B$74,IMPRODUCT(M116,'Small Signal'!$B$75)),IMSUM(IMPRODUCT('Small Signal'!$B$78,IMPOWER(M116,2)),IMSUM(IMPRODUCT(M116,'Small Signal'!$B$77),'Small Signal'!$B$76)))</f>
        <v>1.19111582871763-0.913691340226916i</v>
      </c>
      <c r="V116" s="233">
        <f t="shared" si="37"/>
        <v>3.5287467225639553</v>
      </c>
      <c r="W116" s="233">
        <f t="shared" si="38"/>
        <v>-37.491401134202015</v>
      </c>
      <c r="X116" s="233" t="str">
        <f>IMPRODUCT(IMDIV(IMSUM(IMPRODUCT(M116,'Small Signal'!$B$57*'Small Signal'!$B$6*'Small Signal'!$B$50*'Small Signal'!$B$7*'Small Signal'!$B$8),'Small Signal'!$B$57*'Small Signal'!$B$6*'Small Signal'!$B$50),IMSUM(IMSUM(IMPRODUCT(M116,('Small Signal'!$B$5+'Small Signal'!$B$6)*('Small Signal'!$B$56*'Small Signal'!$B$57)+'Small Signal'!$B$5*'Small Signal'!$B$57*('Small Signal'!$B$8+'Small Signal'!$B$9)+'Small Signal'!$B$6*'Small Signal'!$B$57*('Small Signal'!$B$8+'Small Signal'!$B$9)+'Small Signal'!$B$7*'Small Signal'!$B$8*('Small Signal'!$B$5+'Small Signal'!$B$6)),'Small Signal'!$B$6+'Small Signal'!$B$5),IMPRODUCT(IMPOWER(M116,2),'Small Signal'!$B$56*'Small Signal'!$B$57*'Small Signal'!$B$8*'Small Signal'!$B$7*('Small Signal'!$B$5+'Small Signal'!$B$6)+('Small Signal'!$B$5+'Small Signal'!$B$6)*('Small Signal'!$B$9*'Small Signal'!$B$8*'Small Signal'!$B$57*'Small Signal'!$B$7)))),-1)</f>
        <v>-1.71786729478313+1.33411641137266i</v>
      </c>
      <c r="Y116" s="233">
        <f t="shared" si="39"/>
        <v>6.7718234079900794</v>
      </c>
      <c r="Z116" s="233">
        <f t="shared" si="40"/>
        <v>144.70928203898762</v>
      </c>
      <c r="AA116" s="233" t="str">
        <f t="shared" si="41"/>
        <v>1.0015898626005+0.0444769397339301i</v>
      </c>
      <c r="AB116" s="233" t="str">
        <f t="shared" si="42"/>
        <v>-1.38506572983752+4.89571255651883i</v>
      </c>
      <c r="AC116" s="230">
        <f t="shared" si="43"/>
        <v>14.130718004694515</v>
      </c>
      <c r="AD116" s="233">
        <f t="shared" si="44"/>
        <v>105.79695206452652</v>
      </c>
      <c r="AE116" s="233" t="str">
        <f t="shared" si="45"/>
        <v>-0.827208314526712+3.15868764584032i</v>
      </c>
      <c r="AF116" s="230">
        <f t="shared" si="46"/>
        <v>10.278216205168622</v>
      </c>
      <c r="AG116" s="233">
        <f t="shared" si="47"/>
        <v>104.67525546246499</v>
      </c>
      <c r="AI116" s="233" t="str">
        <f t="shared" si="48"/>
        <v>0.002-0.255565943113355i</v>
      </c>
      <c r="AJ116" s="233">
        <f t="shared" si="49"/>
        <v>0.33750000000000002</v>
      </c>
      <c r="AK116" s="233" t="str">
        <f t="shared" si="50"/>
        <v>0.15-252.243585852881i</v>
      </c>
      <c r="AL116" s="233" t="str">
        <f t="shared" si="51"/>
        <v>0.123185805139934-0.161168197300723i</v>
      </c>
      <c r="AM116" s="233" t="str">
        <f t="shared" si="52"/>
        <v>0.366653941032125-0.00216007038242192i</v>
      </c>
      <c r="AN116" s="233" t="str">
        <f t="shared" si="53"/>
        <v>0.005+0.03964421916295i</v>
      </c>
      <c r="AO116" s="233" t="str">
        <f t="shared" si="54"/>
        <v>1.81545131446744-1.46552970460124i</v>
      </c>
      <c r="AP116" s="233">
        <f t="shared" si="61"/>
        <v>7.3588945967044372</v>
      </c>
      <c r="AQ116" s="233">
        <f t="shared" si="62"/>
        <v>-38.912329974461109</v>
      </c>
      <c r="AS116" s="233" t="str">
        <f t="shared" si="55"/>
        <v>0.37805478969683-0.00229649565781365i</v>
      </c>
      <c r="AT116" s="233" t="str">
        <f t="shared" si="56"/>
        <v>1.82426817045348-1.48848419533487i</v>
      </c>
      <c r="AU116" s="233">
        <f t="shared" si="63"/>
        <v>7.4378715090658529</v>
      </c>
      <c r="AV116" s="233">
        <f t="shared" si="64"/>
        <v>-39.212208417037253</v>
      </c>
    </row>
    <row r="117" spans="6:48" x14ac:dyDescent="0.25">
      <c r="F117" s="233">
        <v>115</v>
      </c>
      <c r="G117" s="249">
        <f t="shared" si="33"/>
        <v>171.17167861544783</v>
      </c>
      <c r="H117" s="249">
        <f t="shared" si="34"/>
        <v>168.57881372500071</v>
      </c>
      <c r="I117" s="234">
        <f t="shared" si="35"/>
        <v>1</v>
      </c>
      <c r="J117" s="233">
        <f t="shared" si="57"/>
        <v>1</v>
      </c>
      <c r="K117" s="233">
        <f t="shared" si="58"/>
        <v>1</v>
      </c>
      <c r="L117" s="233">
        <f>10^('Small Signal'!F117/30)</f>
        <v>6812.9206905796218</v>
      </c>
      <c r="M117" s="233" t="str">
        <f t="shared" si="36"/>
        <v>42806.8431820297i</v>
      </c>
      <c r="N117" s="233">
        <f>IF(D$31=1, IF(AND('Small Signal'!$B$61&gt;=1,FCCM=0),V117+0,S117+0), 0)</f>
        <v>7.1440495191561144</v>
      </c>
      <c r="O117" s="233">
        <f>IF(D$31=1, IF(AND('Small Signal'!$B$61&gt;=1,FCCM=0),W117,T117), 0)</f>
        <v>-41.428427581217008</v>
      </c>
      <c r="P117" s="233">
        <f>IF(AND('Small Signal'!$B$61&gt;=1,FCCM=0),AF117+0,AC117+0)</f>
        <v>13.692988733906901</v>
      </c>
      <c r="Q117" s="233">
        <f>IF(AND('Small Signal'!$B$61&gt;=1,FCCM=0),AG117,AD117)</f>
        <v>105.44513468111799</v>
      </c>
      <c r="R117" s="233" t="str">
        <f>IMDIV(IMSUM('Small Signal'!$B$2*'Small Signal'!$B$38*'Small Signal'!$B$62,IMPRODUCT(M117,'Small Signal'!$B$2*'Small Signal'!$B$38*'Small Signal'!$B$62*'Small Signal'!$B$14*'Small Signal'!$B$15)),IMSUM(IMPRODUCT('Small Signal'!$B$12*'Small Signal'!$B$14*('Small Signal'!$B$15+'Small Signal'!$B$38),IMPOWER(M117,2)),IMSUM(IMPRODUCT(M117,('Small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1.62409658334115-1.27154615610904i</v>
      </c>
      <c r="S117" s="233">
        <f t="shared" si="59"/>
        <v>7.1440495191561144</v>
      </c>
      <c r="T117" s="233">
        <f t="shared" si="60"/>
        <v>-41.428427581217008</v>
      </c>
      <c r="U117" s="233" t="str">
        <f>IMDIV(IMSUM('Small Signal'!$B$74,IMPRODUCT(M117,'Small Signal'!$B$75)),IMSUM(IMPRODUCT('Small Signal'!$B$78,IMPOWER(M117,2)),IMSUM(IMPRODUCT(M117,'Small Signal'!$B$77),'Small Signal'!$B$76)))</f>
        <v>1.12607457396414-0.952549585989844i</v>
      </c>
      <c r="V117" s="233">
        <f t="shared" si="37"/>
        <v>3.3753805810325588</v>
      </c>
      <c r="W117" s="233">
        <f t="shared" si="38"/>
        <v>-40.227973481227593</v>
      </c>
      <c r="X117" s="233" t="str">
        <f>IMPRODUCT(IMDIV(IMSUM(IMPRODUCT(M117,'Small Signal'!$B$57*'Small Signal'!$B$6*'Small Signal'!$B$50*'Small Signal'!$B$7*'Small Signal'!$B$8),'Small Signal'!$B$57*'Small Signal'!$B$6*'Small Signal'!$B$50),IMSUM(IMSUM(IMPRODUCT(M117,('Small Signal'!$B$5+'Small Signal'!$B$6)*('Small Signal'!$B$56*'Small Signal'!$B$57)+'Small Signal'!$B$5*'Small Signal'!$B$57*('Small Signal'!$B$8+'Small Signal'!$B$9)+'Small Signal'!$B$6*'Small Signal'!$B$57*('Small Signal'!$B$8+'Small Signal'!$B$9)+'Small Signal'!$B$7*'Small Signal'!$B$8*('Small Signal'!$B$5+'Small Signal'!$B$6)),'Small Signal'!$B$6+'Small Signal'!$B$5),IMPRODUCT(IMPOWER(M117,2),'Small Signal'!$B$56*'Small Signal'!$B$57*'Small Signal'!$B$8*'Small Signal'!$B$7*('Small Signal'!$B$5+'Small Signal'!$B$6)+('Small Signal'!$B$5+'Small Signal'!$B$6)*('Small Signal'!$B$9*'Small Signal'!$B$8*'Small Signal'!$B$57*'Small Signal'!$B$7)))),-1)</f>
        <v>-1.71717619135378+1.24167231608379i</v>
      </c>
      <c r="Y117" s="233">
        <f t="shared" si="39"/>
        <v>6.5489392147507823</v>
      </c>
      <c r="Z117" s="233">
        <f t="shared" si="40"/>
        <v>146.87356226233496</v>
      </c>
      <c r="AA117" s="233" t="str">
        <f t="shared" si="41"/>
        <v>1.00185325131607+0.0480149287019439i</v>
      </c>
      <c r="AB117" s="233" t="str">
        <f t="shared" si="42"/>
        <v>-1.28838565448727+4.66310366329663i</v>
      </c>
      <c r="AC117" s="230">
        <f t="shared" si="43"/>
        <v>13.692988733906901</v>
      </c>
      <c r="AD117" s="233">
        <f t="shared" si="44"/>
        <v>105.44513468111799</v>
      </c>
      <c r="AE117" s="233" t="str">
        <f t="shared" si="45"/>
        <v>-0.750913997479407+3.03391109448278i</v>
      </c>
      <c r="AF117" s="230">
        <f t="shared" si="46"/>
        <v>9.8982736337689889</v>
      </c>
      <c r="AG117" s="233">
        <f t="shared" si="47"/>
        <v>103.90172449360315</v>
      </c>
      <c r="AI117" s="233" t="str">
        <f t="shared" si="48"/>
        <v>0.002-0.236684406189175i</v>
      </c>
      <c r="AJ117" s="233">
        <f t="shared" si="49"/>
        <v>0.33750000000000002</v>
      </c>
      <c r="AK117" s="233" t="str">
        <f t="shared" si="50"/>
        <v>0.15-233.607508908716i</v>
      </c>
      <c r="AL117" s="233" t="str">
        <f t="shared" si="51"/>
        <v>0.111571777344033-0.157349572580429i</v>
      </c>
      <c r="AM117" s="233" t="str">
        <f t="shared" si="52"/>
        <v>0.366651829751525-0.00233237691736053i</v>
      </c>
      <c r="AN117" s="233" t="str">
        <f t="shared" si="53"/>
        <v>0.005+0.0428068431820297i</v>
      </c>
      <c r="AO117" s="233" t="str">
        <f t="shared" si="54"/>
        <v>1.70662454182181-1.50609747270692i</v>
      </c>
      <c r="AP117" s="233">
        <f t="shared" si="61"/>
        <v>7.1440495191561144</v>
      </c>
      <c r="AQ117" s="233">
        <f t="shared" si="62"/>
        <v>-41.428427581217008</v>
      </c>
      <c r="AS117" s="233" t="str">
        <f t="shared" si="55"/>
        <v>0.378052475278221-0.00247968379119873i</v>
      </c>
      <c r="AT117" s="233" t="str">
        <f t="shared" si="56"/>
        <v>1.71328193938733-1.52785986329155i</v>
      </c>
      <c r="AU117" s="233">
        <f t="shared" si="63"/>
        <v>7.2178513083007187</v>
      </c>
      <c r="AV117" s="233">
        <f t="shared" si="64"/>
        <v>-41.72574186003844</v>
      </c>
    </row>
    <row r="118" spans="6:48" x14ac:dyDescent="0.25">
      <c r="F118" s="233">
        <v>116</v>
      </c>
      <c r="G118" s="249">
        <f t="shared" si="33"/>
        <v>171.3768351471208</v>
      </c>
      <c r="H118" s="249">
        <f t="shared" si="34"/>
        <v>168.57881372500071</v>
      </c>
      <c r="I118" s="234">
        <f t="shared" si="35"/>
        <v>1</v>
      </c>
      <c r="J118" s="233">
        <f t="shared" si="57"/>
        <v>1</v>
      </c>
      <c r="K118" s="233">
        <f t="shared" si="58"/>
        <v>1</v>
      </c>
      <c r="L118" s="233">
        <f>10^('Small Signal'!F118/30)</f>
        <v>7356.4225445964248</v>
      </c>
      <c r="M118" s="233" t="str">
        <f t="shared" si="36"/>
        <v>46221.7660456129i</v>
      </c>
      <c r="N118" s="233">
        <f>IF(D$31=1, IF(AND('Small Signal'!$B$61&gt;=1,FCCM=0),V118+0,S118+0), 0)</f>
        <v>6.9053528351907376</v>
      </c>
      <c r="O118" s="233">
        <f>IF(D$31=1, IF(AND('Small Signal'!$B$61&gt;=1,FCCM=0),W118,T118), 0)</f>
        <v>-44.03684987718578</v>
      </c>
      <c r="P118" s="233">
        <f>IF(AND('Small Signal'!$B$61&gt;=1,FCCM=0),AF118+0,AC118+0)</f>
        <v>13.254285855693229</v>
      </c>
      <c r="Q118" s="233">
        <f>IF(AND('Small Signal'!$B$61&gt;=1,FCCM=0),AG118,AD118)</f>
        <v>104.95311983149881</v>
      </c>
      <c r="R118" s="233" t="str">
        <f>IMDIV(IMSUM('Small Signal'!$B$2*'Small Signal'!$B$38*'Small Signal'!$B$62,IMPRODUCT(M118,'Small Signal'!$B$2*'Small Signal'!$B$38*'Small Signal'!$B$62*'Small Signal'!$B$14*'Small Signal'!$B$15)),IMSUM(IMPRODUCT('Small Signal'!$B$12*'Small Signal'!$B$14*('Small Signal'!$B$15+'Small Signal'!$B$38),IMPOWER(M118,2)),IMSUM(IMPRODUCT(M118,('Small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1.53174515038796-1.31798312759705i</v>
      </c>
      <c r="S118" s="233">
        <f t="shared" si="59"/>
        <v>6.9053528351907376</v>
      </c>
      <c r="T118" s="233">
        <f t="shared" si="60"/>
        <v>-44.03684987718578</v>
      </c>
      <c r="U118" s="233" t="str">
        <f>IMDIV(IMSUM('Small Signal'!$B$74,IMPRODUCT(M118,'Small Signal'!$B$75)),IMSUM(IMPRODUCT('Small Signal'!$B$78,IMPOWER(M118,2)),IMSUM(IMPRODUCT(M118,'Small Signal'!$B$77),'Small Signal'!$B$76)))</f>
        <v>1.05499357099829-0.988110283374608i</v>
      </c>
      <c r="V118" s="233">
        <f t="shared" si="37"/>
        <v>3.2001605449482757</v>
      </c>
      <c r="W118" s="233">
        <f t="shared" si="38"/>
        <v>-43.125028217700034</v>
      </c>
      <c r="X118" s="233" t="str">
        <f>IMPRODUCT(IMDIV(IMSUM(IMPRODUCT(M118,'Small Signal'!$B$57*'Small Signal'!$B$6*'Small Signal'!$B$50*'Small Signal'!$B$7*'Small Signal'!$B$8),'Small Signal'!$B$57*'Small Signal'!$B$6*'Small Signal'!$B$50),IMSUM(IMSUM(IMPRODUCT(M118,('Small Signal'!$B$5+'Small Signal'!$B$6)*('Small Signal'!$B$56*'Small Signal'!$B$57)+'Small Signal'!$B$5*'Small Signal'!$B$57*('Small Signal'!$B$8+'Small Signal'!$B$9)+'Small Signal'!$B$6*'Small Signal'!$B$57*('Small Signal'!$B$8+'Small Signal'!$B$9)+'Small Signal'!$B$7*'Small Signal'!$B$8*('Small Signal'!$B$5+'Small Signal'!$B$6)),'Small Signal'!$B$6+'Small Signal'!$B$5),IMPRODUCT(IMPOWER(M118,2),'Small Signal'!$B$56*'Small Signal'!$B$57*'Small Signal'!$B$8*'Small Signal'!$B$7*('Small Signal'!$B$5+'Small Signal'!$B$6)+('Small Signal'!$B$5+'Small Signal'!$B$6)*('Small Signal'!$B$9*'Small Signal'!$B$8*'Small Signal'!$B$57*'Small Signal'!$B$7)))),-1)</f>
        <v>-1.71653610118071+1.15654480359009i</v>
      </c>
      <c r="Y118" s="233">
        <f t="shared" si="39"/>
        <v>6.3489330205024928</v>
      </c>
      <c r="Z118" s="233">
        <f t="shared" si="40"/>
        <v>148.98996970868458</v>
      </c>
      <c r="AA118" s="233" t="str">
        <f t="shared" si="41"/>
        <v>1.00216019925084+0.0518325349140823i</v>
      </c>
      <c r="AB118" s="233" t="str">
        <f t="shared" si="42"/>
        <v>-1.18681268960242+4.44378593091874i</v>
      </c>
      <c r="AC118" s="230">
        <f t="shared" si="43"/>
        <v>13.254285855693229</v>
      </c>
      <c r="AD118" s="233">
        <f t="shared" si="44"/>
        <v>104.95311983149881</v>
      </c>
      <c r="AE118" s="233" t="str">
        <f t="shared" si="45"/>
        <v>-0.668140737521285+2.91627430571944i</v>
      </c>
      <c r="AF118" s="230">
        <f t="shared" si="46"/>
        <v>9.5187485017209923</v>
      </c>
      <c r="AG118" s="233">
        <f t="shared" si="47"/>
        <v>102.90419565796371</v>
      </c>
      <c r="AI118" s="233" t="str">
        <f t="shared" si="48"/>
        <v>0.002-0.219197861227838i</v>
      </c>
      <c r="AJ118" s="233">
        <f t="shared" si="49"/>
        <v>0.33750000000000002</v>
      </c>
      <c r="AK118" s="233" t="str">
        <f t="shared" si="50"/>
        <v>0.15-216.348289031876i</v>
      </c>
      <c r="AL118" s="233" t="str">
        <f t="shared" si="51"/>
        <v>0.100558770871726-0.152827810032976i</v>
      </c>
      <c r="AM118" s="233" t="str">
        <f t="shared" si="52"/>
        <v>0.366649368209769-0.00251842575681791i</v>
      </c>
      <c r="AN118" s="233" t="str">
        <f t="shared" si="53"/>
        <v>0.005+0.0462217660456129i</v>
      </c>
      <c r="AO118" s="233" t="str">
        <f t="shared" si="54"/>
        <v>1.59195880238461-1.53931666218807i</v>
      </c>
      <c r="AP118" s="233">
        <f t="shared" si="61"/>
        <v>6.9053528351907376</v>
      </c>
      <c r="AQ118" s="233">
        <f t="shared" si="62"/>
        <v>-44.03684987718578</v>
      </c>
      <c r="AS118" s="233" t="str">
        <f t="shared" si="55"/>
        <v>0.378049776900012-0.00267748185729682i</v>
      </c>
      <c r="AT118" s="233" t="str">
        <f t="shared" si="56"/>
        <v>1.59664885931629-1.5596184288724i</v>
      </c>
      <c r="AU118" s="233">
        <f t="shared" si="63"/>
        <v>6.9737732855964127</v>
      </c>
      <c r="AV118" s="233">
        <f t="shared" si="64"/>
        <v>-44.32781673932481</v>
      </c>
    </row>
    <row r="119" spans="6:48" x14ac:dyDescent="0.25">
      <c r="F119" s="233">
        <v>117</v>
      </c>
      <c r="G119" s="249">
        <f t="shared" si="33"/>
        <v>171.59792384887527</v>
      </c>
      <c r="H119" s="249">
        <f t="shared" si="34"/>
        <v>168.57881372500071</v>
      </c>
      <c r="I119" s="234">
        <f t="shared" si="35"/>
        <v>1</v>
      </c>
      <c r="J119" s="233">
        <f t="shared" si="57"/>
        <v>1</v>
      </c>
      <c r="K119" s="233">
        <f t="shared" si="58"/>
        <v>1</v>
      </c>
      <c r="L119" s="233">
        <f>10^('Small Signal'!F119/30)</f>
        <v>7943.2823472428154</v>
      </c>
      <c r="M119" s="233" t="str">
        <f t="shared" si="36"/>
        <v>49909.114934975i</v>
      </c>
      <c r="N119" s="233">
        <f>IF(D$31=1, IF(AND('Small Signal'!$B$61&gt;=1,FCCM=0),V119+0,S119+0), 0)</f>
        <v>6.6414801704212936</v>
      </c>
      <c r="O119" s="233">
        <f>IF(D$31=1, IF(AND('Small Signal'!$B$61&gt;=1,FCCM=0),W119,T119), 0)</f>
        <v>-46.730440975775828</v>
      </c>
      <c r="P119" s="233">
        <f>IF(AND('Small Signal'!$B$61&gt;=1,FCCM=0),AF119+0,AC119+0)</f>
        <v>12.812083147860839</v>
      </c>
      <c r="Q119" s="233">
        <f>IF(AND('Small Signal'!$B$61&gt;=1,FCCM=0),AG119,AD119)</f>
        <v>104.32014758223963</v>
      </c>
      <c r="R119" s="233" t="str">
        <f>IMDIV(IMSUM('Small Signal'!$B$2*'Small Signal'!$B$38*'Small Signal'!$B$62,IMPRODUCT(M119,'Small Signal'!$B$2*'Small Signal'!$B$38*'Small Signal'!$B$62*'Small Signal'!$B$14*'Small Signal'!$B$15)),IMSUM(IMPRODUCT('Small Signal'!$B$12*'Small Signal'!$B$14*('Small Signal'!$B$15+'Small Signal'!$B$38),IMPOWER(M119,2)),IMSUM(IMPRODUCT(M119,('Small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1.43233985269911-1.35898754198127i</v>
      </c>
      <c r="S119" s="233">
        <f t="shared" si="59"/>
        <v>6.6414801704212936</v>
      </c>
      <c r="T119" s="233">
        <f t="shared" si="60"/>
        <v>-46.730440975775828</v>
      </c>
      <c r="U119" s="233" t="str">
        <f>IMDIV(IMSUM('Small Signal'!$B$74,IMPRODUCT(M119,'Small Signal'!$B$75)),IMSUM(IMPRODUCT('Small Signal'!$B$78,IMPOWER(M119,2)),IMSUM(IMPRODUCT(M119,'Small Signal'!$B$77),'Small Signal'!$B$76)))</f>
        <v>0.978030572059686-1.019295396282i</v>
      </c>
      <c r="V119" s="233">
        <f t="shared" si="37"/>
        <v>3.000532348492746</v>
      </c>
      <c r="W119" s="233">
        <f t="shared" si="38"/>
        <v>-46.183564427424479</v>
      </c>
      <c r="X119" s="233" t="str">
        <f>IMPRODUCT(IMDIV(IMSUM(IMPRODUCT(M119,'Small Signal'!$B$57*'Small Signal'!$B$6*'Small Signal'!$B$50*'Small Signal'!$B$7*'Small Signal'!$B$8),'Small Signal'!$B$57*'Small Signal'!$B$6*'Small Signal'!$B$50),IMSUM(IMSUM(IMPRODUCT(M119,('Small Signal'!$B$5+'Small Signal'!$B$6)*('Small Signal'!$B$56*'Small Signal'!$B$57)+'Small Signal'!$B$5*'Small Signal'!$B$57*('Small Signal'!$B$8+'Small Signal'!$B$9)+'Small Signal'!$B$6*'Small Signal'!$B$57*('Small Signal'!$B$8+'Small Signal'!$B$9)+'Small Signal'!$B$7*'Small Signal'!$B$8*('Small Signal'!$B$5+'Small Signal'!$B$6)),'Small Signal'!$B$6+'Small Signal'!$B$5),IMPRODUCT(IMPOWER(M119,2),'Small Signal'!$B$56*'Small Signal'!$B$57*'Small Signal'!$B$8*'Small Signal'!$B$7*('Small Signal'!$B$5+'Small Signal'!$B$6)+('Small Signal'!$B$5+'Small Signal'!$B$6)*('Small Signal'!$B$9*'Small Signal'!$B$8*'Small Signal'!$B$57*'Small Signal'!$B$7)))),-1)</f>
        <v>-1.71593192942791+1.07823189516182i</v>
      </c>
      <c r="Y119" s="233">
        <f t="shared" si="39"/>
        <v>6.1706029774395494</v>
      </c>
      <c r="Z119" s="233">
        <f t="shared" si="40"/>
        <v>151.05058855801548</v>
      </c>
      <c r="AA119" s="233" t="str">
        <f t="shared" si="41"/>
        <v>1.00251788306561+0.0559513875775584i</v>
      </c>
      <c r="AB119" s="233" t="str">
        <f t="shared" si="42"/>
        <v>-1.08118015058069+4.23541557764423i</v>
      </c>
      <c r="AC119" s="230">
        <f t="shared" si="43"/>
        <v>12.812083147860839</v>
      </c>
      <c r="AD119" s="233">
        <f t="shared" si="44"/>
        <v>104.32014758223963</v>
      </c>
      <c r="AE119" s="233" t="str">
        <f t="shared" si="45"/>
        <v>-0.579197079691001+2.80358527323727i</v>
      </c>
      <c r="AF119" s="230">
        <f t="shared" si="46"/>
        <v>9.1357861512295049</v>
      </c>
      <c r="AG119" s="233">
        <f t="shared" si="47"/>
        <v>101.67261122454185</v>
      </c>
      <c r="AI119" s="233" t="str">
        <f t="shared" si="48"/>
        <v>0.002-0.203003244448877i</v>
      </c>
      <c r="AJ119" s="233">
        <f t="shared" si="49"/>
        <v>0.33750000000000002</v>
      </c>
      <c r="AK119" s="233" t="str">
        <f t="shared" si="50"/>
        <v>0.15-200.364202271042i</v>
      </c>
      <c r="AL119" s="233" t="str">
        <f t="shared" si="51"/>
        <v>0.0902202776730827-0.14771239134698i</v>
      </c>
      <c r="AM119" s="233" t="str">
        <f t="shared" si="52"/>
        <v>0.366646498304519-0.00271931229511128i</v>
      </c>
      <c r="AN119" s="233" t="str">
        <f t="shared" si="53"/>
        <v>0.005+0.049909114934975i</v>
      </c>
      <c r="AO119" s="233" t="str">
        <f t="shared" si="54"/>
        <v>1.47244176416574-1.5641814267304i</v>
      </c>
      <c r="AP119" s="233">
        <f t="shared" si="61"/>
        <v>6.6414801704212936</v>
      </c>
      <c r="AQ119" s="233">
        <f t="shared" si="62"/>
        <v>-46.730440975775828</v>
      </c>
      <c r="AS119" s="233" t="str">
        <f t="shared" si="55"/>
        <v>0.378046630870636-0.00289105434830903i</v>
      </c>
      <c r="AT119" s="233" t="str">
        <f t="shared" si="56"/>
        <v>1.47541444127772-1.58279012227733i</v>
      </c>
      <c r="AU119" s="233">
        <f t="shared" si="63"/>
        <v>6.7043811988290578</v>
      </c>
      <c r="AV119" s="233">
        <f t="shared" si="64"/>
        <v>-47.010868479023202</v>
      </c>
    </row>
    <row r="120" spans="6:48" x14ac:dyDescent="0.25">
      <c r="F120" s="233">
        <v>118</v>
      </c>
      <c r="G120" s="249">
        <f t="shared" si="33"/>
        <v>171.83610479965873</v>
      </c>
      <c r="H120" s="249">
        <f t="shared" si="34"/>
        <v>168.57881372500071</v>
      </c>
      <c r="I120" s="234">
        <f t="shared" si="35"/>
        <v>1</v>
      </c>
      <c r="J120" s="233">
        <f t="shared" si="57"/>
        <v>1</v>
      </c>
      <c r="K120" s="233">
        <f t="shared" si="58"/>
        <v>1</v>
      </c>
      <c r="L120" s="233">
        <f>10^('Small Signal'!F120/30)</f>
        <v>8576.9589859089447</v>
      </c>
      <c r="M120" s="233" t="str">
        <f t="shared" si="36"/>
        <v>53890.622680545i</v>
      </c>
      <c r="N120" s="233">
        <f>IF(D$31=1, IF(AND('Small Signal'!$B$61&gt;=1,FCCM=0),V120+0,S120+0), 0)</f>
        <v>6.351285598642411</v>
      </c>
      <c r="O120" s="233">
        <f>IF(D$31=1, IF(AND('Small Signal'!$B$61&gt;=1,FCCM=0),W120,T120), 0)</f>
        <v>-49.500998424047935</v>
      </c>
      <c r="P120" s="233">
        <f>IF(AND('Small Signal'!$B$61&gt;=1,FCCM=0),AF120+0,AC120+0)</f>
        <v>12.363930110450932</v>
      </c>
      <c r="Q120" s="233">
        <f>IF(AND('Small Signal'!$B$61&gt;=1,FCCM=0),AG120,AD120)</f>
        <v>103.54800333046046</v>
      </c>
      <c r="R120" s="233" t="str">
        <f>IMDIV(IMSUM('Small Signal'!$B$2*'Small Signal'!$B$38*'Small Signal'!$B$62,IMPRODUCT(M120,'Small Signal'!$B$2*'Small Signal'!$B$38*'Small Signal'!$B$62*'Small Signal'!$B$14*'Small Signal'!$B$15)),IMSUM(IMPRODUCT('Small Signal'!$B$12*'Small Signal'!$B$14*('Small Signal'!$B$15+'Small Signal'!$B$38),IMPOWER(M120,2)),IMSUM(IMPRODUCT(M120,('Small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1.32640682297789-1.39330380611085i</v>
      </c>
      <c r="S120" s="233">
        <f t="shared" si="59"/>
        <v>6.351285598642411</v>
      </c>
      <c r="T120" s="233">
        <f t="shared" si="60"/>
        <v>-49.500998424047935</v>
      </c>
      <c r="U120" s="233" t="str">
        <f>IMDIV(IMSUM('Small Signal'!$B$74,IMPRODUCT(M120,'Small Signal'!$B$75)),IMSUM(IMPRODUCT('Small Signal'!$B$78,IMPOWER(M120,2)),IMSUM(IMPRODUCT(M120,'Small Signal'!$B$77),'Small Signal'!$B$76)))</f>
        <v>0.895562769638506-1.04497256267953i</v>
      </c>
      <c r="V120" s="233">
        <f t="shared" si="37"/>
        <v>2.7738005059210789</v>
      </c>
      <c r="W120" s="233">
        <f t="shared" si="38"/>
        <v>-49.402751352702708</v>
      </c>
      <c r="X120" s="233" t="str">
        <f>IMPRODUCT(IMDIV(IMSUM(IMPRODUCT(M120,'Small Signal'!$B$57*'Small Signal'!$B$6*'Small Signal'!$B$50*'Small Signal'!$B$7*'Small Signal'!$B$8),'Small Signal'!$B$57*'Small Signal'!$B$6*'Small Signal'!$B$50),IMSUM(IMSUM(IMPRODUCT(M120,('Small Signal'!$B$5+'Small Signal'!$B$6)*('Small Signal'!$B$56*'Small Signal'!$B$57)+'Small Signal'!$B$5*'Small Signal'!$B$57*('Small Signal'!$B$8+'Small Signal'!$B$9)+'Small Signal'!$B$6*'Small Signal'!$B$57*('Small Signal'!$B$8+'Small Signal'!$B$9)+'Small Signal'!$B$7*'Small Signal'!$B$8*('Small Signal'!$B$5+'Small Signal'!$B$6)),'Small Signal'!$B$6+'Small Signal'!$B$5),IMPRODUCT(IMPOWER(M120,2),'Small Signal'!$B$56*'Small Signal'!$B$57*'Small Signal'!$B$8*'Small Signal'!$B$7*('Small Signal'!$B$5+'Small Signal'!$B$6)+('Small Signal'!$B$5+'Small Signal'!$B$6)*('Small Signal'!$B$9*'Small Signal'!$B$8*'Small Signal'!$B$57*'Small Signal'!$B$7)))),-1)</f>
        <v>-1.71534943544174+1.00627167340129i</v>
      </c>
      <c r="Y120" s="233">
        <f t="shared" si="39"/>
        <v>6.0126445118085163</v>
      </c>
      <c r="Z120" s="233">
        <f t="shared" si="40"/>
        <v>153.0490017545084</v>
      </c>
      <c r="AA120" s="233" t="str">
        <f t="shared" si="41"/>
        <v>1.00293465208954+0.060394667278165i</v>
      </c>
      <c r="AB120" s="233" t="str">
        <f t="shared" si="42"/>
        <v>-0.97251106215066+4.03590100689711i</v>
      </c>
      <c r="AC120" s="230">
        <f t="shared" si="43"/>
        <v>12.363930110450932</v>
      </c>
      <c r="AD120" s="233">
        <f t="shared" si="44"/>
        <v>103.54800333046046</v>
      </c>
      <c r="AE120" s="233" t="str">
        <f t="shared" si="45"/>
        <v>-0.484676801996087+2.69367254228447i</v>
      </c>
      <c r="AF120" s="230">
        <f t="shared" si="46"/>
        <v>8.7452723750869694</v>
      </c>
      <c r="AG120" s="233">
        <f t="shared" si="47"/>
        <v>100.2001774634905</v>
      </c>
      <c r="AI120" s="233" t="str">
        <f t="shared" si="48"/>
        <v>0.002-0.188005106555013i</v>
      </c>
      <c r="AJ120" s="233">
        <f t="shared" si="49"/>
        <v>0.33750000000000002</v>
      </c>
      <c r="AK120" s="233" t="str">
        <f t="shared" si="50"/>
        <v>0.15-185.561040169797i</v>
      </c>
      <c r="AL120" s="233" t="str">
        <f t="shared" si="51"/>
        <v>0.0806062933915425-0.142117828306752i</v>
      </c>
      <c r="AM120" s="233" t="str">
        <f t="shared" si="52"/>
        <v>0.366643152297384-0.0029362190787642i</v>
      </c>
      <c r="AN120" s="233" t="str">
        <f t="shared" si="53"/>
        <v>0.005+0.053890622680545i</v>
      </c>
      <c r="AO120" s="233" t="str">
        <f t="shared" si="54"/>
        <v>1.34927301562494-1.57985147072619i</v>
      </c>
      <c r="AP120" s="233">
        <f t="shared" si="61"/>
        <v>6.351285598642411</v>
      </c>
      <c r="AQ120" s="233">
        <f t="shared" si="62"/>
        <v>-49.500998424047935</v>
      </c>
      <c r="AS120" s="233" t="str">
        <f t="shared" si="55"/>
        <v>0.37804296293579-0.00312165839057604i</v>
      </c>
      <c r="AT120" s="233" t="str">
        <f t="shared" si="56"/>
        <v>1.35082771106909-1.59658564397172i</v>
      </c>
      <c r="AU120" s="233">
        <f t="shared" si="63"/>
        <v>6.4086102762212427</v>
      </c>
      <c r="AV120" s="233">
        <f t="shared" si="64"/>
        <v>-49.766347378897912</v>
      </c>
    </row>
    <row r="121" spans="6:48" x14ac:dyDescent="0.25">
      <c r="F121" s="233">
        <v>119</v>
      </c>
      <c r="G121" s="249">
        <f t="shared" si="33"/>
        <v>172.09260260717116</v>
      </c>
      <c r="H121" s="249">
        <f t="shared" si="34"/>
        <v>168.57881372500071</v>
      </c>
      <c r="I121" s="234">
        <f t="shared" si="35"/>
        <v>1</v>
      </c>
      <c r="J121" s="233">
        <f t="shared" si="57"/>
        <v>1</v>
      </c>
      <c r="K121" s="233">
        <f t="shared" si="58"/>
        <v>1</v>
      </c>
      <c r="L121" s="233">
        <f>10^('Small Signal'!F121/30)</f>
        <v>9261.187281287941</v>
      </c>
      <c r="M121" s="233" t="str">
        <f t="shared" si="36"/>
        <v>58189.7558528268i</v>
      </c>
      <c r="N121" s="233">
        <f>IF(D$31=1, IF(AND('Small Signal'!$B$61&gt;=1,FCCM=0),V121+0,S121+0), 0)</f>
        <v>6.0338346913518945</v>
      </c>
      <c r="O121" s="233">
        <f>IF(D$31=1, IF(AND('Small Signal'!$B$61&gt;=1,FCCM=0),W121,T121), 0)</f>
        <v>-52.33952011241697</v>
      </c>
      <c r="P121" s="233">
        <f>IF(AND('Small Signal'!$B$61&gt;=1,FCCM=0),AF121+0,AC121+0)</f>
        <v>11.907532692752341</v>
      </c>
      <c r="Q121" s="233">
        <f>IF(AND('Small Signal'!$B$61&gt;=1,FCCM=0),AG121,AD121)</f>
        <v>102.64078656123172</v>
      </c>
      <c r="R121" s="233" t="str">
        <f>IMDIV(IMSUM('Small Signal'!$B$2*'Small Signal'!$B$38*'Small Signal'!$B$62,IMPRODUCT(M121,'Small Signal'!$B$2*'Small Signal'!$B$38*'Small Signal'!$B$62*'Small Signal'!$B$14*'Small Signal'!$B$15)),IMSUM(IMPRODUCT('Small Signal'!$B$12*'Small Signal'!$B$14*('Small Signal'!$B$15+'Small Signal'!$B$38),IMPOWER(M121,2)),IMSUM(IMPRODUCT(M121,('Small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1.2147369785577-1.4197088382884i</v>
      </c>
      <c r="S121" s="233">
        <f t="shared" si="59"/>
        <v>6.0338346913518945</v>
      </c>
      <c r="T121" s="233">
        <f t="shared" si="60"/>
        <v>-52.33952011241697</v>
      </c>
      <c r="U121" s="233" t="str">
        <f>IMDIV(IMSUM('Small Signal'!$B$74,IMPRODUCT(M121,'Small Signal'!$B$75)),IMSUM(IMPRODUCT('Small Signal'!$B$78,IMPOWER(M121,2)),IMSUM(IMPRODUCT(M121,'Small Signal'!$B$77),'Small Signal'!$B$76)))</f>
        <v>0.808218621401268-1.06400360544675i</v>
      </c>
      <c r="V121" s="233">
        <f t="shared" si="37"/>
        <v>2.5171631645506798</v>
      </c>
      <c r="W121" s="233">
        <f t="shared" si="38"/>
        <v>-52.779645515941041</v>
      </c>
      <c r="X121" s="233" t="str">
        <f>IMPRODUCT(IMDIV(IMSUM(IMPRODUCT(M121,'Small Signal'!$B$57*'Small Signal'!$B$6*'Small Signal'!$B$50*'Small Signal'!$B$7*'Small Signal'!$B$8),'Small Signal'!$B$57*'Small Signal'!$B$6*'Small Signal'!$B$50),IMSUM(IMSUM(IMPRODUCT(M121,('Small Signal'!$B$5+'Small Signal'!$B$6)*('Small Signal'!$B$56*'Small Signal'!$B$57)+'Small Signal'!$B$5*'Small Signal'!$B$57*('Small Signal'!$B$8+'Small Signal'!$B$9)+'Small Signal'!$B$6*'Small Signal'!$B$57*('Small Signal'!$B$8+'Small Signal'!$B$9)+'Small Signal'!$B$7*'Small Signal'!$B$8*('Small Signal'!$B$5+'Small Signal'!$B$6)),'Small Signal'!$B$6+'Small Signal'!$B$5),IMPRODUCT(IMPOWER(M121,2),'Small Signal'!$B$56*'Small Signal'!$B$57*'Small Signal'!$B$8*'Small Signal'!$B$7*('Small Signal'!$B$5+'Small Signal'!$B$6)+('Small Signal'!$B$5+'Small Signal'!$B$6)*('Small Signal'!$B$9*'Small Signal'!$B$8*'Small Signal'!$B$57*'Small Signal'!$B$7)))),-1)</f>
        <v>-1.71477489879785+0.940239541290031i</v>
      </c>
      <c r="Y121" s="233">
        <f t="shared" si="39"/>
        <v>5.8736980014004381</v>
      </c>
      <c r="Z121" s="233">
        <f t="shared" si="40"/>
        <v>154.9803066736487</v>
      </c>
      <c r="AA121" s="233" t="str">
        <f t="shared" si="41"/>
        <v>1.00342021644726+0.0651871852579335i</v>
      </c>
      <c r="AB121" s="233" t="str">
        <f t="shared" si="42"/>
        <v>-0.861983945427443+3.84344076115939i</v>
      </c>
      <c r="AC121" s="230">
        <f t="shared" si="43"/>
        <v>11.907532692752341</v>
      </c>
      <c r="AD121" s="233">
        <f t="shared" si="44"/>
        <v>102.64078656123172</v>
      </c>
      <c r="AE121" s="233" t="str">
        <f t="shared" si="45"/>
        <v>-0.385494742803706+2.58444578069889i</v>
      </c>
      <c r="AF121" s="230">
        <f t="shared" si="46"/>
        <v>8.3429136196105169</v>
      </c>
      <c r="AG121" s="233">
        <f t="shared" si="47"/>
        <v>98.483664622021621</v>
      </c>
      <c r="AI121" s="233" t="str">
        <f t="shared" si="48"/>
        <v>0.002-0.174115050164447i</v>
      </c>
      <c r="AJ121" s="233">
        <f t="shared" si="49"/>
        <v>0.33750000000000002</v>
      </c>
      <c r="AK121" s="233" t="str">
        <f t="shared" si="50"/>
        <v>0.15-171.851554512309i</v>
      </c>
      <c r="AL121" s="233" t="str">
        <f t="shared" si="51"/>
        <v>0.0717443126016208-0.136158368434236i</v>
      </c>
      <c r="AM121" s="233" t="str">
        <f t="shared" si="52"/>
        <v>0.366639251216588-0.00317042269876618i</v>
      </c>
      <c r="AN121" s="233" t="str">
        <f t="shared" si="53"/>
        <v>0.005+0.0581897558528268i</v>
      </c>
      <c r="AO121" s="233" t="str">
        <f t="shared" si="54"/>
        <v>1.2238256225795-1.58570461278869i</v>
      </c>
      <c r="AP121" s="233">
        <f t="shared" si="61"/>
        <v>6.0338346913518945</v>
      </c>
      <c r="AQ121" s="233">
        <f t="shared" si="62"/>
        <v>-52.33952011241697</v>
      </c>
      <c r="AS121" s="233" t="str">
        <f t="shared" si="55"/>
        <v>0.3780386865276-0.00337065106630283i</v>
      </c>
      <c r="AT121" s="233" t="str">
        <f t="shared" si="56"/>
        <v>1.22429831047119-1.60044630348327i</v>
      </c>
      <c r="AU121" s="233">
        <f t="shared" si="63"/>
        <v>6.0856183715215861</v>
      </c>
      <c r="AV121" s="233">
        <f t="shared" si="64"/>
        <v>-52.584985005578574</v>
      </c>
    </row>
    <row r="122" spans="6:48" x14ac:dyDescent="0.25">
      <c r="F122" s="233">
        <v>120</v>
      </c>
      <c r="G122" s="249">
        <f t="shared" si="33"/>
        <v>172.36870462283923</v>
      </c>
      <c r="H122" s="249">
        <f t="shared" si="34"/>
        <v>168.57881372500071</v>
      </c>
      <c r="I122" s="234">
        <f t="shared" si="35"/>
        <v>1</v>
      </c>
      <c r="J122" s="233">
        <f t="shared" si="57"/>
        <v>1</v>
      </c>
      <c r="K122" s="233">
        <f t="shared" si="58"/>
        <v>1</v>
      </c>
      <c r="L122" s="233">
        <f>10^('Small Signal'!F122/30)</f>
        <v>10000</v>
      </c>
      <c r="M122" s="233" t="str">
        <f t="shared" si="36"/>
        <v>62831.8530717959i</v>
      </c>
      <c r="N122" s="233">
        <f>IF(D$31=1, IF(AND('Small Signal'!$B$61&gt;=1,FCCM=0),V122+0,S122+0), 0)</f>
        <v>5.6884277711978335</v>
      </c>
      <c r="O122" s="233">
        <f>IF(D$31=1, IF(AND('Small Signal'!$B$61&gt;=1,FCCM=0),W122,T122), 0)</f>
        <v>-55.236508434815022</v>
      </c>
      <c r="P122" s="233">
        <f>IF(AND('Small Signal'!$B$61&gt;=1,FCCM=0),AF122+0,AC122+0)</f>
        <v>11.440820992621905</v>
      </c>
      <c r="Q122" s="233">
        <f>IF(AND('Small Signal'!$B$61&gt;=1,FCCM=0),AG122,AD122)</f>
        <v>101.604557728202</v>
      </c>
      <c r="R122" s="233" t="str">
        <f>IMDIV(IMSUM('Small Signal'!$B$2*'Small Signal'!$B$38*'Small Signal'!$B$62,IMPRODUCT(M122,'Small Signal'!$B$2*'Small Signal'!$B$38*'Small Signal'!$B$62*'Small Signal'!$B$14*'Small Signal'!$B$15)),IMSUM(IMPRODUCT('Small Signal'!$B$12*'Small Signal'!$B$14*('Small Signal'!$B$15+'Small Signal'!$B$38),IMPOWER(M122,2)),IMSUM(IMPRODUCT(M122,('Small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1.09839106576468-1.43707642883696i</v>
      </c>
      <c r="S122" s="233">
        <f t="shared" si="59"/>
        <v>5.6884277711978335</v>
      </c>
      <c r="T122" s="233">
        <f t="shared" si="60"/>
        <v>-55.236508434815022</v>
      </c>
      <c r="U122" s="233" t="str">
        <f>IMDIV(IMSUM('Small Signal'!$B$74,IMPRODUCT(M122,'Small Signal'!$B$75)),IMSUM(IMPRODUCT('Small Signal'!$B$78,IMPOWER(M122,2)),IMSUM(IMPRODUCT(M122,'Small Signal'!$B$77),'Small Signal'!$B$76)))</f>
        <v>0.716898377408897-1.07530692089778i</v>
      </c>
      <c r="V122" s="233">
        <f t="shared" si="37"/>
        <v>2.2277582699732861</v>
      </c>
      <c r="W122" s="233">
        <f t="shared" si="38"/>
        <v>-56.308932928747218</v>
      </c>
      <c r="X122" s="233" t="str">
        <f>IMPRODUCT(IMDIV(IMSUM(IMPRODUCT(M122,'Small Signal'!$B$57*'Small Signal'!$B$6*'Small Signal'!$B$50*'Small Signal'!$B$7*'Small Signal'!$B$8),'Small Signal'!$B$57*'Small Signal'!$B$6*'Small Signal'!$B$50),IMSUM(IMSUM(IMPRODUCT(M122,('Small Signal'!$B$5+'Small Signal'!$B$6)*('Small Signal'!$B$56*'Small Signal'!$B$57)+'Small Signal'!$B$5*'Small Signal'!$B$57*('Small Signal'!$B$8+'Small Signal'!$B$9)+'Small Signal'!$B$6*'Small Signal'!$B$57*('Small Signal'!$B$8+'Small Signal'!$B$9)+'Small Signal'!$B$7*'Small Signal'!$B$8*('Small Signal'!$B$5+'Small Signal'!$B$6)),'Small Signal'!$B$6+'Small Signal'!$B$5),IMPRODUCT(IMPOWER(M122,2),'Small Signal'!$B$56*'Small Signal'!$B$57*'Small Signal'!$B$8*'Small Signal'!$B$7*('Small Signal'!$B$5+'Small Signal'!$B$6)+('Small Signal'!$B$5+'Small Signal'!$B$6)*('Small Signal'!$B$9*'Small Signal'!$B$8*'Small Signal'!$B$57*'Small Signal'!$B$7)))),-1)</f>
        <v>-1.71419479842423+0.879745694794153i</v>
      </c>
      <c r="Y122" s="233">
        <f t="shared" si="39"/>
        <v>5.7523932214240698</v>
      </c>
      <c r="Z122" s="233">
        <f t="shared" si="40"/>
        <v>156.84106616301702</v>
      </c>
      <c r="AA122" s="233" t="str">
        <f t="shared" si="41"/>
        <v>1.00398586411461+0.070355457774699i</v>
      </c>
      <c r="AB122" s="233" t="str">
        <f t="shared" si="42"/>
        <v>-0.750885472471026+3.65655205306002i</v>
      </c>
      <c r="AC122" s="230">
        <f t="shared" si="43"/>
        <v>11.440820992621905</v>
      </c>
      <c r="AD122" s="233">
        <f t="shared" si="44"/>
        <v>101.604557728202</v>
      </c>
      <c r="AE122" s="233" t="str">
        <f t="shared" si="45"/>
        <v>-0.282906835310923+2.47397379164294i</v>
      </c>
      <c r="AF122" s="230">
        <f t="shared" si="46"/>
        <v>7.9243249719686961</v>
      </c>
      <c r="AG122" s="233">
        <f t="shared" si="47"/>
        <v>96.523618871992582</v>
      </c>
      <c r="AI122" s="233" t="str">
        <f t="shared" si="48"/>
        <v>0.002-0.161251208806378i</v>
      </c>
      <c r="AJ122" s="233">
        <f t="shared" si="49"/>
        <v>0.33750000000000002</v>
      </c>
      <c r="AK122" s="233" t="str">
        <f t="shared" si="50"/>
        <v>0.15-159.154943091895i</v>
      </c>
      <c r="AL122" s="233" t="str">
        <f t="shared" si="51"/>
        <v>0.0636414787966333-0.129943543229305i</v>
      </c>
      <c r="AM122" s="233" t="str">
        <f t="shared" si="52"/>
        <v>0.366634702995125-0.00342330121705459i</v>
      </c>
      <c r="AN122" s="233" t="str">
        <f t="shared" si="53"/>
        <v>0.005+0.0628318530717959i</v>
      </c>
      <c r="AO122" s="233" t="str">
        <f t="shared" si="54"/>
        <v>1.09759255843213-1.58137791229936i</v>
      </c>
      <c r="AP122" s="233">
        <f t="shared" si="61"/>
        <v>5.6884277711978335</v>
      </c>
      <c r="AQ122" s="233">
        <f t="shared" si="62"/>
        <v>-55.236508434815022</v>
      </c>
      <c r="AS122" s="233" t="str">
        <f t="shared" si="55"/>
        <v>0.378033700723862-0.00363949730173388i</v>
      </c>
      <c r="AT122" s="233" t="str">
        <f t="shared" si="56"/>
        <v>1.09733935521749-1.59408123526594i</v>
      </c>
      <c r="AU122" s="233">
        <f t="shared" si="63"/>
        <v>5.7348065558046493</v>
      </c>
      <c r="AV122" s="233">
        <f t="shared" si="64"/>
        <v>-55.457114070973645</v>
      </c>
    </row>
    <row r="123" spans="6:48" x14ac:dyDescent="0.25">
      <c r="F123" s="233">
        <v>121</v>
      </c>
      <c r="G123" s="249">
        <f t="shared" si="33"/>
        <v>172.66575736503225</v>
      </c>
      <c r="H123" s="249">
        <f t="shared" si="34"/>
        <v>168.57881372500071</v>
      </c>
      <c r="I123" s="234">
        <f t="shared" si="35"/>
        <v>1</v>
      </c>
      <c r="J123" s="233">
        <f t="shared" si="57"/>
        <v>1</v>
      </c>
      <c r="K123" s="233">
        <f t="shared" si="58"/>
        <v>1</v>
      </c>
      <c r="L123" s="233">
        <f>10^('Small Signal'!F123/30)</f>
        <v>10797.751623277109</v>
      </c>
      <c r="M123" s="233" t="str">
        <f t="shared" si="36"/>
        <v>67844.2743499492i</v>
      </c>
      <c r="N123" s="233">
        <f>IF(D$31=1, IF(AND('Small Signal'!$B$61&gt;=1,FCCM=0),V123+0,S123+0), 0)</f>
        <v>5.3146107562416134</v>
      </c>
      <c r="O123" s="233">
        <f>IF(D$31=1, IF(AND('Small Signal'!$B$61&gt;=1,FCCM=0),W123,T123), 0)</f>
        <v>-58.182312089034518</v>
      </c>
      <c r="P123" s="233">
        <f>IF(AND('Small Signal'!$B$61&gt;=1,FCCM=0),AF123+0,AC123+0)</f>
        <v>10.961999515345687</v>
      </c>
      <c r="Q123" s="233">
        <f>IF(AND('Small Signal'!$B$61&gt;=1,FCCM=0),AG123,AD123)</f>
        <v>100.44689515553</v>
      </c>
      <c r="R123" s="233" t="str">
        <f>IMDIV(IMSUM('Small Signal'!$B$2*'Small Signal'!$B$38*'Small Signal'!$B$62,IMPRODUCT(M123,'Small Signal'!$B$2*'Small Signal'!$B$38*'Small Signal'!$B$62*'Small Signal'!$B$14*'Small Signal'!$B$15)),IMSUM(IMPRODUCT('Small Signal'!$B$12*'Small Signal'!$B$14*('Small Signal'!$B$15+'Small Signal'!$B$38),IMPOWER(M123,2)),IMSUM(IMPRODUCT(M123,('Small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0.978686577253537-1.44444581926392i</v>
      </c>
      <c r="S123" s="233">
        <f t="shared" si="59"/>
        <v>5.3146107562416134</v>
      </c>
      <c r="T123" s="233">
        <f t="shared" si="60"/>
        <v>-58.182312089034518</v>
      </c>
      <c r="U123" s="233" t="str">
        <f>IMDIV(IMSUM('Small Signal'!$B$74,IMPRODUCT(M123,'Small Signal'!$B$75)),IMSUM(IMPRODUCT('Small Signal'!$B$78,IMPOWER(M123,2)),IMSUM(IMPRODUCT(M123,'Small Signal'!$B$77),'Small Signal'!$B$76)))</f>
        <v>0.62277744252846-1.07793114527174i</v>
      </c>
      <c r="V123" s="233">
        <f t="shared" si="37"/>
        <v>1.9027209679296033</v>
      </c>
      <c r="W123" s="233">
        <f t="shared" si="38"/>
        <v>-59.982717278056981</v>
      </c>
      <c r="X123" s="233" t="str">
        <f>IMPRODUCT(IMDIV(IMSUM(IMPRODUCT(M123,'Small Signal'!$B$57*'Small Signal'!$B$6*'Small Signal'!$B$50*'Small Signal'!$B$7*'Small Signal'!$B$8),'Small Signal'!$B$57*'Small Signal'!$B$6*'Small Signal'!$B$50),IMSUM(IMSUM(IMPRODUCT(M123,('Small Signal'!$B$5+'Small Signal'!$B$6)*('Small Signal'!$B$56*'Small Signal'!$B$57)+'Small Signal'!$B$5*'Small Signal'!$B$57*('Small Signal'!$B$8+'Small Signal'!$B$9)+'Small Signal'!$B$6*'Small Signal'!$B$57*('Small Signal'!$B$8+'Small Signal'!$B$9)+'Small Signal'!$B$7*'Small Signal'!$B$8*('Small Signal'!$B$5+'Small Signal'!$B$6)),'Small Signal'!$B$6+'Small Signal'!$B$5),IMPRODUCT(IMPOWER(M123,2),'Small Signal'!$B$56*'Small Signal'!$B$57*'Small Signal'!$B$8*'Small Signal'!$B$7*('Small Signal'!$B$5+'Small Signal'!$B$6)+('Small Signal'!$B$5+'Small Signal'!$B$6)*('Small Signal'!$B$9*'Small Signal'!$B$8*'Small Signal'!$B$57*'Small Signal'!$B$7)))),-1)</f>
        <v>-1.7135954975131+0.824432792842355i</v>
      </c>
      <c r="Y123" s="233">
        <f t="shared" si="39"/>
        <v>5.6473887591040652</v>
      </c>
      <c r="Z123" s="233">
        <f t="shared" si="40"/>
        <v>158.62920724456453</v>
      </c>
      <c r="AA123" s="233" t="str">
        <f t="shared" si="41"/>
        <v>1.00464471089803+0.075927772367481i</v>
      </c>
      <c r="AB123" s="233" t="str">
        <f t="shared" si="42"/>
        <v>-0.640553690909321+3.47408555667485i</v>
      </c>
      <c r="AC123" s="230">
        <f t="shared" si="43"/>
        <v>10.961999515345687</v>
      </c>
      <c r="AD123" s="233">
        <f t="shared" si="44"/>
        <v>100.44689515553</v>
      </c>
      <c r="AE123" s="233" t="str">
        <f t="shared" si="45"/>
        <v>-0.178506836881354+2.36057610342975i</v>
      </c>
      <c r="AF123" s="230">
        <f t="shared" si="46"/>
        <v>7.4851240376341774</v>
      </c>
      <c r="AG123" s="233">
        <f t="shared" si="47"/>
        <v>94.324478109167273</v>
      </c>
      <c r="AI123" s="233" t="str">
        <f t="shared" si="48"/>
        <v>0.002-0.149337764408993i</v>
      </c>
      <c r="AJ123" s="233">
        <f t="shared" si="49"/>
        <v>0.33750000000000002</v>
      </c>
      <c r="AK123" s="233" t="str">
        <f t="shared" si="50"/>
        <v>0.15-147.396373471677i</v>
      </c>
      <c r="AL123" s="233" t="str">
        <f t="shared" si="51"/>
        <v>0.0562875009549775-0.123574750444388i</v>
      </c>
      <c r="AM123" s="233" t="str">
        <f t="shared" si="52"/>
        <v>0.366629400300699-0.00369634216579999i</v>
      </c>
      <c r="AN123" s="233" t="str">
        <f t="shared" si="53"/>
        <v>0.005+0.0678442743499492i</v>
      </c>
      <c r="AO123" s="233" t="str">
        <f t="shared" si="54"/>
        <v>0.972122252788248-1.56679247247348i</v>
      </c>
      <c r="AP123" s="233">
        <f t="shared" si="61"/>
        <v>5.3146107562416134</v>
      </c>
      <c r="AQ123" s="233">
        <f t="shared" si="62"/>
        <v>-58.182312089034518</v>
      </c>
      <c r="AS123" s="233" t="str">
        <f t="shared" si="55"/>
        <v>0.378027887869531-0.00392977836240592i</v>
      </c>
      <c r="AT123" s="233" t="str">
        <f t="shared" si="56"/>
        <v>0.971500835197626-1.57748719831228i</v>
      </c>
      <c r="AU123" s="233">
        <f t="shared" si="63"/>
        <v>5.3558267597754936</v>
      </c>
      <c r="AV123" s="233">
        <f t="shared" si="64"/>
        <v>-58.373020643132392</v>
      </c>
    </row>
    <row r="124" spans="6:48" x14ac:dyDescent="0.25">
      <c r="F124" s="233">
        <v>122</v>
      </c>
      <c r="G124" s="249">
        <f t="shared" si="33"/>
        <v>172.98516064548789</v>
      </c>
      <c r="H124" s="249">
        <f t="shared" si="34"/>
        <v>168.57881372500071</v>
      </c>
      <c r="I124" s="234">
        <f t="shared" si="35"/>
        <v>1</v>
      </c>
      <c r="J124" s="233">
        <f t="shared" si="57"/>
        <v>1</v>
      </c>
      <c r="K124" s="233">
        <f t="shared" si="58"/>
        <v>1</v>
      </c>
      <c r="L124" s="233">
        <f>10^('Small Signal'!F124/30)</f>
        <v>11659.144011798313</v>
      </c>
      <c r="M124" s="233" t="str">
        <f t="shared" si="36"/>
        <v>73256.562349222i</v>
      </c>
      <c r="N124" s="233">
        <f>IF(D$31=1, IF(AND('Small Signal'!$B$61&gt;=1,FCCM=0),V124+0,S124+0), 0)</f>
        <v>4.9121720403516447</v>
      </c>
      <c r="O124" s="233">
        <f>IF(D$31=1, IF(AND('Small Signal'!$B$61&gt;=1,FCCM=0),W124,T124), 0)</f>
        <v>-61.167480424031979</v>
      </c>
      <c r="P124" s="233">
        <f>IF(AND('Small Signal'!$B$61&gt;=1,FCCM=0),AF124+0,AC124+0)</f>
        <v>10.469577398262345</v>
      </c>
      <c r="Q124" s="233">
        <f>IF(AND('Small Signal'!$B$61&gt;=1,FCCM=0),AG124,AD124)</f>
        <v>99.176400516291892</v>
      </c>
      <c r="R124" s="233" t="str">
        <f>IMDIV(IMSUM('Small Signal'!$B$2*'Small Signal'!$B$38*'Small Signal'!$B$62,IMPRODUCT(M124,'Small Signal'!$B$2*'Small Signal'!$B$38*'Small Signal'!$B$62*'Small Signal'!$B$14*'Small Signal'!$B$15)),IMSUM(IMPRODUCT('Small Signal'!$B$12*'Small Signal'!$B$14*('Small Signal'!$B$15+'Small Signal'!$B$38),IMPOWER(M124,2)),IMSUM(IMPRODUCT(M124,('Small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0.857164611152885-1.44108858659721i</v>
      </c>
      <c r="S124" s="233">
        <f t="shared" si="59"/>
        <v>4.9121720403516447</v>
      </c>
      <c r="T124" s="233">
        <f t="shared" si="60"/>
        <v>-61.167480424031979</v>
      </c>
      <c r="U124" s="233" t="str">
        <f>IMDIV(IMSUM('Small Signal'!$B$74,IMPRODUCT(M124,'Small Signal'!$B$75)),IMSUM(IMPRODUCT('Small Signal'!$B$78,IMPOWER(M124,2)),IMSUM(IMPRODUCT(M124,'Small Signal'!$B$77),'Small Signal'!$B$76)))</f>
        <v>0.527287211508119-1.07113491892389i</v>
      </c>
      <c r="V124" s="233">
        <f t="shared" si="37"/>
        <v>1.5392512090389543</v>
      </c>
      <c r="W124" s="233">
        <f t="shared" si="38"/>
        <v>-63.790376458826486</v>
      </c>
      <c r="X124" s="233" t="str">
        <f>IMPRODUCT(IMDIV(IMSUM(IMPRODUCT(M124,'Small Signal'!$B$57*'Small Signal'!$B$6*'Small Signal'!$B$50*'Small Signal'!$B$7*'Small Signal'!$B$8),'Small Signal'!$B$57*'Small Signal'!$B$6*'Small Signal'!$B$50),IMSUM(IMSUM(IMPRODUCT(M124,('Small Signal'!$B$5+'Small Signal'!$B$6)*('Small Signal'!$B$56*'Small Signal'!$B$57)+'Small Signal'!$B$5*'Small Signal'!$B$57*('Small Signal'!$B$8+'Small Signal'!$B$9)+'Small Signal'!$B$6*'Small Signal'!$B$57*('Small Signal'!$B$8+'Small Signal'!$B$9)+'Small Signal'!$B$7*'Small Signal'!$B$8*('Small Signal'!$B$5+'Small Signal'!$B$6)),'Small Signal'!$B$6+'Small Signal'!$B$5),IMPRODUCT(IMPOWER(M124,2),'Small Signal'!$B$56*'Small Signal'!$B$57*'Small Signal'!$B$8*'Small Signal'!$B$7*('Small Signal'!$B$5+'Small Signal'!$B$6)+('Small Signal'!$B$5+'Small Signal'!$B$6)*('Small Signal'!$B$9*'Small Signal'!$B$8*'Small Signal'!$B$57*'Small Signal'!$B$7)))),-1)</f>
        <v>-1.712962927171+0.773973809260755i</v>
      </c>
      <c r="Y124" s="233">
        <f t="shared" si="39"/>
        <v>5.5574053579107057</v>
      </c>
      <c r="Z124" s="233">
        <f t="shared" si="40"/>
        <v>160.34388094032386</v>
      </c>
      <c r="AA124" s="233" t="str">
        <f t="shared" si="41"/>
        <v>1.00541198771575+0.0819342419359222i</v>
      </c>
      <c r="AB124" s="233" t="str">
        <f t="shared" si="42"/>
        <v>-0.532317014158979+3.29522376953763i</v>
      </c>
      <c r="AC124" s="230">
        <f t="shared" si="43"/>
        <v>10.469577398262345</v>
      </c>
      <c r="AD124" s="233">
        <f t="shared" si="44"/>
        <v>99.176400516291892</v>
      </c>
      <c r="AE124" s="233" t="str">
        <f t="shared" si="45"/>
        <v>-0.0741930718530487+2.24292089778036i</v>
      </c>
      <c r="AF124" s="230">
        <f t="shared" si="46"/>
        <v>7.0210286224291263</v>
      </c>
      <c r="AG124" s="233">
        <f t="shared" si="47"/>
        <v>91.894583280699678</v>
      </c>
      <c r="AI124" s="233" t="str">
        <f t="shared" si="48"/>
        <v>0.002-0.138304500436055i</v>
      </c>
      <c r="AJ124" s="233">
        <f t="shared" si="49"/>
        <v>0.33750000000000002</v>
      </c>
      <c r="AK124" s="233" t="str">
        <f t="shared" si="50"/>
        <v>0.15-136.506541930386i</v>
      </c>
      <c r="AL124" s="233" t="str">
        <f t="shared" si="51"/>
        <v>0.0496579575356313-0.117142915233925i</v>
      </c>
      <c r="AM124" s="233" t="str">
        <f t="shared" si="52"/>
        <v>0.366623218006571-0.00399115116011027i</v>
      </c>
      <c r="AN124" s="233" t="str">
        <f t="shared" si="53"/>
        <v>0.005+0.073256562349222i</v>
      </c>
      <c r="AO124" s="233" t="str">
        <f t="shared" si="54"/>
        <v>0.84894920787872-1.54215889058593i</v>
      </c>
      <c r="AP124" s="233">
        <f t="shared" si="61"/>
        <v>4.9121720403516447</v>
      </c>
      <c r="AQ124" s="233">
        <f t="shared" si="62"/>
        <v>-61.167480424031979</v>
      </c>
      <c r="AS124" s="233" t="str">
        <f t="shared" si="55"/>
        <v>0.378021110804664-0.0042432009981669i</v>
      </c>
      <c r="AT124" s="233" t="str">
        <f t="shared" si="56"/>
        <v>0.848299844020645-1.55094853022636i</v>
      </c>
      <c r="AU124" s="233">
        <f t="shared" si="63"/>
        <v>4.9485752188475081</v>
      </c>
      <c r="AV124" s="233">
        <f t="shared" si="64"/>
        <v>-61.323302734043182</v>
      </c>
    </row>
    <row r="125" spans="6:48" x14ac:dyDescent="0.25">
      <c r="F125" s="233">
        <v>123</v>
      </c>
      <c r="G125" s="249">
        <f t="shared" si="33"/>
        <v>173.32835878807313</v>
      </c>
      <c r="H125" s="249">
        <f t="shared" si="34"/>
        <v>168.57881372500071</v>
      </c>
      <c r="I125" s="234">
        <f t="shared" si="35"/>
        <v>1</v>
      </c>
      <c r="J125" s="233">
        <f t="shared" si="57"/>
        <v>1</v>
      </c>
      <c r="K125" s="233">
        <f t="shared" si="58"/>
        <v>1</v>
      </c>
      <c r="L125" s="233">
        <f>10^('Small Signal'!F125/30)</f>
        <v>12589.254117941671</v>
      </c>
      <c r="M125" s="233" t="str">
        <f t="shared" si="36"/>
        <v>79100.6165022012i</v>
      </c>
      <c r="N125" s="233">
        <f>IF(D$31=1, IF(AND('Small Signal'!$B$61&gt;=1,FCCM=0),V125+0,S125+0), 0)</f>
        <v>4.4811251789469537</v>
      </c>
      <c r="O125" s="233">
        <f>IF(D$31=1, IF(AND('Small Signal'!$B$61&gt;=1,FCCM=0),W125,T125), 0)</f>
        <v>-64.183102641641952</v>
      </c>
      <c r="P125" s="233">
        <f>IF(AND('Small Signal'!$B$61&gt;=1,FCCM=0),AF125+0,AC125+0)</f>
        <v>9.962378010813401</v>
      </c>
      <c r="Q125" s="233">
        <f>IF(AND('Small Signal'!$B$61&gt;=1,FCCM=0),AG125,AD125)</f>
        <v>97.802193530896176</v>
      </c>
      <c r="R125" s="233" t="str">
        <f>IMDIV(IMSUM('Small Signal'!$B$2*'Small Signal'!$B$38*'Small Signal'!$B$62,IMPRODUCT(M125,'Small Signal'!$B$2*'Small Signal'!$B$38*'Small Signal'!$B$62*'Small Signal'!$B$14*'Small Signal'!$B$15)),IMSUM(IMPRODUCT('Small Signal'!$B$12*'Small Signal'!$B$14*('Small Signal'!$B$15+'Small Signal'!$B$38),IMPOWER(M125,2)),IMSUM(IMPRODUCT(M125,('Small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0.735536979410296-1.42656712415891i</v>
      </c>
      <c r="S125" s="233">
        <f t="shared" si="59"/>
        <v>4.4811251789469537</v>
      </c>
      <c r="T125" s="233">
        <f t="shared" si="60"/>
        <v>-64.183102641641952</v>
      </c>
      <c r="U125" s="233" t="str">
        <f>IMDIV(IMSUM('Small Signal'!$B$74,IMPRODUCT(M125,'Small Signal'!$B$75)),IMSUM(IMPRODUCT('Small Signal'!$B$78,IMPOWER(M125,2)),IMSUM(IMPRODUCT(M125,'Small Signal'!$B$77),'Small Signal'!$B$76)))</f>
        <v>0.43206972870499-1.05446500337101i</v>
      </c>
      <c r="V125" s="233">
        <f t="shared" si="37"/>
        <v>1.1346894186064695</v>
      </c>
      <c r="W125" s="233">
        <f t="shared" si="38"/>
        <v>-67.71850919932551</v>
      </c>
      <c r="X125" s="233" t="str">
        <f>IMPRODUCT(IMDIV(IMSUM(IMPRODUCT(M125,'Small Signal'!$B$57*'Small Signal'!$B$6*'Small Signal'!$B$50*'Small Signal'!$B$7*'Small Signal'!$B$8),'Small Signal'!$B$57*'Small Signal'!$B$6*'Small Signal'!$B$50),IMSUM(IMSUM(IMPRODUCT(M125,('Small Signal'!$B$5+'Small Signal'!$B$6)*('Small Signal'!$B$56*'Small Signal'!$B$57)+'Small Signal'!$B$5*'Small Signal'!$B$57*('Small Signal'!$B$8+'Small Signal'!$B$9)+'Small Signal'!$B$6*'Small Signal'!$B$57*('Small Signal'!$B$8+'Small Signal'!$B$9)+'Small Signal'!$B$7*'Small Signal'!$B$8*('Small Signal'!$B$5+'Small Signal'!$B$6)),'Small Signal'!$B$6+'Small Signal'!$B$5),IMPRODUCT(IMPOWER(M125,2),'Small Signal'!$B$56*'Small Signal'!$B$57*'Small Signal'!$B$8*'Small Signal'!$B$7*('Small Signal'!$B$5+'Small Signal'!$B$6)+('Small Signal'!$B$5+'Small Signal'!$B$6)*('Small Signal'!$B$9*'Small Signal'!$B$8*'Small Signal'!$B$57*'Small Signal'!$B$7)))),-1)</f>
        <v>-1.71228226186419+0.728070051845498i</v>
      </c>
      <c r="Y125" s="233">
        <f t="shared" si="39"/>
        <v>5.4812528318664606</v>
      </c>
      <c r="Z125" s="233">
        <f t="shared" si="40"/>
        <v>161.98529617253814</v>
      </c>
      <c r="AA125" s="233" t="str">
        <f t="shared" si="41"/>
        <v>1.00630536991078+0.0884068414081567i</v>
      </c>
      <c r="AB125" s="233" t="str">
        <f t="shared" si="42"/>
        <v>-0.427434865003479+3.11946241244078i</v>
      </c>
      <c r="AC125" s="230">
        <f t="shared" si="43"/>
        <v>9.962378010813401</v>
      </c>
      <c r="AD125" s="233">
        <f t="shared" si="44"/>
        <v>97.802193530896176</v>
      </c>
      <c r="AE125" s="233" t="str">
        <f t="shared" si="45"/>
        <v>0.0278990573235671+2.12011875080786i</v>
      </c>
      <c r="AF125" s="230">
        <f t="shared" si="46"/>
        <v>6.5279557194444102</v>
      </c>
      <c r="AG125" s="233">
        <f t="shared" si="47"/>
        <v>89.246077146229567</v>
      </c>
      <c r="AI125" s="233" t="str">
        <f t="shared" si="48"/>
        <v>0.002-0.128086388038327i</v>
      </c>
      <c r="AJ125" s="233">
        <f t="shared" si="49"/>
        <v>0.33750000000000002</v>
      </c>
      <c r="AK125" s="233" t="str">
        <f t="shared" si="50"/>
        <v>0.15-126.421264993829i</v>
      </c>
      <c r="AL125" s="233" t="str">
        <f t="shared" si="51"/>
        <v>0.0437176625095849-0.110727160187146i</v>
      </c>
      <c r="AM125" s="233" t="str">
        <f t="shared" si="52"/>
        <v>0.366616010244066-0.00430946116669754i</v>
      </c>
      <c r="AN125" s="233" t="str">
        <f t="shared" si="53"/>
        <v>0.005+0.0791006165022012i</v>
      </c>
      <c r="AO125" s="233" t="str">
        <f t="shared" si="54"/>
        <v>0.72952642104818-1.5079627881819i</v>
      </c>
      <c r="AP125" s="233">
        <f t="shared" si="61"/>
        <v>4.4811251789469537</v>
      </c>
      <c r="AQ125" s="233">
        <f t="shared" si="62"/>
        <v>-64.183102641641952</v>
      </c>
      <c r="AS125" s="233" t="str">
        <f t="shared" si="55"/>
        <v>0.37801320963394-0.00458160728257332i</v>
      </c>
      <c r="AT125" s="233" t="str">
        <f t="shared" si="56"/>
        <v>0.729154432706758-1.51501738087345i</v>
      </c>
      <c r="AU125" s="233">
        <f t="shared" si="63"/>
        <v>4.5131718259411526</v>
      </c>
      <c r="AV125" s="233">
        <f t="shared" si="64"/>
        <v>-64.299207575920391</v>
      </c>
    </row>
    <row r="126" spans="6:48" x14ac:dyDescent="0.25">
      <c r="F126" s="233">
        <v>124</v>
      </c>
      <c r="G126" s="249">
        <f t="shared" si="33"/>
        <v>173.69682820947148</v>
      </c>
      <c r="H126" s="249">
        <f t="shared" si="34"/>
        <v>168.57881372500071</v>
      </c>
      <c r="I126" s="234">
        <f t="shared" si="35"/>
        <v>1</v>
      </c>
      <c r="J126" s="233">
        <f t="shared" si="57"/>
        <v>1</v>
      </c>
      <c r="K126" s="233">
        <f t="shared" si="58"/>
        <v>1</v>
      </c>
      <c r="L126" s="233">
        <f>10^('Small Signal'!F126/30)</f>
        <v>13593.563908785283</v>
      </c>
      <c r="M126" s="233" t="str">
        <f t="shared" si="36"/>
        <v>85410.8810238864i</v>
      </c>
      <c r="N126" s="233">
        <f>IF(D$31=1, IF(AND('Small Signal'!$B$61&gt;=1,FCCM=0),V126+0,S126+0), 0)</f>
        <v>4.0216785355128577</v>
      </c>
      <c r="O126" s="233">
        <f>IF(D$31=1, IF(AND('Small Signal'!$B$61&gt;=1,FCCM=0),W126,T126), 0)</f>
        <v>-67.221104949570702</v>
      </c>
      <c r="P126" s="233">
        <f>IF(AND('Small Signal'!$B$61&gt;=1,FCCM=0),AF126+0,AC126+0)</f>
        <v>9.4395292603330354</v>
      </c>
      <c r="Q126" s="233">
        <f>IF(AND('Small Signal'!$B$61&gt;=1,FCCM=0),AG126,AD126)</f>
        <v>96.333434037789289</v>
      </c>
      <c r="R126" s="233" t="str">
        <f>IMDIV(IMSUM('Small Signal'!$B$2*'Small Signal'!$B$38*'Small Signal'!$B$62,IMPRODUCT(M126,'Small Signal'!$B$2*'Small Signal'!$B$38*'Small Signal'!$B$62*'Small Signal'!$B$14*'Small Signal'!$B$15)),IMSUM(IMPRODUCT('Small Signal'!$B$12*'Small Signal'!$B$14*('Small Signal'!$B$15+'Small Signal'!$B$38),IMPOWER(M126,2)),IMSUM(IMPRODUCT(M126,('Small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0.615616419617191-1.40077819033441i</v>
      </c>
      <c r="S126" s="233">
        <f t="shared" si="59"/>
        <v>4.0216785355128577</v>
      </c>
      <c r="T126" s="233">
        <f t="shared" si="60"/>
        <v>-67.221104949570702</v>
      </c>
      <c r="U126" s="233" t="str">
        <f>IMDIV(IMSUM('Small Signal'!$B$74,IMPRODUCT(M126,'Small Signal'!$B$75)),IMSUM(IMPRODUCT('Small Signal'!$B$78,IMPOWER(M126,2)),IMSUM(IMPRODUCT(M126,'Small Signal'!$B$77),'Small Signal'!$B$76)))</f>
        <v>0.338905523517122-1.02782307059714i</v>
      </c>
      <c r="V126" s="233">
        <f t="shared" si="37"/>
        <v>0.68659696215807531</v>
      </c>
      <c r="W126" s="233">
        <f t="shared" si="38"/>
        <v>-71.750990296269293</v>
      </c>
      <c r="X126" s="233" t="str">
        <f>IMPRODUCT(IMDIV(IMSUM(IMPRODUCT(M126,'Small Signal'!$B$57*'Small Signal'!$B$6*'Small Signal'!$B$50*'Small Signal'!$B$7*'Small Signal'!$B$8),'Small Signal'!$B$57*'Small Signal'!$B$6*'Small Signal'!$B$50),IMSUM(IMSUM(IMPRODUCT(M126,('Small Signal'!$B$5+'Small Signal'!$B$6)*('Small Signal'!$B$56*'Small Signal'!$B$57)+'Small Signal'!$B$5*'Small Signal'!$B$57*('Small Signal'!$B$8+'Small Signal'!$B$9)+'Small Signal'!$B$6*'Small Signal'!$B$57*('Small Signal'!$B$8+'Small Signal'!$B$9)+'Small Signal'!$B$7*'Small Signal'!$B$8*('Small Signal'!$B$5+'Small Signal'!$B$6)),'Small Signal'!$B$6+'Small Signal'!$B$5),IMPRODUCT(IMPOWER(M126,2),'Small Signal'!$B$56*'Small Signal'!$B$57*'Small Signal'!$B$8*'Small Signal'!$B$7*('Small Signal'!$B$5+'Small Signal'!$B$6)+('Small Signal'!$B$5+'Small Signal'!$B$6)*('Small Signal'!$B$9*'Small Signal'!$B$8*'Small Signal'!$B$57*'Small Signal'!$B$7)))),-1)</f>
        <v>-1.71153757970763+0.68644933415953i</v>
      </c>
      <c r="Y126" s="233">
        <f t="shared" si="39"/>
        <v>5.417850724820191</v>
      </c>
      <c r="Z126" s="233">
        <f t="shared" si="40"/>
        <v>163.55453898735999</v>
      </c>
      <c r="AA126" s="233" t="str">
        <f t="shared" si="41"/>
        <v>1.00734535360896+0.0953794203766446i</v>
      </c>
      <c r="AB126" s="233" t="str">
        <f t="shared" si="42"/>
        <v>-0.327045581542143+2.94657659311389i</v>
      </c>
      <c r="AC126" s="230">
        <f t="shared" si="43"/>
        <v>9.4395292603330354</v>
      </c>
      <c r="AD126" s="233">
        <f t="shared" si="44"/>
        <v>96.333434037789289</v>
      </c>
      <c r="AE126" s="233" t="str">
        <f t="shared" si="45"/>
        <v>0.125498922975168+1.99179928157881i</v>
      </c>
      <c r="AF126" s="230">
        <f t="shared" si="46"/>
        <v>6.0021187193461465</v>
      </c>
      <c r="AG126" s="233">
        <f t="shared" si="47"/>
        <v>86.394684033523987</v>
      </c>
      <c r="AI126" s="233" t="str">
        <f t="shared" si="48"/>
        <v>0.002-0.118623202780666i</v>
      </c>
      <c r="AJ126" s="233">
        <f t="shared" si="49"/>
        <v>0.33750000000000002</v>
      </c>
      <c r="AK126" s="233" t="str">
        <f t="shared" si="50"/>
        <v>0.15-117.081101144518i</v>
      </c>
      <c r="AL126" s="233" t="str">
        <f t="shared" si="51"/>
        <v>0.0384238457055496-0.10439433909264i</v>
      </c>
      <c r="AM126" s="233" t="str">
        <f t="shared" si="52"/>
        <v>0.366607606967794-0.00465314247279509i</v>
      </c>
      <c r="AN126" s="233" t="str">
        <f t="shared" si="53"/>
        <v>0.005+0.0854108810238864i</v>
      </c>
      <c r="AO126" s="233" t="str">
        <f t="shared" si="54"/>
        <v>0.615166030229139-1.46493243332188i</v>
      </c>
      <c r="AP126" s="233">
        <f t="shared" si="61"/>
        <v>4.0216785355128577</v>
      </c>
      <c r="AQ126" s="233">
        <f t="shared" si="62"/>
        <v>-67.221104949570702</v>
      </c>
      <c r="AS126" s="233" t="str">
        <f t="shared" si="55"/>
        <v>0.378003997962231-0.00494698519297255i</v>
      </c>
      <c r="AT126" s="233" t="str">
        <f t="shared" si="56"/>
        <v>0.615327269402507-1.47047688187203i</v>
      </c>
      <c r="AU126" s="233">
        <f t="shared" si="63"/>
        <v>4.0499268522658074</v>
      </c>
      <c r="AV126" s="233">
        <f t="shared" si="64"/>
        <v>-67.292921561009962</v>
      </c>
    </row>
    <row r="127" spans="6:48" x14ac:dyDescent="0.25">
      <c r="F127" s="233">
        <v>125</v>
      </c>
      <c r="G127" s="249">
        <f t="shared" si="33"/>
        <v>174.09206050023028</v>
      </c>
      <c r="H127" s="249">
        <f t="shared" si="34"/>
        <v>168.57881372500071</v>
      </c>
      <c r="I127" s="234">
        <f t="shared" si="35"/>
        <v>1</v>
      </c>
      <c r="J127" s="233">
        <f t="shared" si="57"/>
        <v>1</v>
      </c>
      <c r="K127" s="233">
        <f t="shared" si="58"/>
        <v>1</v>
      </c>
      <c r="L127" s="233">
        <f>10^('Small Signal'!F127/30)</f>
        <v>14677.992676220729</v>
      </c>
      <c r="M127" s="233" t="str">
        <f t="shared" si="36"/>
        <v>92224.5479221197i</v>
      </c>
      <c r="N127" s="233">
        <f>IF(D$31=1, IF(AND('Small Signal'!$B$61&gt;=1,FCCM=0),V127+0,S127+0), 0)</f>
        <v>3.5341942773554571</v>
      </c>
      <c r="O127" s="233">
        <f>IF(D$31=1, IF(AND('Small Signal'!$B$61&gt;=1,FCCM=0),W127,T127), 0)</f>
        <v>-70.274482774636297</v>
      </c>
      <c r="P127" s="233">
        <f>IF(AND('Small Signal'!$B$61&gt;=1,FCCM=0),AF127+0,AC127+0)</f>
        <v>8.9004375308223942</v>
      </c>
      <c r="Q127" s="233">
        <f>IF(AND('Small Signal'!$B$61&gt;=1,FCCM=0),AG127,AD127)</f>
        <v>94.77890320345773</v>
      </c>
      <c r="R127" s="233" t="str">
        <f>IMDIV(IMSUM('Small Signal'!$B$2*'Small Signal'!$B$38*'Small Signal'!$B$62,IMPRODUCT(M127,'Small Signal'!$B$2*'Small Signal'!$B$38*'Small Signal'!$B$62*'Small Signal'!$B$14*'Small Signal'!$B$15)),IMSUM(IMPRODUCT('Small Signal'!$B$12*'Small Signal'!$B$14*('Small Signal'!$B$15+'Small Signal'!$B$38),IMPOWER(M127,2)),IMSUM(IMPRODUCT(M127,('Small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0.499235138966829-1.36397625736256i</v>
      </c>
      <c r="S127" s="233">
        <f t="shared" si="59"/>
        <v>3.5341942773554571</v>
      </c>
      <c r="T127" s="233">
        <f t="shared" si="60"/>
        <v>-70.274482774636297</v>
      </c>
      <c r="U127" s="233" t="str">
        <f>IMDIV(IMSUM('Small Signal'!$B$74,IMPRODUCT(M127,'Small Signal'!$B$75)),IMSUM(IMPRODUCT('Small Signal'!$B$78,IMPOWER(M127,2)),IMSUM(IMPRODUCT(M127,'Small Signal'!$B$77),'Small Signal'!$B$76)))</f>
        <v>0.249617993052409-0.991510861589674i</v>
      </c>
      <c r="V127" s="233">
        <f t="shared" si="37"/>
        <v>0.1928371344041421</v>
      </c>
      <c r="W127" s="233">
        <f t="shared" si="38"/>
        <v>-75.869146966651229</v>
      </c>
      <c r="X127" s="233" t="str">
        <f>IMPRODUCT(IMDIV(IMSUM(IMPRODUCT(M127,'Small Signal'!$B$57*'Small Signal'!$B$6*'Small Signal'!$B$50*'Small Signal'!$B$7*'Small Signal'!$B$8),'Small Signal'!$B$57*'Small Signal'!$B$6*'Small Signal'!$B$50),IMSUM(IMSUM(IMPRODUCT(M127,('Small Signal'!$B$5+'Small Signal'!$B$6)*('Small Signal'!$B$56*'Small Signal'!$B$57)+'Small Signal'!$B$5*'Small Signal'!$B$57*('Small Signal'!$B$8+'Small Signal'!$B$9)+'Small Signal'!$B$6*'Small Signal'!$B$57*('Small Signal'!$B$8+'Small Signal'!$B$9)+'Small Signal'!$B$7*'Small Signal'!$B$8*('Small Signal'!$B$5+'Small Signal'!$B$6)),'Small Signal'!$B$6+'Small Signal'!$B$5),IMPRODUCT(IMPOWER(M127,2),'Small Signal'!$B$56*'Small Signal'!$B$57*'Small Signal'!$B$8*'Small Signal'!$B$7*('Small Signal'!$B$5+'Small Signal'!$B$6)+('Small Signal'!$B$5+'Small Signal'!$B$6)*('Small Signal'!$B$9*'Small Signal'!$B$8*'Small Signal'!$B$57*'Small Signal'!$B$7)))),-1)</f>
        <v>-1.71071150053798+0.648864285830563i</v>
      </c>
      <c r="Y127" s="233">
        <f t="shared" si="39"/>
        <v>5.3662432534669504</v>
      </c>
      <c r="Z127" s="233">
        <f t="shared" si="40"/>
        <v>165.05338597809398</v>
      </c>
      <c r="AA127" s="233" t="str">
        <f t="shared" si="41"/>
        <v>1.00855568430002+0.102887683377378i</v>
      </c>
      <c r="AB127" s="233" t="str">
        <f t="shared" si="42"/>
        <v>-0.232126011584428+2.77657536402273i</v>
      </c>
      <c r="AC127" s="230">
        <f t="shared" si="43"/>
        <v>8.9004375308223942</v>
      </c>
      <c r="AD127" s="233">
        <f t="shared" si="44"/>
        <v>94.77890320345773</v>
      </c>
      <c r="AE127" s="233" t="str">
        <f t="shared" si="45"/>
        <v>0.216331615642664+1.85815723462219i</v>
      </c>
      <c r="AF127" s="230">
        <f t="shared" si="46"/>
        <v>5.4401191455243314</v>
      </c>
      <c r="AG127" s="233">
        <f t="shared" si="47"/>
        <v>83.359367923785967</v>
      </c>
      <c r="AI127" s="233" t="str">
        <f t="shared" si="48"/>
        <v>0.002-0.109859169685795i</v>
      </c>
      <c r="AJ127" s="233">
        <f t="shared" si="49"/>
        <v>0.33750000000000002</v>
      </c>
      <c r="AK127" s="233" t="str">
        <f t="shared" si="50"/>
        <v>0.15-108.431000479879i</v>
      </c>
      <c r="AL127" s="233" t="str">
        <f t="shared" si="51"/>
        <v>0.0337289830181726-0.0981992523120996i</v>
      </c>
      <c r="AM127" s="233" t="str">
        <f t="shared" si="52"/>
        <v>0.366597809953358-0.00502421340106959i</v>
      </c>
      <c r="AN127" s="233" t="str">
        <f t="shared" si="53"/>
        <v>0.005+0.0922245479221197i</v>
      </c>
      <c r="AO127" s="233" t="str">
        <f t="shared" si="54"/>
        <v>0.506993244169691-1.41399264013009i</v>
      </c>
      <c r="AP127" s="233">
        <f t="shared" si="61"/>
        <v>3.5341942773554571</v>
      </c>
      <c r="AQ127" s="233">
        <f t="shared" si="62"/>
        <v>-70.274482774636297</v>
      </c>
      <c r="AS127" s="233" t="str">
        <f t="shared" si="55"/>
        <v>0.377993258508377-0.00534147997892595i</v>
      </c>
      <c r="AT127" s="233" t="str">
        <f t="shared" si="56"/>
        <v>0.507883701293173-1.41829190845614i</v>
      </c>
      <c r="AU127" s="233">
        <f t="shared" si="63"/>
        <v>3.5592976448236744</v>
      </c>
      <c r="AV127" s="233">
        <f t="shared" si="64"/>
        <v>-70.297791531002261</v>
      </c>
    </row>
    <row r="128" spans="6:48" x14ac:dyDescent="0.25">
      <c r="F128" s="233">
        <v>126</v>
      </c>
      <c r="G128" s="249">
        <f t="shared" si="33"/>
        <v>174.51554000638339</v>
      </c>
      <c r="H128" s="249">
        <f t="shared" si="34"/>
        <v>168.57881372500071</v>
      </c>
      <c r="I128" s="234">
        <f t="shared" si="35"/>
        <v>1</v>
      </c>
      <c r="J128" s="233">
        <f t="shared" si="57"/>
        <v>1</v>
      </c>
      <c r="K128" s="233">
        <f t="shared" si="58"/>
        <v>1</v>
      </c>
      <c r="L128" s="233">
        <f>10^('Small Signal'!F128/30)</f>
        <v>15848.931924611146</v>
      </c>
      <c r="M128" s="233" t="str">
        <f t="shared" si="36"/>
        <v>99581.7762032062i</v>
      </c>
      <c r="N128" s="233">
        <f>IF(D$31=1, IF(AND('Small Signal'!$B$61&gt;=1,FCCM=0),V128+0,S128+0), 0)</f>
        <v>3.0191400136533355</v>
      </c>
      <c r="O128" s="233">
        <f>IF(D$31=1, IF(AND('Small Signal'!$B$61&gt;=1,FCCM=0),W128,T128), 0)</f>
        <v>-73.337451599463591</v>
      </c>
      <c r="P128" s="233">
        <f>IF(AND('Small Signal'!$B$61&gt;=1,FCCM=0),AF128+0,AC128+0)</f>
        <v>8.3447492841550677</v>
      </c>
      <c r="Q128" s="233">
        <f>IF(AND('Small Signal'!$B$61&gt;=1,FCCM=0),AG128,AD128)</f>
        <v>93.146666591775144</v>
      </c>
      <c r="R128" s="233" t="str">
        <f>IMDIV(IMSUM('Small Signal'!$B$2*'Small Signal'!$B$38*'Small Signal'!$B$62,IMPRODUCT(M128,'Small Signal'!$B$2*'Small Signal'!$B$38*'Small Signal'!$B$62*'Small Signal'!$B$14*'Small Signal'!$B$15)),IMSUM(IMPRODUCT('Small Signal'!$B$12*'Small Signal'!$B$14*('Small Signal'!$B$15+'Small Signal'!$B$38),IMPOWER(M128,2)),IMSUM(IMPRODUCT(M128,('Small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0.388158621473169-1.31677357647991i</v>
      </c>
      <c r="S128" s="233">
        <f t="shared" si="59"/>
        <v>3.0191400136533355</v>
      </c>
      <c r="T128" s="233">
        <f t="shared" si="60"/>
        <v>-73.337451599463591</v>
      </c>
      <c r="U128" s="233" t="str">
        <f>IMDIV(IMSUM('Small Signal'!$B$74,IMPRODUCT(M128,'Small Signal'!$B$75)),IMSUM(IMPRODUCT('Small Signal'!$B$78,IMPOWER(M128,2)),IMSUM(IMPRODUCT(M128,'Small Signal'!$B$77),'Small Signal'!$B$76)))</f>
        <v>0.165962092822554-0.946244655066081i</v>
      </c>
      <c r="V128" s="233">
        <f t="shared" si="37"/>
        <v>-0.34834830419103358</v>
      </c>
      <c r="W128" s="233">
        <f t="shared" si="38"/>
        <v>-80.052060306554182</v>
      </c>
      <c r="X128" s="233" t="str">
        <f>IMPRODUCT(IMDIV(IMSUM(IMPRODUCT(M128,'Small Signal'!$B$57*'Small Signal'!$B$6*'Small Signal'!$B$50*'Small Signal'!$B$7*'Small Signal'!$B$8),'Small Signal'!$B$57*'Small Signal'!$B$6*'Small Signal'!$B$50),IMSUM(IMSUM(IMPRODUCT(M128,('Small Signal'!$B$5+'Small Signal'!$B$6)*('Small Signal'!$B$56*'Small Signal'!$B$57)+'Small Signal'!$B$5*'Small Signal'!$B$57*('Small Signal'!$B$8+'Small Signal'!$B$9)+'Small Signal'!$B$6*'Small Signal'!$B$57*('Small Signal'!$B$8+'Small Signal'!$B$9)+'Small Signal'!$B$7*'Small Signal'!$B$8*('Small Signal'!$B$5+'Small Signal'!$B$6)),'Small Signal'!$B$6+'Small Signal'!$B$5),IMPRODUCT(IMPOWER(M128,2),'Small Signal'!$B$56*'Small Signal'!$B$57*'Small Signal'!$B$8*'Small Signal'!$B$7*('Small Signal'!$B$5+'Small Signal'!$B$6)+('Small Signal'!$B$5+'Small Signal'!$B$6)*('Small Signal'!$B$9*'Small Signal'!$B$8*'Small Signal'!$B$57*'Small Signal'!$B$7)))),-1)</f>
        <v>-1.70978479452377+0.615090787073639i</v>
      </c>
      <c r="Y128" s="233">
        <f t="shared" si="39"/>
        <v>5.3256092705017428</v>
      </c>
      <c r="Z128" s="233">
        <f t="shared" si="40"/>
        <v>166.48411819123871</v>
      </c>
      <c r="AA128" s="233" t="str">
        <f t="shared" si="41"/>
        <v>1.00996384279113+0.11096912742317i</v>
      </c>
      <c r="AB128" s="233" t="str">
        <f t="shared" si="42"/>
        <v>-0.14346541575568+2.60964949781951i</v>
      </c>
      <c r="AC128" s="230">
        <f t="shared" si="43"/>
        <v>8.3447492841550677</v>
      </c>
      <c r="AD128" s="233">
        <f t="shared" si="44"/>
        <v>93.146666591775144</v>
      </c>
      <c r="AE128" s="233" t="str">
        <f t="shared" si="45"/>
        <v>0.298266906873474+1.71995647742999i</v>
      </c>
      <c r="AF128" s="230">
        <f t="shared" si="46"/>
        <v>4.8390287400900531</v>
      </c>
      <c r="AG128" s="233">
        <f t="shared" si="47"/>
        <v>80.161872263777667</v>
      </c>
      <c r="AI128" s="233" t="str">
        <f t="shared" si="48"/>
        <v>0.002-0.101742634502694i</v>
      </c>
      <c r="AJ128" s="233">
        <f t="shared" si="49"/>
        <v>0.33750000000000002</v>
      </c>
      <c r="AK128" s="233" t="str">
        <f t="shared" si="50"/>
        <v>0.15-100.419980254159i</v>
      </c>
      <c r="AL128" s="233" t="str">
        <f t="shared" si="51"/>
        <v>0.0295831878350864-0.0921853555662295i</v>
      </c>
      <c r="AM128" s="233" t="str">
        <f t="shared" si="52"/>
        <v>0.36658638813426-0.00542485181731339i</v>
      </c>
      <c r="AN128" s="233" t="str">
        <f t="shared" si="53"/>
        <v>0.005+0.0995817762032062i</v>
      </c>
      <c r="AO128" s="233" t="str">
        <f t="shared" si="54"/>
        <v>0.405916551967835-1.35621049089174i</v>
      </c>
      <c r="AP128" s="233">
        <f t="shared" si="61"/>
        <v>3.0191400136533355</v>
      </c>
      <c r="AQ128" s="233">
        <f t="shared" si="62"/>
        <v>-73.337451599463591</v>
      </c>
      <c r="AS128" s="233" t="str">
        <f t="shared" si="55"/>
        <v>0.377980737994946-0.00576740636748223i</v>
      </c>
      <c r="AT128" s="233" t="str">
        <f t="shared" si="56"/>
        <v>0.407666628413493-1.35955320269133i</v>
      </c>
      <c r="AU128" s="233">
        <f t="shared" si="63"/>
        <v>3.0418386942664863</v>
      </c>
      <c r="AV128" s="233">
        <f t="shared" si="64"/>
        <v>-73.30846294299927</v>
      </c>
    </row>
    <row r="129" spans="6:48" x14ac:dyDescent="0.25">
      <c r="F129" s="233">
        <v>127</v>
      </c>
      <c r="G129" s="249">
        <f t="shared" si="33"/>
        <v>174.96871477477666</v>
      </c>
      <c r="H129" s="249">
        <f t="shared" si="34"/>
        <v>168.57881372500071</v>
      </c>
      <c r="I129" s="234">
        <f t="shared" si="35"/>
        <v>1</v>
      </c>
      <c r="J129" s="233">
        <f t="shared" si="57"/>
        <v>1</v>
      </c>
      <c r="K129" s="233">
        <f t="shared" si="58"/>
        <v>1</v>
      </c>
      <c r="L129" s="233">
        <f>10^('Small Signal'!F129/30)</f>
        <v>17113.283041617826</v>
      </c>
      <c r="M129" s="233" t="str">
        <f t="shared" si="36"/>
        <v>107525.928564699i</v>
      </c>
      <c r="N129" s="233">
        <f>IF(D$31=1, IF(AND('Small Signal'!$B$61&gt;=1,FCCM=0),V129+0,S129+0), 0)</f>
        <v>2.4770368485024639</v>
      </c>
      <c r="O129" s="233">
        <f>IF(D$31=1, IF(AND('Small Signal'!$B$61&gt;=1,FCCM=0),W129,T129), 0)</f>
        <v>-76.405507718332785</v>
      </c>
      <c r="P129" s="233">
        <f>IF(AND('Small Signal'!$B$61&gt;=1,FCCM=0),AF129+0,AC129+0)</f>
        <v>7.7723048869149078</v>
      </c>
      <c r="Q129" s="233">
        <f>IF(AND('Small Signal'!$B$61&gt;=1,FCCM=0),AG129,AD129)</f>
        <v>91.443831606937408</v>
      </c>
      <c r="R129" s="233" t="str">
        <f>IMDIV(IMSUM('Small Signal'!$B$2*'Small Signal'!$B$38*'Small Signal'!$B$62,IMPRODUCT(M129,'Small Signal'!$B$2*'Small Signal'!$B$38*'Small Signal'!$B$62*'Small Signal'!$B$14*'Small Signal'!$B$15)),IMSUM(IMPRODUCT('Small Signal'!$B$12*'Small Signal'!$B$14*('Small Signal'!$B$15+'Small Signal'!$B$38),IMPOWER(M129,2)),IMSUM(IMPRODUCT(M129,('Small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0.284002293118516-1.26011658450854i</v>
      </c>
      <c r="S129" s="233">
        <f t="shared" si="59"/>
        <v>2.4770368485024639</v>
      </c>
      <c r="T129" s="233">
        <f t="shared" si="60"/>
        <v>-76.405507718332785</v>
      </c>
      <c r="U129" s="233" t="str">
        <f>IMDIV(IMSUM('Small Signal'!$B$74,IMPRODUCT(M129,'Small Signal'!$B$75)),IMSUM(IMPRODUCT('Small Signal'!$B$78,IMPOWER(M129,2)),IMSUM(IMPRODUCT(M129,'Small Signal'!$B$77),'Small Signal'!$B$76)))</f>
        <v>0.0895088930403621-0.89313328353595i</v>
      </c>
      <c r="V129" s="233">
        <f t="shared" si="37"/>
        <v>-0.93827227080387843</v>
      </c>
      <c r="W129" s="233">
        <f t="shared" si="38"/>
        <v>-84.276985592584126</v>
      </c>
      <c r="X129" s="233" t="str">
        <f>IMPRODUCT(IMDIV(IMSUM(IMPRODUCT(M129,'Small Signal'!$B$57*'Small Signal'!$B$6*'Small Signal'!$B$50*'Small Signal'!$B$7*'Small Signal'!$B$8),'Small Signal'!$B$57*'Small Signal'!$B$6*'Small Signal'!$B$50),IMSUM(IMSUM(IMPRODUCT(M129,('Small Signal'!$B$5+'Small Signal'!$B$6)*('Small Signal'!$B$56*'Small Signal'!$B$57)+'Small Signal'!$B$5*'Small Signal'!$B$57*('Small Signal'!$B$8+'Small Signal'!$B$9)+'Small Signal'!$B$6*'Small Signal'!$B$57*('Small Signal'!$B$8+'Small Signal'!$B$9)+'Small Signal'!$B$7*'Small Signal'!$B$8*('Small Signal'!$B$5+'Small Signal'!$B$6)),'Small Signal'!$B$6+'Small Signal'!$B$5),IMPRODUCT(IMPOWER(M129,2),'Small Signal'!$B$56*'Small Signal'!$B$57*'Small Signal'!$B$8*'Small Signal'!$B$7*('Small Signal'!$B$5+'Small Signal'!$B$6)+('Small Signal'!$B$5+'Small Signal'!$B$6)*('Small Signal'!$B$9*'Small Signal'!$B$8*'Small Signal'!$B$57*'Small Signal'!$B$7)))),-1)</f>
        <v>-1.70873595382457+0.584926512828018i</v>
      </c>
      <c r="Y129" s="233">
        <f t="shared" si="39"/>
        <v>5.2952680384124546</v>
      </c>
      <c r="Z129" s="233">
        <f t="shared" si="40"/>
        <v>167.84933932527019</v>
      </c>
      <c r="AA129" s="233" t="str">
        <f t="shared" si="41"/>
        <v>1.01160159336401+0.119662923923809i</v>
      </c>
      <c r="AB129" s="233" t="str">
        <f t="shared" si="42"/>
        <v>-0.0616542744560057+2.44611762450584i</v>
      </c>
      <c r="AC129" s="230">
        <f t="shared" si="43"/>
        <v>7.7723048869149078</v>
      </c>
      <c r="AD129" s="233">
        <f t="shared" si="44"/>
        <v>91.443831606937408</v>
      </c>
      <c r="AE129" s="233" t="str">
        <f t="shared" si="45"/>
        <v>0.369470273304216+1.57848507780847i</v>
      </c>
      <c r="AF129" s="230">
        <f t="shared" si="46"/>
        <v>4.1964575699947995</v>
      </c>
      <c r="AG129" s="233">
        <f t="shared" si="47"/>
        <v>76.826152810657831</v>
      </c>
      <c r="AI129" s="233" t="str">
        <f t="shared" si="48"/>
        <v>0.002-0.0942257592621069i</v>
      </c>
      <c r="AJ129" s="233">
        <f t="shared" si="49"/>
        <v>0.33750000000000002</v>
      </c>
      <c r="AK129" s="233" t="str">
        <f t="shared" si="50"/>
        <v>0.15-93.0008243916995i</v>
      </c>
      <c r="AL129" s="233" t="str">
        <f t="shared" si="51"/>
        <v>0.0259361361156277-0.0863857891747785i</v>
      </c>
      <c r="AM129" s="233" t="str">
        <f t="shared" si="52"/>
        <v>0.366573072169498-0.00585740747815426i</v>
      </c>
      <c r="AN129" s="233" t="str">
        <f t="shared" si="53"/>
        <v>0.005+0.107525928564699i</v>
      </c>
      <c r="AO129" s="233" t="str">
        <f t="shared" si="54"/>
        <v>0.312614888782219-1.29273878738392i</v>
      </c>
      <c r="AP129" s="233">
        <f t="shared" si="61"/>
        <v>2.4770368485024639</v>
      </c>
      <c r="AQ129" s="233">
        <f t="shared" si="62"/>
        <v>-76.405507718332785</v>
      </c>
      <c r="AS129" s="233" t="str">
        <f t="shared" si="55"/>
        <v>0.37796614119528-0.00622726165397645i</v>
      </c>
      <c r="AT129" s="233" t="str">
        <f t="shared" si="56"/>
        <v>0.315288287977922-1.29542073251305i</v>
      </c>
      <c r="AU129" s="233">
        <f t="shared" si="63"/>
        <v>2.4981488168299211</v>
      </c>
      <c r="AV129" s="233">
        <f t="shared" si="64"/>
        <v>-76.32092818749615</v>
      </c>
    </row>
    <row r="130" spans="6:48" x14ac:dyDescent="0.25">
      <c r="F130" s="233">
        <v>128</v>
      </c>
      <c r="G130" s="249">
        <f t="shared" ref="G130:G193" si="65">DEGREES((ATAN(10)+ATAN(L130/(fsw/6))-ATAN(L130/(fsw/6*Vo_ss/Vref))-ATAN(MAX(1/10,L130/(fsw/2)))))+90</f>
        <v>175.45295960253276</v>
      </c>
      <c r="H130" s="249">
        <f t="shared" ref="H130:H193" si="66">DEGREES((ATAN(10)-ATAN(MAX(1/10,L130/(fsw/2)))))+90</f>
        <v>168.57881372500071</v>
      </c>
      <c r="I130" s="234">
        <f t="shared" ref="I130:I193" si="67">IF(fz_cff&gt;fsw/4,IF(AV130+H130&gt;65,1,0),IF(AV130+G130&gt;65,1,0))</f>
        <v>1</v>
      </c>
      <c r="J130" s="233">
        <f t="shared" si="57"/>
        <v>1</v>
      </c>
      <c r="K130" s="233">
        <f t="shared" si="58"/>
        <v>1</v>
      </c>
      <c r="L130" s="233">
        <f>10^('Small Signal'!F130/30)</f>
        <v>18478.497974222933</v>
      </c>
      <c r="M130" s="233" t="str">
        <f t="shared" ref="M130:M193" si="68">COMPLEX(0,L130*2*PI())</f>
        <v>116103.826970385i</v>
      </c>
      <c r="N130" s="233">
        <f>IF(D$31=1, IF(AND('Small Signal'!$B$61&gt;=1,FCCM=0),V130+0,S130+0), 0)</f>
        <v>1.9084076715950942</v>
      </c>
      <c r="O130" s="233">
        <f>IF(D$31=1, IF(AND('Small Signal'!$B$61&gt;=1,FCCM=0),W130,T130), 0)</f>
        <v>-79.475397988806293</v>
      </c>
      <c r="P130" s="233">
        <f>IF(AND('Small Signal'!$B$61&gt;=1,FCCM=0),AF130+0,AC130+0)</f>
        <v>7.1830892174768257</v>
      </c>
      <c r="Q130" s="233">
        <f>IF(AND('Small Signal'!$B$61&gt;=1,FCCM=0),AG130,AD130)</f>
        <v>89.676401909828982</v>
      </c>
      <c r="R130" s="233" t="str">
        <f>IMDIV(IMSUM('Small Signal'!$B$2*'Small Signal'!$B$38*'Small Signal'!$B$62,IMPRODUCT(M130,'Small Signal'!$B$2*'Small Signal'!$B$38*'Small Signal'!$B$62*'Small Signal'!$B$14*'Small Signal'!$B$15)),IMSUM(IMPRODUCT('Small Signal'!$B$12*'Small Signal'!$B$14*('Small Signal'!$B$15+'Small Signal'!$B$38),IMPOWER(M130,2)),IMSUM(IMPRODUCT(M130,('Small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0.188158147975051-1.19524097515263i</v>
      </c>
      <c r="S130" s="233">
        <f t="shared" si="59"/>
        <v>1.9084076715950942</v>
      </c>
      <c r="T130" s="233">
        <f t="shared" si="60"/>
        <v>-79.475397988806293</v>
      </c>
      <c r="U130" s="233" t="str">
        <f>IMDIV(IMSUM('Small Signal'!$B$74,IMPRODUCT(M130,'Small Signal'!$B$75)),IMSUM(IMPRODUCT('Small Signal'!$B$78,IMPOWER(M130,2)),IMSUM(IMPRODUCT(M130,'Small Signal'!$B$77),'Small Signal'!$B$76)))</f>
        <v>0.0215397242585368-0.833618925271093i</v>
      </c>
      <c r="V130" s="233">
        <f t="shared" ref="V130:V193" si="69">20*LOG(IMABS(U130))</f>
        <v>-1.5777501119879209</v>
      </c>
      <c r="W130" s="233">
        <f t="shared" ref="W130:W193" si="70">(180/PI())*IMARGUMENT(U130)</f>
        <v>-88.519874357466875</v>
      </c>
      <c r="X130" s="233" t="str">
        <f>IMPRODUCT(IMDIV(IMSUM(IMPRODUCT(M130,'Small Signal'!$B$57*'Small Signal'!$B$6*'Small Signal'!$B$50*'Small Signal'!$B$7*'Small Signal'!$B$8),'Small Signal'!$B$57*'Small Signal'!$B$6*'Small Signal'!$B$50),IMSUM(IMSUM(IMPRODUCT(M130,('Small Signal'!$B$5+'Small Signal'!$B$6)*('Small Signal'!$B$56*'Small Signal'!$B$57)+'Small Signal'!$B$5*'Small Signal'!$B$57*('Small Signal'!$B$8+'Small Signal'!$B$9)+'Small Signal'!$B$6*'Small Signal'!$B$57*('Small Signal'!$B$8+'Small Signal'!$B$9)+'Small Signal'!$B$7*'Small Signal'!$B$8*('Small Signal'!$B$5+'Small Signal'!$B$6)),'Small Signal'!$B$6+'Small Signal'!$B$5),IMPRODUCT(IMPOWER(M130,2),'Small Signal'!$B$56*'Small Signal'!$B$57*'Small Signal'!$B$8*'Small Signal'!$B$7*('Small Signal'!$B$5+'Small Signal'!$B$6)+('Small Signal'!$B$5+'Small Signal'!$B$6)*('Small Signal'!$B$9*'Small Signal'!$B$8*'Small Signal'!$B$57*'Small Signal'!$B$7)))),-1)</f>
        <v>-1.70754071954793+0.558189571240686i</v>
      </c>
      <c r="Y130" s="233">
        <f t="shared" ref="Y130:Y193" si="71">IF(D$32=1, 20*LOG(IMABS(AA130))+20*LOG(IMABS(X130)), 0)</f>
        <v>5.2746815458817133</v>
      </c>
      <c r="Z130" s="233">
        <f t="shared" ref="Z130:Z193" si="72">IF(D$32=1, (180/PI())*IMARGUMENT(AA130)+(180/PI())*IMARGUMENT(X130), 0)</f>
        <v>169.15179989863529</v>
      </c>
      <c r="AA130" s="233" t="str">
        <f t="shared" ref="AA130:AA193" si="73">IMDIV(COMPLEX(1,IMABS(M130)/(2*PI()*fz_cff)),COMPLEX(1,IMABS(M130)/(2*PI()*fp_cff)))</f>
        <v>1.01350559822365+0.129009729186683i</v>
      </c>
      <c r="AB130" s="233" t="str">
        <f t="shared" ref="AB130:AB193" si="74">IMPRODUCT(AO130,X130,AA130)</f>
        <v>0.0129132473347937+2.28637537627986i</v>
      </c>
      <c r="AC130" s="230">
        <f t="shared" ref="AC130:AC193" si="75">20*LOG(IMABS(AB130))</f>
        <v>7.1830892174768257</v>
      </c>
      <c r="AD130" s="233">
        <f t="shared" ref="AD130:AD193" si="76">(180/PI())*IMARGUMENT(AB130)</f>
        <v>89.676401909828982</v>
      </c>
      <c r="AE130" s="233" t="str">
        <f t="shared" ref="AE130:AE193" si="77">IMPRODUCT(U130,X130)</f>
        <v>0.428537434215907+1.43546150893469i</v>
      </c>
      <c r="AF130" s="230">
        <f t="shared" ref="AF130:AF193" si="78">20*LOG(IMABS(AE130))</f>
        <v>3.5106041165704034</v>
      </c>
      <c r="AG130" s="233">
        <f t="shared" ref="AG130:AG193" si="79">(180/PI())*IMARGUMENT(AE130)</f>
        <v>73.377723584482951</v>
      </c>
      <c r="AI130" s="233" t="str">
        <f t="shared" ref="AI130:AI193" si="80">IMSUM(ESR_ss,IMDIV(1,IMPRODUCT(Co_ss,M130)))</f>
        <v>0.002-0.0872642403247928i</v>
      </c>
      <c r="AJ130" s="233">
        <f t="shared" ref="AJ130:AJ193" si="81">Ro</f>
        <v>0.33750000000000002</v>
      </c>
      <c r="AK130" s="233" t="str">
        <f t="shared" ref="AK130:AK193" si="82">IMSUM(ESR2_ss,IMDIV(1,IMPRODUCT(Co2_ss,M130)))</f>
        <v>0.15-86.1298052005705i</v>
      </c>
      <c r="AL130" s="233" t="str">
        <f t="shared" ref="AL130:AL193" si="83">IMDIV(1,(IMSUM(IMDIV(1,AI130),IMDIV(1,AJ130),IMDIV(1,AK130))))</f>
        <v>0.0227385415076604-0.0808245820763799i</v>
      </c>
      <c r="AM130" s="233" t="str">
        <f t="shared" ref="AM130:AM193" si="84">IMDIV(IMPRODUCT(Re,IMDIV(1,IMPRODUCT(Ce,M130))),IMSUM(Re,IMDIV(1,IMPRODUCT(Ce,M130))))</f>
        <v>0.366557548115819-0.00632441526566465i</v>
      </c>
      <c r="AN130" s="233" t="str">
        <f t="shared" ref="AN130:AN193" si="85">IMSUM(Rdc_ss,IMPRODUCT(Lo_ss,M130))</f>
        <v>0.005+0.116103826970385i</v>
      </c>
      <c r="AO130" s="233" t="str">
        <f t="shared" ref="AO130:AO193" si="86">IMDIV(IMPRODUCT(AL130,AM130),IMPRODUCT(Ri,IMSUM(AM130,AL130,AN130)))</f>
        <v>0.227540327822725-1.22476256278821i</v>
      </c>
      <c r="AP130" s="233">
        <f t="shared" si="61"/>
        <v>1.9084076715950942</v>
      </c>
      <c r="AQ130" s="233">
        <f t="shared" si="62"/>
        <v>-79.475397988806293</v>
      </c>
      <c r="AS130" s="233" t="str">
        <f t="shared" ref="AS130:AS193" si="87">IMDIV(IMPRODUCT(Re_vimax,IMDIV(1,IMPRODUCT(Ce,M130))),IMSUM(Re_vimax,IMDIV(1,IMPRODUCT(Ce,M130))))</f>
        <v>0.377949123999761-0.00672373972625413i</v>
      </c>
      <c r="AT130" s="233" t="str">
        <f t="shared" ref="AT130:AT193" si="88">IMDIV(IMPRODUCT(AL130,AS130),IMPRODUCT(Ri,IMSUM(AS130,AL130,AN130)))</f>
        <v>0.231137052158849-1.22707138043501i</v>
      </c>
      <c r="AU130" s="233">
        <f t="shared" si="63"/>
        <v>1.9288191294002541</v>
      </c>
      <c r="AV130" s="233">
        <f t="shared" si="64"/>
        <v>-79.332485786512891</v>
      </c>
    </row>
    <row r="131" spans="6:48" x14ac:dyDescent="0.25">
      <c r="F131" s="233">
        <v>129</v>
      </c>
      <c r="G131" s="249">
        <f t="shared" si="65"/>
        <v>175.96952984282865</v>
      </c>
      <c r="H131" s="249">
        <f t="shared" si="66"/>
        <v>168.57881372500071</v>
      </c>
      <c r="I131" s="234">
        <f t="shared" si="67"/>
        <v>1</v>
      </c>
      <c r="J131" s="233">
        <f t="shared" ref="J131:J194" si="89">IF(P131&gt;0,1,0)</f>
        <v>1</v>
      </c>
      <c r="K131" s="233">
        <f t="shared" ref="K131:K194" si="90">IF(Q131&gt;0,1,0)</f>
        <v>1</v>
      </c>
      <c r="L131" s="233">
        <f>10^('Small Signal'!F131/30)</f>
        <v>19952.623149688792</v>
      </c>
      <c r="M131" s="233" t="str">
        <f t="shared" si="68"/>
        <v>125366.028613816i</v>
      </c>
      <c r="N131" s="233">
        <f>IF(D$31=1, IF(AND('Small Signal'!$B$61&gt;=1,FCCM=0),V131+0,S131+0), 0)</f>
        <v>1.3137292024324161</v>
      </c>
      <c r="O131" s="233">
        <f>IF(D$31=1, IF(AND('Small Signal'!$B$61&gt;=1,FCCM=0),W131,T131), 0)</f>
        <v>-82.545004483119726</v>
      </c>
      <c r="P131" s="233">
        <f>IF(AND('Small Signal'!$B$61&gt;=1,FCCM=0),AF131+0,AC131+0)</f>
        <v>6.5771831614465706</v>
      </c>
      <c r="Q131" s="233">
        <f>IF(AND('Small Signal'!$B$61&gt;=1,FCCM=0),AG131,AD131)</f>
        <v>87.849222907722549</v>
      </c>
      <c r="R131" s="233" t="str">
        <f>IMDIV(IMSUM('Small Signal'!$B$2*'Small Signal'!$B$38*'Small Signal'!$B$62,IMPRODUCT(M131,'Small Signal'!$B$2*'Small Signal'!$B$38*'Small Signal'!$B$62*'Small Signal'!$B$14*'Small Signal'!$B$15)),IMSUM(IMPRODUCT('Small Signal'!$B$12*'Small Signal'!$B$14*('Small Signal'!$B$15+'Small Signal'!$B$38),IMPOWER(M131,2)),IMSUM(IMPRODUCT(M131,('Small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0.101736960152155-1.12360993545434i</v>
      </c>
      <c r="S131" s="233">
        <f t="shared" ref="S131:S194" si="91">AP131</f>
        <v>1.3137292024324161</v>
      </c>
      <c r="T131" s="233">
        <f t="shared" ref="T131:T194" si="92">AQ131</f>
        <v>-82.545004483119726</v>
      </c>
      <c r="U131" s="233" t="str">
        <f>IMDIV(IMSUM('Small Signal'!$B$74,IMPRODUCT(M131,'Small Signal'!$B$75)),IMSUM(IMPRODUCT('Small Signal'!$B$78,IMPOWER(M131,2)),IMSUM(IMPRODUCT(M131,'Small Signal'!$B$77),'Small Signal'!$B$76)))</f>
        <v>-0.0370366131486364-0.769385672893743i</v>
      </c>
      <c r="V131" s="233">
        <f t="shared" si="69"/>
        <v>-2.2670660229223403</v>
      </c>
      <c r="W131" s="233">
        <f t="shared" si="70"/>
        <v>-92.755971244285348</v>
      </c>
      <c r="X131" s="233" t="str">
        <f>IMPRODUCT(IMDIV(IMSUM(IMPRODUCT(M131,'Small Signal'!$B$57*'Small Signal'!$B$6*'Small Signal'!$B$50*'Small Signal'!$B$7*'Small Signal'!$B$8),'Small Signal'!$B$57*'Small Signal'!$B$6*'Small Signal'!$B$50),IMSUM(IMSUM(IMPRODUCT(M131,('Small Signal'!$B$5+'Small Signal'!$B$6)*('Small Signal'!$B$56*'Small Signal'!$B$57)+'Small Signal'!$B$5*'Small Signal'!$B$57*('Small Signal'!$B$8+'Small Signal'!$B$9)+'Small Signal'!$B$6*'Small Signal'!$B$57*('Small Signal'!$B$8+'Small Signal'!$B$9)+'Small Signal'!$B$7*'Small Signal'!$B$8*('Small Signal'!$B$5+'Small Signal'!$B$6)),'Small Signal'!$B$6+'Small Signal'!$B$5),IMPRODUCT(IMPOWER(M131,2),'Small Signal'!$B$56*'Small Signal'!$B$57*'Small Signal'!$B$8*'Small Signal'!$B$7*('Small Signal'!$B$5+'Small Signal'!$B$6)+('Small Signal'!$B$5+'Small Signal'!$B$6)*('Small Signal'!$B$9*'Small Signal'!$B$8*'Small Signal'!$B$57*'Small Signal'!$B$7)))),-1)</f>
        <v>-1.70617155601693+0.534717220196941i</v>
      </c>
      <c r="Y131" s="233">
        <f t="shared" si="71"/>
        <v>5.2634539590141474</v>
      </c>
      <c r="Z131" s="233">
        <f t="shared" si="72"/>
        <v>170.39422739084227</v>
      </c>
      <c r="AA131" s="233" t="str">
        <f t="shared" si="73"/>
        <v>1.01571810098356+0.139051404254579i</v>
      </c>
      <c r="AB131" s="233" t="str">
        <f t="shared" si="74"/>
        <v>0.0800257822654946+2.13085109174184i</v>
      </c>
      <c r="AC131" s="230">
        <f t="shared" si="75"/>
        <v>6.5771831614465706</v>
      </c>
      <c r="AD131" s="233">
        <f t="shared" si="76"/>
        <v>87.849222907722549</v>
      </c>
      <c r="AE131" s="233" t="str">
        <f t="shared" si="77"/>
        <v>0.474594584154501+1.2928998358699i</v>
      </c>
      <c r="AF131" s="230">
        <f t="shared" si="78"/>
        <v>2.780284108878643</v>
      </c>
      <c r="AG131" s="233">
        <f t="shared" si="79"/>
        <v>69.842944300789483</v>
      </c>
      <c r="AI131" s="233" t="str">
        <f t="shared" si="80"/>
        <v>0.002-0.0808170472607226i</v>
      </c>
      <c r="AJ131" s="233">
        <f t="shared" si="81"/>
        <v>0.33750000000000002</v>
      </c>
      <c r="AK131" s="233" t="str">
        <f t="shared" si="82"/>
        <v>0.15-79.7664256463329i</v>
      </c>
      <c r="AL131" s="233" t="str">
        <f t="shared" si="83"/>
        <v>0.0199432246815886-0.07551791679457i</v>
      </c>
      <c r="AM131" s="233" t="str">
        <f t="shared" si="84"/>
        <v>0.366539450058177-0.00682860935431418i</v>
      </c>
      <c r="AN131" s="233" t="str">
        <f t="shared" si="85"/>
        <v>0.005+0.125366028613816i</v>
      </c>
      <c r="AO131" s="233" t="str">
        <f t="shared" si="86"/>
        <v>0.150933314343191-1.1534527276365i</v>
      </c>
      <c r="AP131" s="233">
        <f t="shared" ref="AP131:AP194" si="93">20*LOG(IMABS(AO131))</f>
        <v>1.3137292024324161</v>
      </c>
      <c r="AQ131" s="233">
        <f t="shared" ref="AQ131:AQ194" si="94">(180/PI())*IMARGUMENT(AO131)</f>
        <v>-82.545004483119726</v>
      </c>
      <c r="AS131" s="233" t="str">
        <f t="shared" si="87"/>
        <v>0.377929285341113-0.00725974606819472i</v>
      </c>
      <c r="AT131" s="233" t="str">
        <f t="shared" si="88"/>
        <v>0.155395958619615-1.15565467855115i</v>
      </c>
      <c r="AU131" s="233">
        <f t="shared" ref="AU131:AU194" si="95">20*LOG(IMABS(AT131))</f>
        <v>1.3343851087830541</v>
      </c>
      <c r="AV131" s="233">
        <f t="shared" ref="AV131:AV194" si="96">(180/PI())*IMARGUMENT(AT131)</f>
        <v>-82.341617444958814</v>
      </c>
    </row>
    <row r="132" spans="6:48" x14ac:dyDescent="0.25">
      <c r="F132" s="233">
        <v>130</v>
      </c>
      <c r="G132" s="249">
        <f t="shared" si="65"/>
        <v>176.51950459396457</v>
      </c>
      <c r="H132" s="249">
        <f t="shared" si="66"/>
        <v>168.57881372500071</v>
      </c>
      <c r="I132" s="234">
        <f t="shared" si="67"/>
        <v>1</v>
      </c>
      <c r="J132" s="233">
        <f t="shared" si="89"/>
        <v>1</v>
      </c>
      <c r="K132" s="233">
        <f t="shared" si="90"/>
        <v>1</v>
      </c>
      <c r="L132" s="233">
        <f>10^('Small Signal'!F132/30)</f>
        <v>21544.346900318837</v>
      </c>
      <c r="M132" s="233" t="str">
        <f t="shared" si="68"/>
        <v>135367.123896863i</v>
      </c>
      <c r="N132" s="233">
        <f>IF(D$31=1, IF(AND('Small Signal'!$B$61&gt;=1,FCCM=0),V132+0,S132+0), 0)</f>
        <v>0.69339075868390432</v>
      </c>
      <c r="O132" s="233">
        <f>IF(D$31=1, IF(AND('Small Signal'!$B$61&gt;=1,FCCM=0),W132,T132), 0)</f>
        <v>-85.613155225094985</v>
      </c>
      <c r="P132" s="233">
        <f>IF(AND('Small Signal'!$B$61&gt;=1,FCCM=0),AF132+0,AC132+0)</f>
        <v>5.9547193649998817</v>
      </c>
      <c r="Q132" s="233">
        <f>IF(AND('Small Signal'!$B$61&gt;=1,FCCM=0),AG132,AD132)</f>
        <v>85.966005975409018</v>
      </c>
      <c r="R132" s="233" t="str">
        <f>IMDIV(IMSUM('Small Signal'!$B$2*'Small Signal'!$B$38*'Small Signal'!$B$62,IMPRODUCT(M132,'Small Signal'!$B$2*'Small Signal'!$B$38*'Small Signal'!$B$62*'Small Signal'!$B$14*'Small Signal'!$B$15)),IMSUM(IMPRODUCT('Small Signal'!$B$12*'Small Signal'!$B$14*('Small Signal'!$B$15+'Small Signal'!$B$38),IMPOWER(M132,2)),IMSUM(IMPRODUCT(M132,('Small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0.025529628354345-1.04684136738685i</v>
      </c>
      <c r="S132" s="233">
        <f t="shared" si="91"/>
        <v>0.69339075868390432</v>
      </c>
      <c r="T132" s="233">
        <f t="shared" si="92"/>
        <v>-85.613155225094985</v>
      </c>
      <c r="U132" s="233" t="str">
        <f>IMDIV(IMSUM('Small Signal'!$B$74,IMPRODUCT(M132,'Small Signal'!$B$75)),IMSUM(IMPRODUCT('Small Signal'!$B$78,IMPOWER(M132,2)),IMSUM(IMPRODUCT(M132,'Small Signal'!$B$77),'Small Signal'!$B$76)))</f>
        <v>-0.0857329872718376-0.702246157246447i</v>
      </c>
      <c r="V132" s="233">
        <f t="shared" si="69"/>
        <v>-3.0059608264046931</v>
      </c>
      <c r="W132" s="233">
        <f t="shared" si="70"/>
        <v>-96.960451004809471</v>
      </c>
      <c r="X132" s="233" t="str">
        <f>IMPRODUCT(IMDIV(IMSUM(IMPRODUCT(M132,'Small Signal'!$B$57*'Small Signal'!$B$6*'Small Signal'!$B$50*'Small Signal'!$B$7*'Small Signal'!$B$8),'Small Signal'!$B$57*'Small Signal'!$B$6*'Small Signal'!$B$50),IMSUM(IMSUM(IMPRODUCT(M132,('Small Signal'!$B$5+'Small Signal'!$B$6)*('Small Signal'!$B$56*'Small Signal'!$B$57)+'Small Signal'!$B$5*'Small Signal'!$B$57*('Small Signal'!$B$8+'Small Signal'!$B$9)+'Small Signal'!$B$6*'Small Signal'!$B$57*('Small Signal'!$B$8+'Small Signal'!$B$9)+'Small Signal'!$B$7*'Small Signal'!$B$8*('Small Signal'!$B$5+'Small Signal'!$B$6)),'Small Signal'!$B$6+'Small Signal'!$B$5),IMPRODUCT(IMPOWER(M132,2),'Small Signal'!$B$56*'Small Signal'!$B$57*'Small Signal'!$B$8*'Small Signal'!$B$7*('Small Signal'!$B$5+'Small Signal'!$B$6)+('Small Signal'!$B$5+'Small Signal'!$B$6)*('Small Signal'!$B$9*'Small Signal'!$B$8*'Small Signal'!$B$57*'Small Signal'!$B$7)))),-1)</f>
        <v>-1.70459706421063+0.514364644133283i</v>
      </c>
      <c r="Y132" s="233">
        <f t="shared" si="71"/>
        <v>5.2613286063159848</v>
      </c>
      <c r="Z132" s="233">
        <f t="shared" si="72"/>
        <v>171.57916120050399</v>
      </c>
      <c r="AA132" s="233" t="str">
        <f t="shared" si="73"/>
        <v>1.0182876797613+0.149830620891095i</v>
      </c>
      <c r="AB132" s="233" t="str">
        <f t="shared" si="74"/>
        <v>0.139633531588329+1.97997024271658i</v>
      </c>
      <c r="AC132" s="230">
        <f t="shared" si="75"/>
        <v>5.9547193649998817</v>
      </c>
      <c r="AD132" s="233">
        <f t="shared" si="76"/>
        <v>85.966005975409018</v>
      </c>
      <c r="AE132" s="233" t="str">
        <f t="shared" si="77"/>
        <v>0.507350793175616+1.15294872050693i</v>
      </c>
      <c r="AF132" s="230">
        <f t="shared" si="78"/>
        <v>2.0049361179272465</v>
      </c>
      <c r="AG132" s="233">
        <f t="shared" si="79"/>
        <v>66.24828408585627</v>
      </c>
      <c r="AI132" s="233" t="str">
        <f t="shared" si="80"/>
        <v>0.002-0.0748461810202249i</v>
      </c>
      <c r="AJ132" s="233">
        <f t="shared" si="81"/>
        <v>0.33750000000000002</v>
      </c>
      <c r="AK132" s="233" t="str">
        <f t="shared" si="82"/>
        <v>0.15-73.8731806669621i</v>
      </c>
      <c r="AL132" s="233" t="str">
        <f t="shared" si="83"/>
        <v>0.0175058354835781-0.0704753727051212i</v>
      </c>
      <c r="AM132" s="233" t="str">
        <f t="shared" si="84"/>
        <v>0.366518351528481-0.00737293835282654i</v>
      </c>
      <c r="AN132" s="233" t="str">
        <f t="shared" si="85"/>
        <v>0.005+0.135367123896863i</v>
      </c>
      <c r="AO132" s="233" t="str">
        <f t="shared" si="86"/>
        <v>0.0828466155325865-1.07992932822266i</v>
      </c>
      <c r="AP132" s="233">
        <f t="shared" si="93"/>
        <v>0.69339075868390432</v>
      </c>
      <c r="AQ132" s="233">
        <f t="shared" si="94"/>
        <v>-85.613155225094985</v>
      </c>
      <c r="AS132" s="233" t="str">
        <f t="shared" si="87"/>
        <v>0.377906157792793-0.00783841378471886i</v>
      </c>
      <c r="AT132" s="233" t="str">
        <f t="shared" si="88"/>
        <v>0.0880690314501334-1.08225868417015i</v>
      </c>
      <c r="AU132" s="233">
        <f t="shared" si="95"/>
        <v>0.71528544247990478</v>
      </c>
      <c r="AV132" s="233">
        <f t="shared" si="96"/>
        <v>-85.347794493363594</v>
      </c>
    </row>
    <row r="133" spans="6:48" x14ac:dyDescent="0.25">
      <c r="F133" s="233">
        <v>131</v>
      </c>
      <c r="G133" s="249">
        <f t="shared" si="65"/>
        <v>177.10371797549408</v>
      </c>
      <c r="H133" s="249">
        <f t="shared" si="66"/>
        <v>168.57881372500071</v>
      </c>
      <c r="I133" s="234">
        <f t="shared" si="67"/>
        <v>1</v>
      </c>
      <c r="J133" s="233">
        <f t="shared" si="89"/>
        <v>1</v>
      </c>
      <c r="K133" s="233">
        <f t="shared" si="90"/>
        <v>1</v>
      </c>
      <c r="L133" s="233">
        <f>10^('Small Signal'!F133/30)</f>
        <v>23263.050671536268</v>
      </c>
      <c r="M133" s="233" t="str">
        <f t="shared" si="68"/>
        <v>146166.058179571i</v>
      </c>
      <c r="N133" s="233">
        <f>IF(D$31=1, IF(AND('Small Signal'!$B$61&gt;=1,FCCM=0),V133+0,S133+0), 0)</f>
        <v>4.7662060557463852E-2</v>
      </c>
      <c r="O133" s="233">
        <f>IF(D$31=1, IF(AND('Small Signal'!$B$61&gt;=1,FCCM=0),W133,T133), 0)</f>
        <v>-88.679375789862291</v>
      </c>
      <c r="P133" s="233">
        <f>IF(AND('Small Signal'!$B$61&gt;=1,FCCM=0),AF133+0,AC133+0)</f>
        <v>5.3158447326884719</v>
      </c>
      <c r="Q133" s="233">
        <f>IF(AND('Small Signal'!$B$61&gt;=1,FCCM=0),AG133,AD133)</f>
        <v>84.029414839652219</v>
      </c>
      <c r="R133" s="233" t="str">
        <f>IMDIV(IMSUM('Small Signal'!$B$2*'Small Signal'!$B$38*'Small Signal'!$B$62,IMPRODUCT(M133,'Small Signal'!$B$2*'Small Signal'!$B$38*'Small Signal'!$B$62*'Small Signal'!$B$14*'Small Signal'!$B$15)),IMSUM(IMPRODUCT('Small Signal'!$B$12*'Small Signal'!$B$14*('Small Signal'!$B$15+'Small Signal'!$B$38),IMPOWER(M133,2)),IMSUM(IMPRODUCT(M133,('Small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-0.0400110112873912-0.966630291900702i</v>
      </c>
      <c r="S133" s="233">
        <f t="shared" si="91"/>
        <v>4.7662060557463852E-2</v>
      </c>
      <c r="T133" s="233">
        <f t="shared" si="92"/>
        <v>-88.679375789862291</v>
      </c>
      <c r="U133" s="233" t="str">
        <f>IMDIV(IMSUM('Small Signal'!$B$74,IMPRODUCT(M133,'Small Signal'!$B$75)),IMSUM(IMPRODUCT('Small Signal'!$B$78,IMPOWER(M133,2)),IMSUM(IMPRODUCT(M133,'Small Signal'!$B$77),'Small Signal'!$B$76)))</f>
        <v>-0.124493863910674-0.634020022609299i</v>
      </c>
      <c r="V133" s="233">
        <f t="shared" si="69"/>
        <v>-3.7936420950434782</v>
      </c>
      <c r="W133" s="233">
        <f t="shared" si="70"/>
        <v>-101.10905678840318</v>
      </c>
      <c r="X133" s="233" t="str">
        <f>IMPRODUCT(IMDIV(IMSUM(IMPRODUCT(M133,'Small Signal'!$B$57*'Small Signal'!$B$6*'Small Signal'!$B$50*'Small Signal'!$B$7*'Small Signal'!$B$8),'Small Signal'!$B$57*'Small Signal'!$B$6*'Small Signal'!$B$50),IMSUM(IMSUM(IMPRODUCT(M133,('Small Signal'!$B$5+'Small Signal'!$B$6)*('Small Signal'!$B$56*'Small Signal'!$B$57)+'Small Signal'!$B$5*'Small Signal'!$B$57*('Small Signal'!$B$8+'Small Signal'!$B$9)+'Small Signal'!$B$6*'Small Signal'!$B$57*('Small Signal'!$B$8+'Small Signal'!$B$9)+'Small Signal'!$B$7*'Small Signal'!$B$8*('Small Signal'!$B$5+'Small Signal'!$B$6)),'Small Signal'!$B$6+'Small Signal'!$B$5),IMPRODUCT(IMPOWER(M133,2),'Small Signal'!$B$56*'Small Signal'!$B$57*'Small Signal'!$B$8*'Small Signal'!$B$7*('Small Signal'!$B$5+'Small Signal'!$B$6)+('Small Signal'!$B$5+'Small Signal'!$B$6)*('Small Signal'!$B$9*'Small Signal'!$B$8*'Small Signal'!$B$57*'Small Signal'!$B$7)))),-1)</f>
        <v>-1.7027813262662+0.49700377140463i</v>
      </c>
      <c r="Y133" s="233">
        <f t="shared" si="71"/>
        <v>5.2681826721310125</v>
      </c>
      <c r="Z133" s="233">
        <f t="shared" si="72"/>
        <v>172.70879062951451</v>
      </c>
      <c r="AA133" s="233" t="str">
        <f t="shared" si="73"/>
        <v>1.0212700671676+0.161390326099392i</v>
      </c>
      <c r="AB133" s="233" t="str">
        <f t="shared" si="74"/>
        <v>0.19182279666215+1.83412935546386i</v>
      </c>
      <c r="AC133" s="230">
        <f t="shared" si="75"/>
        <v>5.3158447326884719</v>
      </c>
      <c r="AD133" s="233">
        <f t="shared" si="76"/>
        <v>84.029414839652219</v>
      </c>
      <c r="AE133" s="233" t="str">
        <f t="shared" si="77"/>
        <v>0.527096169084692+1.01772353509765i</v>
      </c>
      <c r="AF133" s="230">
        <f t="shared" si="78"/>
        <v>1.1846035115526785</v>
      </c>
      <c r="AG133" s="233">
        <f t="shared" si="79"/>
        <v>62.619599673435076</v>
      </c>
      <c r="AI133" s="233" t="str">
        <f t="shared" si="80"/>
        <v>0.002-0.0693164499717478i</v>
      </c>
      <c r="AJ133" s="233">
        <f t="shared" si="81"/>
        <v>0.33750000000000002</v>
      </c>
      <c r="AK133" s="233" t="str">
        <f t="shared" si="82"/>
        <v>0.15-68.4153361221152i</v>
      </c>
      <c r="AL133" s="233" t="str">
        <f t="shared" si="83"/>
        <v>0.0153852909873125-0.0657010924285384i</v>
      </c>
      <c r="AM133" s="233" t="str">
        <f t="shared" si="84"/>
        <v>0.366493755515501-0.00796058145873096i</v>
      </c>
      <c r="AN133" s="233" t="str">
        <f t="shared" si="85"/>
        <v>0.005+0.146166058179571i</v>
      </c>
      <c r="AO133" s="233" t="str">
        <f t="shared" si="86"/>
        <v>0.0231740142755056-1.0052352967589i</v>
      </c>
      <c r="AP133" s="233">
        <f t="shared" si="93"/>
        <v>4.7662060557463852E-2</v>
      </c>
      <c r="AQ133" s="233">
        <f t="shared" si="94"/>
        <v>-88.679375789862291</v>
      </c>
      <c r="AS133" s="233" t="str">
        <f t="shared" si="87"/>
        <v>0.377879196624904-0.00846312068461037i</v>
      </c>
      <c r="AT133" s="233" t="str">
        <f t="shared" si="88"/>
        <v>0.0290114533549389-1.00788653830252i</v>
      </c>
      <c r="AU133" s="233">
        <f t="shared" si="95"/>
        <v>7.1829724816850668E-2</v>
      </c>
      <c r="AV133" s="233">
        <f t="shared" si="96"/>
        <v>-88.351228117805789</v>
      </c>
    </row>
    <row r="134" spans="6:48" x14ac:dyDescent="0.25">
      <c r="F134" s="233">
        <v>132</v>
      </c>
      <c r="G134" s="249">
        <f t="shared" si="65"/>
        <v>177.69570672120022</v>
      </c>
      <c r="H134" s="249">
        <f t="shared" si="66"/>
        <v>168.55184302202542</v>
      </c>
      <c r="I134" s="234">
        <f t="shared" si="67"/>
        <v>1</v>
      </c>
      <c r="J134" s="233">
        <f t="shared" si="89"/>
        <v>1</v>
      </c>
      <c r="K134" s="233">
        <f t="shared" si="90"/>
        <v>1</v>
      </c>
      <c r="L134" s="233">
        <f>10^('Small Signal'!F134/30)</f>
        <v>25118.86431509586</v>
      </c>
      <c r="M134" s="233" t="str">
        <f t="shared" si="68"/>
        <v>157826.479197648i</v>
      </c>
      <c r="N134" s="233">
        <f>IF(D$31=1, IF(AND('Small Signal'!$B$61&gt;=1,FCCM=0),V134+0,S134+0), 0)</f>
        <v>-0.62332828869583268</v>
      </c>
      <c r="O134" s="233">
        <f>IF(D$31=1, IF(AND('Small Signal'!$B$61&gt;=1,FCCM=0),W134,T134), 0)</f>
        <v>-91.743598659069917</v>
      </c>
      <c r="P134" s="233">
        <f>IF(AND('Small Signal'!$B$61&gt;=1,FCCM=0),AF134+0,AC134+0)</f>
        <v>4.6606912475540172</v>
      </c>
      <c r="Q134" s="233">
        <f>IF(AND('Small Signal'!$B$61&gt;=1,FCCM=0),AG134,AD134)</f>
        <v>82.041195332389321</v>
      </c>
      <c r="R134" s="233" t="str">
        <f>IMDIV(IMSUM('Small Signal'!$B$2*'Small Signal'!$B$38*'Small Signal'!$B$62,IMPRODUCT(M134,'Small Signal'!$B$2*'Small Signal'!$B$38*'Small Signal'!$B$62*'Small Signal'!$B$14*'Small Signal'!$B$15)),IMSUM(IMPRODUCT('Small Signal'!$B$12*'Small Signal'!$B$14*('Small Signal'!$B$15+'Small Signal'!$B$38),IMPOWER(M134,2)),IMSUM(IMPRODUCT(M134,('Small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-0.0947685149499699-0.884672217522056i</v>
      </c>
      <c r="S134" s="233">
        <f t="shared" si="91"/>
        <v>-0.62332828869583268</v>
      </c>
      <c r="T134" s="233">
        <f t="shared" si="92"/>
        <v>-91.743598659069917</v>
      </c>
      <c r="U134" s="233" t="str">
        <f>IMDIV(IMSUM('Small Signal'!$B$74,IMPRODUCT(M134,'Small Signal'!$B$75)),IMSUM(IMPRODUCT('Small Signal'!$B$78,IMPOWER(M134,2)),IMSUM(IMPRODUCT(M134,'Small Signal'!$B$77),'Small Signal'!$B$76)))</f>
        <v>-0.153666542063291-0.56641895704418i</v>
      </c>
      <c r="V134" s="233">
        <f t="shared" si="69"/>
        <v>-4.6288157640022094</v>
      </c>
      <c r="W134" s="233">
        <f t="shared" si="70"/>
        <v>-105.17870070741549</v>
      </c>
      <c r="X134" s="233" t="str">
        <f>IMPRODUCT(IMDIV(IMSUM(IMPRODUCT(M134,'Small Signal'!$B$57*'Small Signal'!$B$6*'Small Signal'!$B$50*'Small Signal'!$B$7*'Small Signal'!$B$8),'Small Signal'!$B$57*'Small Signal'!$B$6*'Small Signal'!$B$50),IMSUM(IMSUM(IMPRODUCT(M134,('Small Signal'!$B$5+'Small Signal'!$B$6)*('Small Signal'!$B$56*'Small Signal'!$B$57)+'Small Signal'!$B$5*'Small Signal'!$B$57*('Small Signal'!$B$8+'Small Signal'!$B$9)+'Small Signal'!$B$6*'Small Signal'!$B$57*('Small Signal'!$B$8+'Small Signal'!$B$9)+'Small Signal'!$B$7*'Small Signal'!$B$8*('Small Signal'!$B$5+'Small Signal'!$B$6)),'Small Signal'!$B$6+'Small Signal'!$B$5),IMPRODUCT(IMPOWER(M134,2),'Small Signal'!$B$56*'Small Signal'!$B$57*'Small Signal'!$B$8*'Small Signal'!$B$7*('Small Signal'!$B$5+'Small Signal'!$B$6)+('Small Signal'!$B$5+'Small Signal'!$B$6)*('Small Signal'!$B$9*'Small Signal'!$B$8*'Small Signal'!$B$57*'Small Signal'!$B$7)))),-1)</f>
        <v>-1.70068317324627+0.482522109947557i</v>
      </c>
      <c r="Y134" s="233">
        <f t="shared" si="71"/>
        <v>5.284019536249855</v>
      </c>
      <c r="Z134" s="233">
        <f t="shared" si="72"/>
        <v>173.78479399145928</v>
      </c>
      <c r="AA134" s="233" t="str">
        <f t="shared" si="73"/>
        <v>1.02472902970389+0.173773032757342i</v>
      </c>
      <c r="AB134" s="233" t="str">
        <f t="shared" si="74"/>
        <v>0.236789390549477+1.69367902034821i</v>
      </c>
      <c r="AC134" s="230">
        <f t="shared" si="75"/>
        <v>4.6606912475540172</v>
      </c>
      <c r="AD134" s="233">
        <f t="shared" si="76"/>
        <v>82.041195332389321</v>
      </c>
      <c r="AE134" s="233" t="str">
        <f t="shared" si="77"/>
        <v>0.534647772645232+0.889151685148015i</v>
      </c>
      <c r="AF134" s="230">
        <f t="shared" si="78"/>
        <v>0.31989407974198281</v>
      </c>
      <c r="AG134" s="233">
        <f t="shared" si="79"/>
        <v>58.981465945247685</v>
      </c>
      <c r="AI134" s="233" t="str">
        <f t="shared" si="80"/>
        <v>0.002-0.0641952624862381i</v>
      </c>
      <c r="AJ134" s="233">
        <f t="shared" si="81"/>
        <v>0.33750000000000002</v>
      </c>
      <c r="AK134" s="233" t="str">
        <f t="shared" si="82"/>
        <v>0.15-63.3607240739172i</v>
      </c>
      <c r="AL134" s="233" t="str">
        <f t="shared" si="83"/>
        <v>0.0135439903365743-0.0611948385409662i</v>
      </c>
      <c r="AM134" s="233" t="str">
        <f t="shared" si="84"/>
        <v>0.366465082837565-0.0085949656561605i</v>
      </c>
      <c r="AN134" s="233" t="str">
        <f t="shared" si="85"/>
        <v>0.005+0.157826479197648i</v>
      </c>
      <c r="AO134" s="233" t="str">
        <f t="shared" si="86"/>
        <v>-0.0283198171945104-0.930320217691484i</v>
      </c>
      <c r="AP134" s="233">
        <f t="shared" si="93"/>
        <v>-0.62332828869583268</v>
      </c>
      <c r="AQ134" s="233">
        <f t="shared" si="94"/>
        <v>-91.743598659069917</v>
      </c>
      <c r="AS134" s="233" t="str">
        <f t="shared" si="87"/>
        <v>0.377847767067959-0.00913750744880937i</v>
      </c>
      <c r="AT134" s="233" t="str">
        <f t="shared" si="88"/>
        <v>-0.0220398464779153-0.933442985144563i</v>
      </c>
      <c r="AU134" s="233">
        <f t="shared" si="95"/>
        <v>-0.59582357520249185</v>
      </c>
      <c r="AV134" s="233">
        <f t="shared" si="96"/>
        <v>-91.352579232101505</v>
      </c>
    </row>
    <row r="135" spans="6:48" x14ac:dyDescent="0.25">
      <c r="F135" s="233">
        <v>133</v>
      </c>
      <c r="G135" s="249">
        <f t="shared" si="65"/>
        <v>177.8952081456041</v>
      </c>
      <c r="H135" s="249">
        <f t="shared" si="66"/>
        <v>168.09755348592867</v>
      </c>
      <c r="I135" s="234">
        <f t="shared" si="67"/>
        <v>1</v>
      </c>
      <c r="J135" s="233">
        <f t="shared" si="89"/>
        <v>1</v>
      </c>
      <c r="K135" s="233">
        <f t="shared" si="90"/>
        <v>1</v>
      </c>
      <c r="L135" s="233">
        <f>10^('Small Signal'!F135/30)</f>
        <v>27122.725793320307</v>
      </c>
      <c r="M135" s="233" t="str">
        <f t="shared" si="68"/>
        <v>170417.112195251i</v>
      </c>
      <c r="N135" s="233">
        <f>IF(D$31=1, IF(AND('Small Signal'!$B$61&gt;=1,FCCM=0),V135+0,S135+0), 0)</f>
        <v>-1.3196026329721167</v>
      </c>
      <c r="O135" s="233">
        <f>IF(D$31=1, IF(AND('Small Signal'!$B$61&gt;=1,FCCM=0),W135,T135), 0)</f>
        <v>-94.805848274498402</v>
      </c>
      <c r="P135" s="233">
        <f>IF(AND('Small Signal'!$B$61&gt;=1,FCCM=0),AF135+0,AC135+0)</f>
        <v>3.9893558305220949</v>
      </c>
      <c r="Q135" s="233">
        <f>IF(AND('Small Signal'!$B$61&gt;=1,FCCM=0),AG135,AD135)</f>
        <v>80.002329079544097</v>
      </c>
      <c r="R135" s="233" t="str">
        <f>IMDIV(IMSUM('Small Signal'!$B$2*'Small Signal'!$B$38*'Small Signal'!$B$62,IMPRODUCT(M135,'Small Signal'!$B$2*'Small Signal'!$B$38*'Small Signal'!$B$62*'Small Signal'!$B$14*'Small Signal'!$B$15)),IMSUM(IMPRODUCT('Small Signal'!$B$12*'Small Signal'!$B$14*('Small Signal'!$B$15+'Small Signal'!$B$38),IMPOWER(M135,2)),IMSUM(IMPRODUCT(M135,('Small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-0.13894336851957-0.802592335756911i</v>
      </c>
      <c r="S135" s="233">
        <f t="shared" si="91"/>
        <v>-1.3196026329721167</v>
      </c>
      <c r="T135" s="233">
        <f t="shared" si="92"/>
        <v>-94.805848274498402</v>
      </c>
      <c r="U135" s="233" t="str">
        <f>IMDIV(IMSUM('Small Signal'!$B$74,IMPRODUCT(M135,'Small Signal'!$B$75)),IMSUM(IMPRODUCT('Small Signal'!$B$78,IMPOWER(M135,2)),IMSUM(IMPRODUCT(M135,'Small Signal'!$B$77),'Small Signal'!$B$76)))</f>
        <v>-0.17393993495271-0.50095112859972i</v>
      </c>
      <c r="V135" s="233">
        <f t="shared" si="69"/>
        <v>-5.5097366547427393</v>
      </c>
      <c r="W135" s="233">
        <f t="shared" si="70"/>
        <v>-109.14799158746708</v>
      </c>
      <c r="X135" s="233" t="str">
        <f>IMPRODUCT(IMDIV(IMSUM(IMPRODUCT(M135,'Small Signal'!$B$57*'Small Signal'!$B$6*'Small Signal'!$B$50*'Small Signal'!$B$7*'Small Signal'!$B$8),'Small Signal'!$B$57*'Small Signal'!$B$6*'Small Signal'!$B$50),IMSUM(IMSUM(IMPRODUCT(M135,('Small Signal'!$B$5+'Small Signal'!$B$6)*('Small Signal'!$B$56*'Small Signal'!$B$57)+'Small Signal'!$B$5*'Small Signal'!$B$57*('Small Signal'!$B$8+'Small Signal'!$B$9)+'Small Signal'!$B$6*'Small Signal'!$B$57*('Small Signal'!$B$8+'Small Signal'!$B$9)+'Small Signal'!$B$7*'Small Signal'!$B$8*('Small Signal'!$B$5+'Small Signal'!$B$6)),'Small Signal'!$B$6+'Small Signal'!$B$5),IMPRODUCT(IMPOWER(M135,2),'Small Signal'!$B$56*'Small Signal'!$B$57*'Small Signal'!$B$8*'Small Signal'!$B$7*('Small Signal'!$B$5+'Small Signal'!$B$6)+('Small Signal'!$B$5+'Small Signal'!$B$6)*('Small Signal'!$B$9*'Small Signal'!$B$8*'Small Signal'!$B$57*'Small Signal'!$B$7)))),-1)</f>
        <v>-1.69825536913902+0.470821575815854i</v>
      </c>
      <c r="Y135" s="233">
        <f t="shared" si="71"/>
        <v>5.3089584634941964</v>
      </c>
      <c r="Z135" s="233">
        <f t="shared" si="72"/>
        <v>174.8081773540425</v>
      </c>
      <c r="AA135" s="233" t="str">
        <f t="shared" si="73"/>
        <v>1.02873729240302+0.187019898978231i</v>
      </c>
      <c r="AB135" s="233" t="str">
        <f t="shared" si="74"/>
        <v>0.274813389182531+1.55891473846622i</v>
      </c>
      <c r="AC135" s="230">
        <f t="shared" si="75"/>
        <v>3.9893558305220949</v>
      </c>
      <c r="AD135" s="233">
        <f t="shared" si="76"/>
        <v>80.002329079544097</v>
      </c>
      <c r="AE135" s="233" t="str">
        <f t="shared" si="77"/>
        <v>0.531253028215182+0.768848269548984i</v>
      </c>
      <c r="AF135" s="230">
        <f t="shared" si="78"/>
        <v>-0.5880797492774319</v>
      </c>
      <c r="AG135" s="233">
        <f t="shared" si="79"/>
        <v>55.356592515623113</v>
      </c>
      <c r="AI135" s="233" t="str">
        <f t="shared" si="80"/>
        <v>0.002-0.059452434845649i</v>
      </c>
      <c r="AJ135" s="233">
        <f t="shared" si="81"/>
        <v>0.33750000000000002</v>
      </c>
      <c r="AK135" s="233" t="str">
        <f t="shared" si="82"/>
        <v>0.15-58.6795531926557i</v>
      </c>
      <c r="AL135" s="233" t="str">
        <f t="shared" si="83"/>
        <v>0.0119478611558717-0.0569529248464529i</v>
      </c>
      <c r="AM135" s="233" t="str">
        <f t="shared" si="84"/>
        <v>0.366431658613634-0.00927978397702951i</v>
      </c>
      <c r="AN135" s="233" t="str">
        <f t="shared" si="85"/>
        <v>0.005+0.170417112195251i</v>
      </c>
      <c r="AO135" s="233" t="str">
        <f t="shared" si="86"/>
        <v>-0.0719710644105714-0.856032660143199i</v>
      </c>
      <c r="AP135" s="233">
        <f t="shared" si="93"/>
        <v>-1.3196026329721167</v>
      </c>
      <c r="AQ135" s="233">
        <f t="shared" si="94"/>
        <v>-94.805848274498402</v>
      </c>
      <c r="AS135" s="233" t="str">
        <f t="shared" si="87"/>
        <v>0.377811129495583-0.00986549689953081i</v>
      </c>
      <c r="AT135" s="233" t="str">
        <f t="shared" si="88"/>
        <v>-0.0654378233829566-0.85972925874513i</v>
      </c>
      <c r="AU135" s="233">
        <f t="shared" si="95"/>
        <v>-1.2876779991167422</v>
      </c>
      <c r="AV135" s="233">
        <f t="shared" si="96"/>
        <v>-94.352644387011026</v>
      </c>
    </row>
    <row r="136" spans="6:48" x14ac:dyDescent="0.25">
      <c r="F136" s="233">
        <v>134</v>
      </c>
      <c r="G136" s="249">
        <f t="shared" si="65"/>
        <v>178.09373238635865</v>
      </c>
      <c r="H136" s="249">
        <f t="shared" si="66"/>
        <v>167.6079006174821</v>
      </c>
      <c r="I136" s="234">
        <f t="shared" si="67"/>
        <v>1</v>
      </c>
      <c r="J136" s="233">
        <f t="shared" si="89"/>
        <v>1</v>
      </c>
      <c r="K136" s="233">
        <f t="shared" si="90"/>
        <v>1</v>
      </c>
      <c r="L136" s="233">
        <f>10^('Small Signal'!F136/30)</f>
        <v>29286.445646252399</v>
      </c>
      <c r="M136" s="233" t="str">
        <f t="shared" si="68"/>
        <v>184012.164984047i</v>
      </c>
      <c r="N136" s="233">
        <f>IF(D$31=1, IF(AND('Small Signal'!$B$61&gt;=1,FCCM=0),V136+0,S136+0), 0)</f>
        <v>-2.0413319609385399</v>
      </c>
      <c r="O136" s="233">
        <f>IF(D$31=1, IF(AND('Small Signal'!$B$61&gt;=1,FCCM=0),W136,T136), 0)</f>
        <v>-97.865920147948856</v>
      </c>
      <c r="P136" s="233">
        <f>IF(AND('Small Signal'!$B$61&gt;=1,FCCM=0),AF136+0,AC136+0)</f>
        <v>3.3018891714107514</v>
      </c>
      <c r="Q136" s="233">
        <f>IF(AND('Small Signal'!$B$61&gt;=1,FCCM=0),AG136,AD136)</f>
        <v>77.913192216630208</v>
      </c>
      <c r="R136" s="233" t="str">
        <f>IMDIV(IMSUM('Small Signal'!$B$2*'Small Signal'!$B$38*'Small Signal'!$B$62,IMPRODUCT(M136,'Small Signal'!$B$2*'Small Signal'!$B$38*'Small Signal'!$B$62*'Small Signal'!$B$14*'Small Signal'!$B$15)),IMSUM(IMPRODUCT('Small Signal'!$B$12*'Small Signal'!$B$14*('Small Signal'!$B$15+'Small Signal'!$B$38),IMPOWER(M136,2)),IMSUM(IMPRODUCT(M136,('Small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-0.173018723089245-0.721884282833474i</v>
      </c>
      <c r="S136" s="233">
        <f t="shared" si="91"/>
        <v>-2.0413319609385399</v>
      </c>
      <c r="T136" s="233">
        <f t="shared" si="92"/>
        <v>-97.865920147948856</v>
      </c>
      <c r="U136" s="233" t="str">
        <f>IMDIV(IMSUM('Small Signal'!$B$74,IMPRODUCT(M136,'Small Signal'!$B$75)),IMSUM(IMPRODUCT('Small Signal'!$B$78,IMPOWER(M136,2)),IMSUM(IMPRODUCT(M136,'Small Signal'!$B$77),'Small Signal'!$B$76)))</f>
        <v>-0.186261273074438-0.438853844721743i</v>
      </c>
      <c r="V136" s="233">
        <f t="shared" si="69"/>
        <v>-6.4342739301122496</v>
      </c>
      <c r="W136" s="233">
        <f t="shared" si="70"/>
        <v>-112.99766222262349</v>
      </c>
      <c r="X136" s="233" t="str">
        <f>IMPRODUCT(IMDIV(IMSUM(IMPRODUCT(M136,'Small Signal'!$B$57*'Small Signal'!$B$6*'Small Signal'!$B$50*'Small Signal'!$B$7*'Small Signal'!$B$8),'Small Signal'!$B$57*'Small Signal'!$B$6*'Small Signal'!$B$50),IMSUM(IMSUM(IMPRODUCT(M136,('Small Signal'!$B$5+'Small Signal'!$B$6)*('Small Signal'!$B$56*'Small Signal'!$B$57)+'Small Signal'!$B$5*'Small Signal'!$B$57*('Small Signal'!$B$8+'Small Signal'!$B$9)+'Small Signal'!$B$6*'Small Signal'!$B$57*('Small Signal'!$B$8+'Small Signal'!$B$9)+'Small Signal'!$B$7*'Small Signal'!$B$8*('Small Signal'!$B$5+'Small Signal'!$B$6)),'Small Signal'!$B$6+'Small Signal'!$B$5),IMPRODUCT(IMPOWER(M136,2),'Small Signal'!$B$56*'Small Signal'!$B$57*'Small Signal'!$B$8*'Small Signal'!$B$7*('Small Signal'!$B$5+'Small Signal'!$B$6)+('Small Signal'!$B$5+'Small Signal'!$B$6)*('Small Signal'!$B$9*'Small Signal'!$B$8*'Small Signal'!$B$57*'Small Signal'!$B$7)))),-1)</f>
        <v>-1.69544370547786+0.461817285305958i</v>
      </c>
      <c r="Y136" s="233">
        <f t="shared" si="71"/>
        <v>5.3432211323492647</v>
      </c>
      <c r="Z136" s="233">
        <f t="shared" si="72"/>
        <v>175.77911236457902</v>
      </c>
      <c r="AA136" s="233" t="str">
        <f t="shared" si="73"/>
        <v>1.03337748545714+0.201169554023423i</v>
      </c>
      <c r="AB136" s="233" t="str">
        <f t="shared" si="74"/>
        <v>0.306236885590281+1.43007386889683i</v>
      </c>
      <c r="AC136" s="230">
        <f t="shared" si="75"/>
        <v>3.3018891714107514</v>
      </c>
      <c r="AD136" s="233">
        <f t="shared" si="76"/>
        <v>77.913192216630208</v>
      </c>
      <c r="AE136" s="233" t="str">
        <f t="shared" si="77"/>
        <v>0.518465794223826+0.658033313169369i</v>
      </c>
      <c r="AF136" s="230">
        <f t="shared" si="78"/>
        <v>-1.5377758829714581</v>
      </c>
      <c r="AG136" s="233">
        <f t="shared" si="79"/>
        <v>51.765352602526839</v>
      </c>
      <c r="AI136" s="233" t="str">
        <f t="shared" si="80"/>
        <v>0.002-0.0550600133434125i</v>
      </c>
      <c r="AJ136" s="233">
        <f t="shared" si="81"/>
        <v>0.33750000000000002</v>
      </c>
      <c r="AK136" s="233" t="str">
        <f t="shared" si="82"/>
        <v>0.15-54.344233169948i</v>
      </c>
      <c r="AL136" s="233" t="str">
        <f t="shared" si="83"/>
        <v>0.0105662843225507-0.0529690186494162i</v>
      </c>
      <c r="AM136" s="233" t="str">
        <f t="shared" si="84"/>
        <v>0.366392696527143-0.0100190148312121i</v>
      </c>
      <c r="AN136" s="233" t="str">
        <f t="shared" si="85"/>
        <v>0.005+0.184012164984047i</v>
      </c>
      <c r="AO136" s="233" t="str">
        <f t="shared" si="86"/>
        <v>-0.108192016927497-0.783119066360079i</v>
      </c>
      <c r="AP136" s="233">
        <f t="shared" si="93"/>
        <v>-2.0413319609385399</v>
      </c>
      <c r="AQ136" s="233">
        <f t="shared" si="94"/>
        <v>-97.865920147948856</v>
      </c>
      <c r="AS136" s="233" t="str">
        <f t="shared" si="87"/>
        <v>0.377768422192388-0.0106513143686053i</v>
      </c>
      <c r="AT136" s="233" t="str">
        <f t="shared" si="88"/>
        <v>-0.101600889891901-0.787444271423628i</v>
      </c>
      <c r="AU136" s="233">
        <f t="shared" si="95"/>
        <v>-2.0038984328714142</v>
      </c>
      <c r="AV136" s="233">
        <f t="shared" si="96"/>
        <v>-97.352034209244991</v>
      </c>
    </row>
    <row r="137" spans="6:48" x14ac:dyDescent="0.25">
      <c r="F137" s="233">
        <v>135</v>
      </c>
      <c r="G137" s="249">
        <f t="shared" si="65"/>
        <v>178.28758398279405</v>
      </c>
      <c r="H137" s="249">
        <f t="shared" si="66"/>
        <v>167.08028627581126</v>
      </c>
      <c r="I137" s="234">
        <f t="shared" si="67"/>
        <v>1</v>
      </c>
      <c r="J137" s="233">
        <f t="shared" si="89"/>
        <v>1</v>
      </c>
      <c r="K137" s="233">
        <f t="shared" si="90"/>
        <v>1</v>
      </c>
      <c r="L137" s="233">
        <f>10^('Small Signal'!F137/30)</f>
        <v>31622.77660168384</v>
      </c>
      <c r="M137" s="233" t="str">
        <f t="shared" si="68"/>
        <v>198691.765315922i</v>
      </c>
      <c r="N137" s="233">
        <f>IF(D$31=1, IF(AND('Small Signal'!$B$61&gt;=1,FCCM=0),V137+0,S137+0), 0)</f>
        <v>-2.7888215642028378</v>
      </c>
      <c r="O137" s="233">
        <f>IF(D$31=1, IF(AND('Small Signal'!$B$61&gt;=1,FCCM=0),W137,T137), 0)</f>
        <v>-100.92307246535285</v>
      </c>
      <c r="P137" s="233">
        <f>IF(AND('Small Signal'!$B$61&gt;=1,FCCM=0),AF137+0,AC137+0)</f>
        <v>2.5982927510383984</v>
      </c>
      <c r="Q137" s="233">
        <f>IF(AND('Small Signal'!$B$61&gt;=1,FCCM=0),AG137,AD137)</f>
        <v>75.77370161381883</v>
      </c>
      <c r="R137" s="233" t="str">
        <f>IMDIV(IMSUM('Small Signal'!$B$2*'Small Signal'!$B$38*'Small Signal'!$B$62,IMPRODUCT(M137,'Small Signal'!$B$2*'Small Signal'!$B$38*'Small Signal'!$B$62*'Small Signal'!$B$14*'Small Signal'!$B$15)),IMSUM(IMPRODUCT('Small Signal'!$B$12*'Small Signal'!$B$14*('Small Signal'!$B$15+'Small Signal'!$B$38),IMPOWER(M137,2)),IMSUM(IMPRODUCT(M137,('Small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-0.19771481700627-0.643861097833115i</v>
      </c>
      <c r="S137" s="233">
        <f t="shared" si="91"/>
        <v>-2.7888215642028378</v>
      </c>
      <c r="T137" s="233">
        <f t="shared" si="92"/>
        <v>-100.92307246535285</v>
      </c>
      <c r="U137" s="233" t="str">
        <f>IMDIV(IMSUM('Small Signal'!$B$74,IMPRODUCT(M137,'Small Signal'!$B$75)),IMSUM(IMPRODUCT('Small Signal'!$B$78,IMPOWER(M137,2)),IMSUM(IMPRODUCT(M137,'Small Signal'!$B$77),'Small Signal'!$B$76)))</f>
        <v>-0.191742929827773-0.381058127630601i</v>
      </c>
      <c r="V137" s="233">
        <f t="shared" si="69"/>
        <v>-7.3999865893017533</v>
      </c>
      <c r="W137" s="233">
        <f t="shared" si="70"/>
        <v>-116.71087825578995</v>
      </c>
      <c r="X137" s="233" t="str">
        <f>IMPRODUCT(IMDIV(IMSUM(IMPRODUCT(M137,'Small Signal'!$B$57*'Small Signal'!$B$6*'Small Signal'!$B$50*'Small Signal'!$B$7*'Small Signal'!$B$8),'Small Signal'!$B$57*'Small Signal'!$B$6*'Small Signal'!$B$50),IMSUM(IMSUM(IMPRODUCT(M137,('Small Signal'!$B$5+'Small Signal'!$B$6)*('Small Signal'!$B$56*'Small Signal'!$B$57)+'Small Signal'!$B$5*'Small Signal'!$B$57*('Small Signal'!$B$8+'Small Signal'!$B$9)+'Small Signal'!$B$6*'Small Signal'!$B$57*('Small Signal'!$B$8+'Small Signal'!$B$9)+'Small Signal'!$B$7*'Small Signal'!$B$8*('Small Signal'!$B$5+'Small Signal'!$B$6)),'Small Signal'!$B$6+'Small Signal'!$B$5),IMPRODUCT(IMPOWER(M137,2),'Small Signal'!$B$56*'Small Signal'!$B$57*'Small Signal'!$B$8*'Small Signal'!$B$7*('Small Signal'!$B$5+'Small Signal'!$B$6)+('Small Signal'!$B$5+'Small Signal'!$B$6)*('Small Signal'!$B$9*'Small Signal'!$B$8*'Small Signal'!$B$57*'Small Signal'!$B$7)))),-1)</f>
        <v>-1.6921860033139+0.455436276800589i</v>
      </c>
      <c r="Y137" s="233">
        <f t="shared" si="71"/>
        <v>5.3871143152412175</v>
      </c>
      <c r="Z137" s="233">
        <f t="shared" si="72"/>
        <v>176.69677407917166</v>
      </c>
      <c r="AA137" s="233" t="str">
        <f t="shared" si="73"/>
        <v>1.03874307752933+0.216256624583174i</v>
      </c>
      <c r="AB137" s="233" t="str">
        <f t="shared" si="74"/>
        <v>0.331445616756773+1.30733678226724i</v>
      </c>
      <c r="AC137" s="230">
        <f t="shared" si="75"/>
        <v>2.5982927510383984</v>
      </c>
      <c r="AD137" s="233">
        <f t="shared" si="76"/>
        <v>75.77370161381883</v>
      </c>
      <c r="AE137" s="233" t="str">
        <f t="shared" si="77"/>
        <v>0.498012396981641+0.557494543961907i</v>
      </c>
      <c r="AF137" s="230">
        <f t="shared" si="78"/>
        <v>-2.5273076813726609</v>
      </c>
      <c r="AG137" s="233">
        <f t="shared" si="79"/>
        <v>48.225440717740007</v>
      </c>
      <c r="AI137" s="233" t="str">
        <f t="shared" si="80"/>
        <v>0.002-0.0509921095283557i</v>
      </c>
      <c r="AJ137" s="233">
        <f t="shared" si="81"/>
        <v>0.33750000000000002</v>
      </c>
      <c r="AK137" s="233" t="str">
        <f t="shared" si="82"/>
        <v>0.15-50.329212104487i</v>
      </c>
      <c r="AL137" s="233" t="str">
        <f t="shared" si="83"/>
        <v>0.00937193545501115-0.0492348186015137i</v>
      </c>
      <c r="AM137" s="233" t="str">
        <f t="shared" si="84"/>
        <v>0.366347280529737-0.0108169423916008i</v>
      </c>
      <c r="AN137" s="233" t="str">
        <f t="shared" si="85"/>
        <v>0.005+0.198691765315922i</v>
      </c>
      <c r="AO137" s="233" t="str">
        <f t="shared" si="86"/>
        <v>-0.137450768622436-0.712227003173226i</v>
      </c>
      <c r="AP137" s="233">
        <f t="shared" si="93"/>
        <v>-2.7888215642028378</v>
      </c>
      <c r="AQ137" s="233">
        <f t="shared" si="94"/>
        <v>-100.92307246535285</v>
      </c>
      <c r="AS137" s="233" t="str">
        <f t="shared" si="87"/>
        <v>0.377718641321898-0.0114995091405404i</v>
      </c>
      <c r="AT137" s="233" t="str">
        <f t="shared" si="88"/>
        <v>-0.130993270899511-0.717189914238759i</v>
      </c>
      <c r="AU137" s="233">
        <f t="shared" si="95"/>
        <v>-2.7447989072282333</v>
      </c>
      <c r="AV137" s="233">
        <f t="shared" si="96"/>
        <v>-100.35086085828904</v>
      </c>
    </row>
    <row r="138" spans="6:48" x14ac:dyDescent="0.25">
      <c r="F138" s="233">
        <v>136</v>
      </c>
      <c r="G138" s="249">
        <f t="shared" si="65"/>
        <v>178.47213319258418</v>
      </c>
      <c r="H138" s="249">
        <f t="shared" si="66"/>
        <v>166.51196082356097</v>
      </c>
      <c r="I138" s="234">
        <f t="shared" si="67"/>
        <v>1</v>
      </c>
      <c r="J138" s="233">
        <f t="shared" si="89"/>
        <v>1</v>
      </c>
      <c r="K138" s="233">
        <f t="shared" si="90"/>
        <v>1</v>
      </c>
      <c r="L138" s="233">
        <f>10^('Small Signal'!F138/30)</f>
        <v>34145.488738336011</v>
      </c>
      <c r="M138" s="233" t="str">
        <f t="shared" si="68"/>
        <v>214542.433147179i</v>
      </c>
      <c r="N138" s="233">
        <f>IF(D$31=1, IF(AND('Small Signal'!$B$61&gt;=1,FCCM=0),V138+0,S138+0), 0)</f>
        <v>-3.5624852932347313</v>
      </c>
      <c r="O138" s="233">
        <f>IF(D$31=1, IF(AND('Small Signal'!$B$61&gt;=1,FCCM=0),W138,T138), 0)</f>
        <v>-103.97574844749329</v>
      </c>
      <c r="P138" s="233">
        <f>IF(AND('Small Signal'!$B$61&gt;=1,FCCM=0),AF138+0,AC138+0)</f>
        <v>1.8785226156852426</v>
      </c>
      <c r="Q138" s="233">
        <f>IF(AND('Small Signal'!$B$61&gt;=1,FCCM=0),AG138,AD138)</f>
        <v>73.583433260723424</v>
      </c>
      <c r="R138" s="233" t="str">
        <f>IMDIV(IMSUM('Small Signal'!$B$2*'Small Signal'!$B$38*'Small Signal'!$B$62,IMPRODUCT(M138,'Small Signal'!$B$2*'Small Signal'!$B$38*'Small Signal'!$B$62*'Small Signal'!$B$14*'Small Signal'!$B$15)),IMSUM(IMPRODUCT('Small Signal'!$B$12*'Small Signal'!$B$14*('Small Signal'!$B$15+'Small Signal'!$B$38),IMPOWER(M138,2)),IMSUM(IMPRODUCT(M138,('Small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-0.213935793184666-0.569620001208888i</v>
      </c>
      <c r="S138" s="233">
        <f t="shared" si="91"/>
        <v>-3.5624852932347313</v>
      </c>
      <c r="T138" s="233">
        <f t="shared" si="92"/>
        <v>-103.97574844749329</v>
      </c>
      <c r="U138" s="233" t="str">
        <f>IMDIV(IMSUM('Small Signal'!$B$74,IMPRODUCT(M138,'Small Signal'!$B$75)),IMSUM(IMPRODUCT('Small Signal'!$B$78,IMPOWER(M138,2)),IMSUM(IMPRODUCT(M138,'Small Signal'!$B$77),'Small Signal'!$B$76)))</f>
        <v>-0.191571023161406-0.328183905853247i</v>
      </c>
      <c r="V138" s="233">
        <f t="shared" si="69"/>
        <v>-8.4042037668970799</v>
      </c>
      <c r="W138" s="233">
        <f t="shared" si="70"/>
        <v>-120.27342159528703</v>
      </c>
      <c r="X138" s="233" t="str">
        <f>IMPRODUCT(IMDIV(IMSUM(IMPRODUCT(M138,'Small Signal'!$B$57*'Small Signal'!$B$6*'Small Signal'!$B$50*'Small Signal'!$B$7*'Small Signal'!$B$8),'Small Signal'!$B$57*'Small Signal'!$B$6*'Small Signal'!$B$50),IMSUM(IMSUM(IMPRODUCT(M138,('Small Signal'!$B$5+'Small Signal'!$B$6)*('Small Signal'!$B$56*'Small Signal'!$B$57)+'Small Signal'!$B$5*'Small Signal'!$B$57*('Small Signal'!$B$8+'Small Signal'!$B$9)+'Small Signal'!$B$6*'Small Signal'!$B$57*('Small Signal'!$B$8+'Small Signal'!$B$9)+'Small Signal'!$B$7*'Small Signal'!$B$8*('Small Signal'!$B$5+'Small Signal'!$B$6)),'Small Signal'!$B$6+'Small Signal'!$B$5),IMPRODUCT(IMPOWER(M138,2),'Small Signal'!$B$56*'Small Signal'!$B$57*'Small Signal'!$B$8*'Small Signal'!$B$7*('Small Signal'!$B$5+'Small Signal'!$B$6)+('Small Signal'!$B$5+'Small Signal'!$B$6)*('Small Signal'!$B$9*'Small Signal'!$B$8*'Small Signal'!$B$57*'Small Signal'!$B$7)))),-1)</f>
        <v>-1.68841102289783+0.451616123146018i</v>
      </c>
      <c r="Y138" s="233">
        <f t="shared" si="71"/>
        <v>5.4410079089199614</v>
      </c>
      <c r="Z138" s="233">
        <f t="shared" si="72"/>
        <v>177.55918170821673</v>
      </c>
      <c r="AA138" s="233" t="str">
        <f t="shared" si="73"/>
        <v>1.04493924490116+0.23230991288144i</v>
      </c>
      <c r="AB138" s="233" t="str">
        <f t="shared" si="74"/>
        <v>0.35085463430657+1.1908304294029i</v>
      </c>
      <c r="AC138" s="230">
        <f t="shared" si="75"/>
        <v>1.8785226156852426</v>
      </c>
      <c r="AD138" s="233">
        <f t="shared" si="76"/>
        <v>73.583433260723424</v>
      </c>
      <c r="AE138" s="233" t="str">
        <f t="shared" si="77"/>
        <v>0.471663770413895+0.467592761393016i</v>
      </c>
      <c r="AF138" s="230">
        <f t="shared" si="78"/>
        <v>-3.5545338919869653</v>
      </c>
      <c r="AG138" s="233">
        <f t="shared" si="79"/>
        <v>44.751665102400224</v>
      </c>
      <c r="AI138" s="233" t="str">
        <f t="shared" si="80"/>
        <v>0.002-0.0472247476210048i</v>
      </c>
      <c r="AJ138" s="233">
        <f t="shared" si="81"/>
        <v>0.33750000000000002</v>
      </c>
      <c r="AK138" s="233" t="str">
        <f t="shared" si="82"/>
        <v>0.15-46.6108259019318i</v>
      </c>
      <c r="AL138" s="233" t="str">
        <f t="shared" si="83"/>
        <v>0.00834057345577467-0.0457406176519971i</v>
      </c>
      <c r="AM138" s="233" t="str">
        <f t="shared" si="84"/>
        <v>0.36629434357831-0.011678177993535i</v>
      </c>
      <c r="AN138" s="233" t="str">
        <f t="shared" si="85"/>
        <v>0.005+0.214542433147179i</v>
      </c>
      <c r="AO138" s="233" t="str">
        <f t="shared" si="86"/>
        <v>-0.160255509968998-0.643910704418878i</v>
      </c>
      <c r="AP138" s="233">
        <f t="shared" si="93"/>
        <v>-3.5624852932347313</v>
      </c>
      <c r="AQ138" s="233">
        <f t="shared" si="94"/>
        <v>-103.97574844749329</v>
      </c>
      <c r="AS138" s="233" t="str">
        <f t="shared" si="87"/>
        <v>0.377660617651151-0.0124149769153653i</v>
      </c>
      <c r="AT138" s="233" t="str">
        <f t="shared" si="88"/>
        <v>-0.154110218090918-0.649478423681508i</v>
      </c>
      <c r="AU138" s="233">
        <f t="shared" si="95"/>
        <v>-3.510819307535467</v>
      </c>
      <c r="AV138" s="233">
        <f t="shared" si="96"/>
        <v>-103.3484509955522</v>
      </c>
    </row>
    <row r="139" spans="6:48" x14ac:dyDescent="0.25">
      <c r="F139" s="233">
        <v>137</v>
      </c>
      <c r="G139" s="249">
        <f t="shared" si="65"/>
        <v>178.64168150985222</v>
      </c>
      <c r="H139" s="249">
        <f t="shared" si="66"/>
        <v>165.90002459085073</v>
      </c>
      <c r="I139" s="234">
        <f t="shared" si="67"/>
        <v>1</v>
      </c>
      <c r="J139" s="233">
        <f t="shared" si="89"/>
        <v>1</v>
      </c>
      <c r="K139" s="233">
        <f t="shared" si="90"/>
        <v>1</v>
      </c>
      <c r="L139" s="233">
        <f>10^('Small Signal'!F139/30)</f>
        <v>36869.450645195764</v>
      </c>
      <c r="M139" s="233" t="str">
        <f t="shared" si="68"/>
        <v>231657.590577677i</v>
      </c>
      <c r="N139" s="233">
        <f>IF(D$31=1, IF(AND('Small Signal'!$B$61&gt;=1,FCCM=0),V139+0,S139+0), 0)</f>
        <v>-4.3628096373415932</v>
      </c>
      <c r="O139" s="233">
        <f>IF(D$31=1, IF(AND('Small Signal'!$B$61&gt;=1,FCCM=0),W139,T139), 0)</f>
        <v>-107.02134713366719</v>
      </c>
      <c r="P139" s="233">
        <f>IF(AND('Small Signal'!$B$61&gt;=1,FCCM=0),AF139+0,AC139+0)</f>
        <v>1.1424978540279378</v>
      </c>
      <c r="Q139" s="233">
        <f>IF(AND('Small Signal'!$B$61&gt;=1,FCCM=0),AG139,AD139)</f>
        <v>71.341700515439953</v>
      </c>
      <c r="R139" s="233" t="str">
        <f>IMDIV(IMSUM('Small Signal'!$B$2*'Small Signal'!$B$38*'Small Signal'!$B$62,IMPRODUCT(M139,'Small Signal'!$B$2*'Small Signal'!$B$38*'Small Signal'!$B$62*'Small Signal'!$B$14*'Small Signal'!$B$15)),IMSUM(IMPRODUCT('Small Signal'!$B$12*'Small Signal'!$B$14*('Small Signal'!$B$15+'Small Signal'!$B$38),IMPOWER(M139,2)),IMSUM(IMPRODUCT(M139,('Small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-0.222712676865204-0.500021701833853i</v>
      </c>
      <c r="S139" s="233">
        <f t="shared" si="91"/>
        <v>-4.3628096373415932</v>
      </c>
      <c r="T139" s="233">
        <f t="shared" si="92"/>
        <v>-107.02134713366719</v>
      </c>
      <c r="U139" s="233" t="str">
        <f>IMDIV(IMSUM('Small Signal'!$B$74,IMPRODUCT(M139,'Small Signal'!$B$75)),IMSUM(IMPRODUCT('Small Signal'!$B$78,IMPOWER(M139,2)),IMSUM(IMPRODUCT(M139,'Small Signal'!$B$77),'Small Signal'!$B$76)))</f>
        <v>-0.186925053286917-0.280560651154546i</v>
      </c>
      <c r="V139" s="233">
        <f t="shared" si="69"/>
        <v>-9.4441048112326502</v>
      </c>
      <c r="W139" s="233">
        <f t="shared" si="70"/>
        <v>-123.67375162488906</v>
      </c>
      <c r="X139" s="233" t="str">
        <f>IMPRODUCT(IMDIV(IMSUM(IMPRODUCT(M139,'Small Signal'!$B$57*'Small Signal'!$B$6*'Small Signal'!$B$50*'Small Signal'!$B$7*'Small Signal'!$B$8),'Small Signal'!$B$57*'Small Signal'!$B$6*'Small Signal'!$B$50),IMSUM(IMSUM(IMPRODUCT(M139,('Small Signal'!$B$5+'Small Signal'!$B$6)*('Small Signal'!$B$56*'Small Signal'!$B$57)+'Small Signal'!$B$5*'Small Signal'!$B$57*('Small Signal'!$B$8+'Small Signal'!$B$9)+'Small Signal'!$B$6*'Small Signal'!$B$57*('Small Signal'!$B$8+'Small Signal'!$B$9)+'Small Signal'!$B$7*'Small Signal'!$B$8*('Small Signal'!$B$5+'Small Signal'!$B$6)),'Small Signal'!$B$6+'Small Signal'!$B$5),IMPRODUCT(IMPOWER(M139,2),'Small Signal'!$B$56*'Small Signal'!$B$57*'Small Signal'!$B$8*'Small Signal'!$B$7*('Small Signal'!$B$5+'Small Signal'!$B$6)+('Small Signal'!$B$5+'Small Signal'!$B$6)*('Small Signal'!$B$9*'Small Signal'!$B$8*'Small Signal'!$B$57*'Small Signal'!$B$7)))),-1)</f>
        <v>-1.68403728676513+0.450303389419107i</v>
      </c>
      <c r="Y139" s="233">
        <f t="shared" si="71"/>
        <v>5.5053074913695399</v>
      </c>
      <c r="Z139" s="233">
        <f t="shared" si="72"/>
        <v>178.36304764910716</v>
      </c>
      <c r="AA139" s="233" t="str">
        <f t="shared" si="73"/>
        <v>1.05208360611477+0.249350178608741i</v>
      </c>
      <c r="AB139" s="233" t="str">
        <f t="shared" si="74"/>
        <v>0.364897641205641+1.08063282380589i</v>
      </c>
      <c r="AC139" s="230">
        <f t="shared" si="75"/>
        <v>1.1424978540279378</v>
      </c>
      <c r="AD139" s="233">
        <f t="shared" si="76"/>
        <v>71.341700515439953</v>
      </c>
      <c r="AE139" s="233" t="str">
        <f t="shared" si="77"/>
        <v>0.441126171718251+0.388301612680914i</v>
      </c>
      <c r="AF139" s="230">
        <f t="shared" si="78"/>
        <v>-4.6171483387568468</v>
      </c>
      <c r="AG139" s="233">
        <f t="shared" si="79"/>
        <v>41.355870732038994</v>
      </c>
      <c r="AI139" s="233" t="str">
        <f t="shared" si="80"/>
        <v>0.002-0.0437357232029683i</v>
      </c>
      <c r="AJ139" s="233">
        <f t="shared" si="81"/>
        <v>0.33750000000000002</v>
      </c>
      <c r="AK139" s="233" t="str">
        <f t="shared" si="82"/>
        <v>0.15-43.1671588013297i</v>
      </c>
      <c r="AL139" s="233" t="str">
        <f t="shared" si="83"/>
        <v>0.00745079933038331-0.0424757632313189i</v>
      </c>
      <c r="AM139" s="233" t="str">
        <f t="shared" si="84"/>
        <v>0.366232642937729-0.0126076824732621i</v>
      </c>
      <c r="AN139" s="233" t="str">
        <f t="shared" si="85"/>
        <v>0.005+0.231657590577677i</v>
      </c>
      <c r="AO139" s="233" t="str">
        <f t="shared" si="86"/>
        <v>-0.177142902937941-0.578637173939011i</v>
      </c>
      <c r="AP139" s="233">
        <f t="shared" si="93"/>
        <v>-4.3628096373415932</v>
      </c>
      <c r="AQ139" s="233">
        <f t="shared" si="94"/>
        <v>-107.02134713366719</v>
      </c>
      <c r="AS139" s="233" t="str">
        <f t="shared" si="87"/>
        <v>0.377592989522462-0.0134029831963365i</v>
      </c>
      <c r="AT139" s="233" t="str">
        <f t="shared" si="88"/>
        <v>-0.171467559486227-0.584740100589362i</v>
      </c>
      <c r="AU139" s="233">
        <f t="shared" si="95"/>
        <v>-4.3024919132100337</v>
      </c>
      <c r="AV139" s="233">
        <f t="shared" si="96"/>
        <v>-106.34310064021264</v>
      </c>
    </row>
    <row r="140" spans="6:48" x14ac:dyDescent="0.25">
      <c r="F140" s="233">
        <v>138</v>
      </c>
      <c r="G140" s="249">
        <f t="shared" si="65"/>
        <v>178.78933215437871</v>
      </c>
      <c r="H140" s="249">
        <f t="shared" si="66"/>
        <v>165.24143256663172</v>
      </c>
      <c r="I140" s="234">
        <f t="shared" si="67"/>
        <v>1</v>
      </c>
      <c r="J140" s="233">
        <f t="shared" si="89"/>
        <v>1</v>
      </c>
      <c r="K140" s="233">
        <f t="shared" si="90"/>
        <v>1</v>
      </c>
      <c r="L140" s="233">
        <f>10^('Small Signal'!F140/30)</f>
        <v>39810.717055349742</v>
      </c>
      <c r="M140" s="233" t="str">
        <f t="shared" si="68"/>
        <v>250138.112470457i</v>
      </c>
      <c r="N140" s="233">
        <f>IF(D$31=1, IF(AND('Small Signal'!$B$61&gt;=1,FCCM=0),V140+0,S140+0), 0)</f>
        <v>-5.1903095015100478</v>
      </c>
      <c r="O140" s="233">
        <f>IF(D$31=1, IF(AND('Small Signal'!$B$61&gt;=1,FCCM=0),W140,T140), 0)</f>
        <v>-110.05605887745133</v>
      </c>
      <c r="P140" s="233">
        <f>IF(AND('Small Signal'!$B$61&gt;=1,FCCM=0),AF140+0,AC140+0)</f>
        <v>0.39011118427209496</v>
      </c>
      <c r="Q140" s="233">
        <f>IF(AND('Small Signal'!$B$61&gt;=1,FCCM=0),AG140,AD140)</f>
        <v>69.047584095154448</v>
      </c>
      <c r="R140" s="233" t="str">
        <f>IMDIV(IMSUM('Small Signal'!$B$2*'Small Signal'!$B$38*'Small Signal'!$B$62,IMPRODUCT(M140,'Small Signal'!$B$2*'Small Signal'!$B$38*'Small Signal'!$B$62*'Small Signal'!$B$14*'Small Signal'!$B$15)),IMSUM(IMPRODUCT('Small Signal'!$B$12*'Small Signal'!$B$14*('Small Signal'!$B$15+'Small Signal'!$B$38),IMPOWER(M140,2)),IMSUM(IMPRODUCT(M140,('Small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-0.225146207265744-0.43568406066629i</v>
      </c>
      <c r="S140" s="233">
        <f t="shared" si="91"/>
        <v>-5.1903095015100478</v>
      </c>
      <c r="T140" s="233">
        <f t="shared" si="92"/>
        <v>-110.05605887745133</v>
      </c>
      <c r="U140" s="233" t="str">
        <f>IMDIV(IMSUM('Small Signal'!$B$74,IMPRODUCT(M140,'Small Signal'!$B$75)),IMSUM(IMPRODUCT('Small Signal'!$B$78,IMPOWER(M140,2)),IMSUM(IMPRODUCT(M140,'Small Signal'!$B$77),'Small Signal'!$B$76)))</f>
        <v>-0.178914449173841-0.238266069239292i</v>
      </c>
      <c r="V140" s="233">
        <f t="shared" si="69"/>
        <v>-10.516794789748076</v>
      </c>
      <c r="W140" s="233">
        <f t="shared" si="70"/>
        <v>-126.90295615235956</v>
      </c>
      <c r="X140" s="233" t="str">
        <f>IMPRODUCT(IMDIV(IMSUM(IMPRODUCT(M140,'Small Signal'!$B$57*'Small Signal'!$B$6*'Small Signal'!$B$50*'Small Signal'!$B$7*'Small Signal'!$B$8),'Small Signal'!$B$57*'Small Signal'!$B$6*'Small Signal'!$B$50),IMSUM(IMSUM(IMPRODUCT(M140,('Small Signal'!$B$5+'Small Signal'!$B$6)*('Small Signal'!$B$56*'Small Signal'!$B$57)+'Small Signal'!$B$5*'Small Signal'!$B$57*('Small Signal'!$B$8+'Small Signal'!$B$9)+'Small Signal'!$B$6*'Small Signal'!$B$57*('Small Signal'!$B$8+'Small Signal'!$B$9)+'Small Signal'!$B$7*'Small Signal'!$B$8*('Small Signal'!$B$5+'Small Signal'!$B$6)),'Small Signal'!$B$6+'Small Signal'!$B$5),IMPRODUCT(IMPOWER(M140,2),'Small Signal'!$B$56*'Small Signal'!$B$57*'Small Signal'!$B$8*'Small Signal'!$B$7*('Small Signal'!$B$5+'Small Signal'!$B$6)+('Small Signal'!$B$5+'Small Signal'!$B$6)*('Small Signal'!$B$9*'Small Signal'!$B$8*'Small Signal'!$B$57*'Small Signal'!$B$7)))),-1)</f>
        <v>-1.67897182950764+0.451451884526483i</v>
      </c>
      <c r="Y140" s="233">
        <f t="shared" si="71"/>
        <v>5.5804206857821468</v>
      </c>
      <c r="Z140" s="233">
        <f t="shared" si="72"/>
        <v>179.10364297260577</v>
      </c>
      <c r="AA140" s="233" t="str">
        <f t="shared" si="73"/>
        <v>1.06030672811058+0.267387481868115i</v>
      </c>
      <c r="AB140" s="233" t="str">
        <f t="shared" si="74"/>
        <v>0.37401924268341+0.976777343741412i</v>
      </c>
      <c r="AC140" s="230">
        <f t="shared" si="75"/>
        <v>0.39011118427209496</v>
      </c>
      <c r="AD140" s="233">
        <f t="shared" si="76"/>
        <v>69.047584095154448</v>
      </c>
      <c r="AE140" s="233" t="str">
        <f t="shared" si="77"/>
        <v>0.407957986031551+0.31927075293174i</v>
      </c>
      <c r="AF140" s="230">
        <f t="shared" si="78"/>
        <v>-5.7127650082750634</v>
      </c>
      <c r="AG140" s="233">
        <f t="shared" si="79"/>
        <v>38.046980308387461</v>
      </c>
      <c r="AI140" s="233" t="str">
        <f t="shared" si="80"/>
        <v>0.002-0.040504472346526i</v>
      </c>
      <c r="AJ140" s="233">
        <f t="shared" si="81"/>
        <v>0.33750000000000002</v>
      </c>
      <c r="AK140" s="233" t="str">
        <f t="shared" si="82"/>
        <v>0.15-39.9779142060212i</v>
      </c>
      <c r="AL140" s="233" t="str">
        <f t="shared" si="83"/>
        <v>0.00668380247975979-0.0394290277484438i</v>
      </c>
      <c r="AM140" s="233" t="str">
        <f t="shared" si="84"/>
        <v>0.366160731512795-0.0136107893246371i</v>
      </c>
      <c r="AN140" s="233" t="str">
        <f t="shared" si="85"/>
        <v>0.005+0.250138112470457i</v>
      </c>
      <c r="AO140" s="233" t="str">
        <f t="shared" si="86"/>
        <v>-0.188669583568936-0.516791602493965i</v>
      </c>
      <c r="AP140" s="233">
        <f t="shared" si="93"/>
        <v>-5.1903095015100478</v>
      </c>
      <c r="AQ140" s="233">
        <f t="shared" si="94"/>
        <v>-110.05605887745133</v>
      </c>
      <c r="AS140" s="233" t="str">
        <f t="shared" si="87"/>
        <v>0.377514171488572-0.0144691874555818i</v>
      </c>
      <c r="AT140" s="233" t="str">
        <f t="shared" si="88"/>
        <v>-0.183594640181923-0.523330117934774i</v>
      </c>
      <c r="AU140" s="233">
        <f t="shared" si="95"/>
        <v>-5.1203992465597423</v>
      </c>
      <c r="AV140" s="233">
        <f t="shared" si="96"/>
        <v>-109.33188768249286</v>
      </c>
    </row>
    <row r="141" spans="6:48" x14ac:dyDescent="0.25">
      <c r="F141" s="233">
        <v>139</v>
      </c>
      <c r="G141" s="249">
        <f t="shared" si="65"/>
        <v>178.90687584193171</v>
      </c>
      <c r="H141" s="249">
        <f t="shared" si="66"/>
        <v>164.53300320721169</v>
      </c>
      <c r="I141" s="234">
        <f t="shared" si="67"/>
        <v>1</v>
      </c>
      <c r="J141" s="233">
        <f t="shared" si="89"/>
        <v>0</v>
      </c>
      <c r="K141" s="233">
        <f t="shared" si="90"/>
        <v>1</v>
      </c>
      <c r="L141" s="233">
        <f>10^('Small Signal'!F141/30)</f>
        <v>42986.62347082288</v>
      </c>
      <c r="M141" s="233" t="str">
        <f t="shared" si="68"/>
        <v>270092.920997135i</v>
      </c>
      <c r="N141" s="233">
        <f>IF(D$31=1, IF(AND('Small Signal'!$B$61&gt;=1,FCCM=0),V141+0,S141+0), 0)</f>
        <v>-6.0454782287894639</v>
      </c>
      <c r="O141" s="233">
        <f>IF(D$31=1, IF(AND('Small Signal'!$B$61&gt;=1,FCCM=0),W141,T141), 0)</f>
        <v>-113.07477924317534</v>
      </c>
      <c r="P141" s="233">
        <f>IF(AND('Small Signal'!$B$61&gt;=1,FCCM=0),AF141+0,AC141+0)</f>
        <v>-0.37876135246461751</v>
      </c>
      <c r="Q141" s="233">
        <f>IF(AND('Small Signal'!$B$61&gt;=1,FCCM=0),AG141,AD141)</f>
        <v>66.699911183451775</v>
      </c>
      <c r="R141" s="233" t="str">
        <f>IMDIV(IMSUM('Small Signal'!$B$2*'Small Signal'!$B$38*'Small Signal'!$B$62,IMPRODUCT(M141,'Small Signal'!$B$2*'Small Signal'!$B$38*'Small Signal'!$B$62*'Small Signal'!$B$14*'Small Signal'!$B$15)),IMSUM(IMPRODUCT('Small Signal'!$B$12*'Small Signal'!$B$14*('Small Signal'!$B$15+'Small Signal'!$B$38),IMPOWER(M141,2)),IMSUM(IMPRODUCT(M141,('Small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-0.222352982350814-0.376989065481243i</v>
      </c>
      <c r="S141" s="233">
        <f t="shared" si="91"/>
        <v>-6.0454782287894639</v>
      </c>
      <c r="T141" s="233">
        <f t="shared" si="92"/>
        <v>-113.07477924317534</v>
      </c>
      <c r="U141" s="233" t="str">
        <f>IMDIV(IMSUM('Small Signal'!$B$74,IMPRODUCT(M141,'Small Signal'!$B$75)),IMSUM(IMPRODUCT('Small Signal'!$B$78,IMPOWER(M141,2)),IMSUM(IMPRODUCT(M141,'Small Signal'!$B$77),'Small Signal'!$B$76)))</f>
        <v>-0.168534393826415-0.201174913138058i</v>
      </c>
      <c r="V141" s="233">
        <f t="shared" si="69"/>
        <v>-11.619372053566387</v>
      </c>
      <c r="W141" s="233">
        <f t="shared" si="70"/>
        <v>-129.95461026633095</v>
      </c>
      <c r="X141" s="233" t="str">
        <f>IMPRODUCT(IMDIV(IMSUM(IMPRODUCT(M141,'Small Signal'!$B$57*'Small Signal'!$B$6*'Small Signal'!$B$50*'Small Signal'!$B$7*'Small Signal'!$B$8),'Small Signal'!$B$57*'Small Signal'!$B$6*'Small Signal'!$B$50),IMSUM(IMSUM(IMPRODUCT(M141,('Small Signal'!$B$5+'Small Signal'!$B$6)*('Small Signal'!$B$56*'Small Signal'!$B$57)+'Small Signal'!$B$5*'Small Signal'!$B$57*('Small Signal'!$B$8+'Small Signal'!$B$9)+'Small Signal'!$B$6*'Small Signal'!$B$57*('Small Signal'!$B$8+'Small Signal'!$B$9)+'Small Signal'!$B$7*'Small Signal'!$B$8*('Small Signal'!$B$5+'Small Signal'!$B$6)),'Small Signal'!$B$6+'Small Signal'!$B$5),IMPRODUCT(IMPOWER(M141,2),'Small Signal'!$B$56*'Small Signal'!$B$57*'Small Signal'!$B$8*'Small Signal'!$B$7*('Small Signal'!$B$5+'Small Signal'!$B$6)+('Small Signal'!$B$5+'Small Signal'!$B$6)*('Small Signal'!$B$9*'Small Signal'!$B$8*'Small Signal'!$B$57*'Small Signal'!$B$7)))),-1)</f>
        <v>-1.6731088979905+0.45502064857229i</v>
      </c>
      <c r="Y141" s="233">
        <f t="shared" si="71"/>
        <v>5.6667168763248528</v>
      </c>
      <c r="Z141" s="233">
        <f t="shared" si="72"/>
        <v>179.7746904266271</v>
      </c>
      <c r="AA141" s="233" t="str">
        <f t="shared" si="73"/>
        <v>1.06975228228091+0.286418056381562i</v>
      </c>
      <c r="AB141" s="233" t="str">
        <f t="shared" si="74"/>
        <v>0.378669168860926+0.879256221131162i</v>
      </c>
      <c r="AC141" s="230">
        <f t="shared" si="75"/>
        <v>-0.37876135246461751</v>
      </c>
      <c r="AD141" s="233">
        <f t="shared" si="76"/>
        <v>66.699911183451775</v>
      </c>
      <c r="AE141" s="233" t="str">
        <f t="shared" si="77"/>
        <v>0.373515133380963+0.259900908038118i</v>
      </c>
      <c r="AF141" s="230">
        <f t="shared" si="78"/>
        <v>-6.8389951816082553</v>
      </c>
      <c r="AG141" s="233">
        <f t="shared" si="79"/>
        <v>34.831134731765545</v>
      </c>
      <c r="AI141" s="233" t="str">
        <f t="shared" si="80"/>
        <v>0.002-0.0375119504130925i</v>
      </c>
      <c r="AJ141" s="233">
        <f t="shared" si="81"/>
        <v>0.33750000000000002</v>
      </c>
      <c r="AK141" s="233" t="str">
        <f t="shared" si="82"/>
        <v>0.15-37.0242950577223i</v>
      </c>
      <c r="AL141" s="233" t="str">
        <f t="shared" si="83"/>
        <v>0.00602310675359589-0.0365889023438249i</v>
      </c>
      <c r="AM141" s="233" t="str">
        <f t="shared" si="84"/>
        <v>0.36607692459585-0.0146932284944283i</v>
      </c>
      <c r="AN141" s="233" t="str">
        <f t="shared" si="85"/>
        <v>0.005+0.270092920997135i</v>
      </c>
      <c r="AO141" s="233" t="str">
        <f t="shared" si="86"/>
        <v>-0.19540560605964-0.458681406012946i</v>
      </c>
      <c r="AP141" s="233">
        <f t="shared" si="93"/>
        <v>-6.0454782287894639</v>
      </c>
      <c r="AQ141" s="233">
        <f t="shared" si="94"/>
        <v>-113.07477924317534</v>
      </c>
      <c r="AS141" s="233" t="str">
        <f t="shared" si="87"/>
        <v>0.377422317944252-0.0156196678636602i</v>
      </c>
      <c r="AT141" s="233" t="str">
        <f t="shared" si="88"/>
        <v>-0.191029476409666-0.465533666310288i</v>
      </c>
      <c r="AU141" s="233">
        <f t="shared" si="95"/>
        <v>-5.9651253433065055</v>
      </c>
      <c r="AV141" s="233">
        <f t="shared" si="96"/>
        <v>-112.31055625337925</v>
      </c>
    </row>
    <row r="142" spans="6:48" x14ac:dyDescent="0.25">
      <c r="F142" s="233">
        <v>140</v>
      </c>
      <c r="G142" s="249">
        <f t="shared" si="65"/>
        <v>178.9847048777437</v>
      </c>
      <c r="H142" s="249">
        <f t="shared" si="66"/>
        <v>163.77143241408402</v>
      </c>
      <c r="I142" s="234">
        <f t="shared" si="67"/>
        <v>0</v>
      </c>
      <c r="J142" s="233">
        <f t="shared" si="89"/>
        <v>0</v>
      </c>
      <c r="K142" s="233">
        <f t="shared" si="90"/>
        <v>1</v>
      </c>
      <c r="L142" s="233">
        <f>10^('Small Signal'!F142/30)</f>
        <v>46415.888336127835</v>
      </c>
      <c r="M142" s="233" t="str">
        <f t="shared" si="68"/>
        <v>291639.627613247i</v>
      </c>
      <c r="N142" s="233">
        <f>IF(D$31=1, IF(AND('Small Signal'!$B$61&gt;=1,FCCM=0),V142+0,S142+0), 0)</f>
        <v>-6.9287350479094325</v>
      </c>
      <c r="O142" s="233">
        <f>IF(D$31=1, IF(AND('Small Signal'!$B$61&gt;=1,FCCM=0),W142,T142), 0)</f>
        <v>-116.07111080695448</v>
      </c>
      <c r="P142" s="233">
        <f>IF(AND('Small Signal'!$B$61&gt;=1,FCCM=0),AF142+0,AC142+0)</f>
        <v>-1.1642547772155183</v>
      </c>
      <c r="Q142" s="233">
        <f>IF(AND('Small Signal'!$B$61&gt;=1,FCCM=0),AG142,AD142)</f>
        <v>64.297187848685866</v>
      </c>
      <c r="R142" s="233" t="str">
        <f>IMDIV(IMSUM('Small Signal'!$B$2*'Small Signal'!$B$38*'Small Signal'!$B$62,IMPRODUCT(M142,'Small Signal'!$B$2*'Small Signal'!$B$38*'Small Signal'!$B$62*'Small Signal'!$B$14*'Small Signal'!$B$15)),IMSUM(IMPRODUCT('Small Signal'!$B$12*'Small Signal'!$B$14*('Small Signal'!$B$15+'Small Signal'!$B$38),IMPOWER(M142,2)),IMSUM(IMPRODUCT(M142,('Small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-0.215417921428526-0.324101237821809i</v>
      </c>
      <c r="S142" s="233">
        <f t="shared" si="91"/>
        <v>-6.9287350479094325</v>
      </c>
      <c r="T142" s="233">
        <f t="shared" si="92"/>
        <v>-116.07111080695448</v>
      </c>
      <c r="U142" s="233" t="str">
        <f>IMDIV(IMSUM('Small Signal'!$B$74,IMPRODUCT(M142,'Small Signal'!$B$75)),IMSUM(IMPRODUCT('Small Signal'!$B$78,IMPOWER(M142,2)),IMSUM(IMPRODUCT(M142,'Small Signal'!$B$77),'Small Signal'!$B$76)))</f>
        <v>-0.156640352648311-0.169010785598436i</v>
      </c>
      <c r="V142" s="233">
        <f t="shared" si="69"/>
        <v>-12.748985619434187</v>
      </c>
      <c r="W142" s="233">
        <f t="shared" si="70"/>
        <v>-132.82456472061673</v>
      </c>
      <c r="X142" s="233" t="str">
        <f>IMPRODUCT(IMDIV(IMSUM(IMPRODUCT(M142,'Small Signal'!$B$57*'Small Signal'!$B$6*'Small Signal'!$B$50*'Small Signal'!$B$7*'Small Signal'!$B$8),'Small Signal'!$B$57*'Small Signal'!$B$6*'Small Signal'!$B$50),IMSUM(IMSUM(IMPRODUCT(M142,('Small Signal'!$B$5+'Small Signal'!$B$6)*('Small Signal'!$B$56*'Small Signal'!$B$57)+'Small Signal'!$B$5*'Small Signal'!$B$57*('Small Signal'!$B$8+'Small Signal'!$B$9)+'Small Signal'!$B$6*'Small Signal'!$B$57*('Small Signal'!$B$8+'Small Signal'!$B$9)+'Small Signal'!$B$7*'Small Signal'!$B$8*('Small Signal'!$B$5+'Small Signal'!$B$6)),'Small Signal'!$B$6+'Small Signal'!$B$5),IMPRODUCT(IMPOWER(M142,2),'Small Signal'!$B$56*'Small Signal'!$B$57*'Small Signal'!$B$8*'Small Signal'!$B$7*('Small Signal'!$B$5+'Small Signal'!$B$6)+('Small Signal'!$B$5+'Small Signal'!$B$6)*('Small Signal'!$B$9*'Small Signal'!$B$8*'Small Signal'!$B$57*'Small Signal'!$B$7)))),-1)</f>
        <v>-1.66632863985558+0.460971611942393i</v>
      </c>
      <c r="Y142" s="233">
        <f t="shared" si="71"/>
        <v>5.7644802706939178</v>
      </c>
      <c r="Z142" s="233">
        <f t="shared" si="72"/>
        <v>180.36829865564033</v>
      </c>
      <c r="AA142" s="233" t="str">
        <f t="shared" si="73"/>
        <v>1.08057669835884+0.306420703918285i</v>
      </c>
      <c r="AB142" s="233" t="str">
        <f t="shared" si="74"/>
        <v>0.379297515449001+0.788023042182009i</v>
      </c>
      <c r="AC142" s="230">
        <f t="shared" si="75"/>
        <v>-1.1642547772155183</v>
      </c>
      <c r="AD142" s="233">
        <f t="shared" si="76"/>
        <v>64.297187848685866</v>
      </c>
      <c r="AE142" s="233" t="str">
        <f t="shared" si="77"/>
        <v>0.33892348004792+0.209420756631648i</v>
      </c>
      <c r="AF142" s="230">
        <f t="shared" si="78"/>
        <v>-7.9935143934767128</v>
      </c>
      <c r="AG142" s="233">
        <f t="shared" si="79"/>
        <v>31.711911409254309</v>
      </c>
      <c r="AI142" s="233" t="str">
        <f t="shared" si="80"/>
        <v>0.002-0.0347405198062035i</v>
      </c>
      <c r="AJ142" s="233">
        <f t="shared" si="81"/>
        <v>0.33750000000000002</v>
      </c>
      <c r="AK142" s="233" t="str">
        <f t="shared" si="82"/>
        <v>0.15-34.2888930487229i</v>
      </c>
      <c r="AL142" s="233" t="str">
        <f t="shared" si="83"/>
        <v>0.00545432467265551-0.0339438260356706i</v>
      </c>
      <c r="AM142" s="233" t="str">
        <f t="shared" si="84"/>
        <v>0.365979261330626-0.0158611505610146i</v>
      </c>
      <c r="AN142" s="233" t="str">
        <f t="shared" si="85"/>
        <v>0.005+0.291639627613247i</v>
      </c>
      <c r="AO142" s="233" t="str">
        <f t="shared" si="86"/>
        <v>-0.197928624677732-0.404538749178801i</v>
      </c>
      <c r="AP142" s="233">
        <f t="shared" si="93"/>
        <v>-6.9287350479094325</v>
      </c>
      <c r="AQ142" s="233">
        <f t="shared" si="94"/>
        <v>-116.07111080695448</v>
      </c>
      <c r="AS142" s="233" t="str">
        <f t="shared" si="87"/>
        <v>0.377315280995463-0.0168609462830496i</v>
      </c>
      <c r="AT142" s="233" t="str">
        <f t="shared" si="88"/>
        <v>-0.194314895526741-0.411569208276876i</v>
      </c>
      <c r="AU142" s="233">
        <f t="shared" si="95"/>
        <v>-6.837203208405124</v>
      </c>
      <c r="AV142" s="233">
        <f t="shared" si="96"/>
        <v>-115.27348414001426</v>
      </c>
    </row>
    <row r="143" spans="6:48" x14ac:dyDescent="0.25">
      <c r="F143" s="233">
        <v>141</v>
      </c>
      <c r="G143" s="249">
        <f t="shared" si="65"/>
        <v>179.01177098076892</v>
      </c>
      <c r="H143" s="249">
        <f t="shared" si="66"/>
        <v>162.95331390398385</v>
      </c>
      <c r="I143" s="234">
        <f t="shared" si="67"/>
        <v>0</v>
      </c>
      <c r="J143" s="233">
        <f t="shared" si="89"/>
        <v>0</v>
      </c>
      <c r="K143" s="233">
        <f t="shared" si="90"/>
        <v>1</v>
      </c>
      <c r="L143" s="233">
        <f>10^('Small Signal'!F143/30)</f>
        <v>50118.723362727294</v>
      </c>
      <c r="M143" s="233" t="str">
        <f t="shared" si="68"/>
        <v>314905.226247286i</v>
      </c>
      <c r="N143" s="233">
        <f>IF(D$31=1, IF(AND('Small Signal'!$B$61&gt;=1,FCCM=0),V143+0,S143+0), 0)</f>
        <v>-7.8403735998306123</v>
      </c>
      <c r="O143" s="233">
        <f>IF(D$31=1, IF(AND('Small Signal'!$B$61&gt;=1,FCCM=0),W143,T143), 0)</f>
        <v>-119.03745649608655</v>
      </c>
      <c r="P143" s="233">
        <f>IF(AND('Small Signal'!$B$61&gt;=1,FCCM=0),AF143+0,AC143+0)</f>
        <v>-1.966516651757543</v>
      </c>
      <c r="Q143" s="233">
        <f>IF(AND('Small Signal'!$B$61&gt;=1,FCCM=0),AG143,AD143)</f>
        <v>61.837496719006651</v>
      </c>
      <c r="R143" s="233" t="str">
        <f>IMDIV(IMSUM('Small Signal'!$B$2*'Small Signal'!$B$38*'Small Signal'!$B$62,IMPRODUCT(M143,'Small Signal'!$B$2*'Small Signal'!$B$38*'Small Signal'!$B$62*'Small Signal'!$B$14*'Small Signal'!$B$15)),IMSUM(IMPRODUCT('Small Signal'!$B$12*'Small Signal'!$B$14*('Small Signal'!$B$15+'Small Signal'!$B$38),IMPOWER(M143,2)),IMSUM(IMPRODUCT(M143,('Small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-0.205355349471858-0.276994893710932i</v>
      </c>
      <c r="S143" s="233">
        <f t="shared" si="91"/>
        <v>-7.8403735998306123</v>
      </c>
      <c r="T143" s="233">
        <f t="shared" si="92"/>
        <v>-119.03745649608655</v>
      </c>
      <c r="U143" s="233" t="str">
        <f>IMDIV(IMSUM('Small Signal'!$B$74,IMPRODUCT(M143,'Small Signal'!$B$75)),IMSUM(IMPRODUCT('Small Signal'!$B$78,IMPOWER(M143,2)),IMSUM(IMPRODUCT(M143,'Small Signal'!$B$77),'Small Signal'!$B$76)))</f>
        <v>-0.143938700091589-0.141395405034569i</v>
      </c>
      <c r="V143" s="233">
        <f t="shared" si="69"/>
        <v>-13.902881236138757</v>
      </c>
      <c r="W143" s="233">
        <f t="shared" si="70"/>
        <v>-135.51068628427399</v>
      </c>
      <c r="X143" s="233" t="str">
        <f>IMPRODUCT(IMDIV(IMSUM(IMPRODUCT(M143,'Small Signal'!$B$57*'Small Signal'!$B$6*'Small Signal'!$B$50*'Small Signal'!$B$7*'Small Signal'!$B$8),'Small Signal'!$B$57*'Small Signal'!$B$6*'Small Signal'!$B$50),IMSUM(IMSUM(IMPRODUCT(M143,('Small Signal'!$B$5+'Small Signal'!$B$6)*('Small Signal'!$B$56*'Small Signal'!$B$57)+'Small Signal'!$B$5*'Small Signal'!$B$57*('Small Signal'!$B$8+'Small Signal'!$B$9)+'Small Signal'!$B$6*'Small Signal'!$B$57*('Small Signal'!$B$8+'Small Signal'!$B$9)+'Small Signal'!$B$7*'Small Signal'!$B$8*('Small Signal'!$B$5+'Small Signal'!$B$6)),'Small Signal'!$B$6+'Small Signal'!$B$5),IMPRODUCT(IMPOWER(M143,2),'Small Signal'!$B$56*'Small Signal'!$B$57*'Small Signal'!$B$8*'Small Signal'!$B$7*('Small Signal'!$B$5+'Small Signal'!$B$6)+('Small Signal'!$B$5+'Small Signal'!$B$6)*('Small Signal'!$B$9*'Small Signal'!$B$8*'Small Signal'!$B$57*'Small Signal'!$B$7)))),-1)</f>
        <v>-1.65849583660106+0.469266857531617i</v>
      </c>
      <c r="Y143" s="233">
        <f t="shared" si="71"/>
        <v>5.8738569480730662</v>
      </c>
      <c r="Z143" s="233">
        <f t="shared" si="72"/>
        <v>180.87495321509323</v>
      </c>
      <c r="AA143" s="233" t="str">
        <f t="shared" si="73"/>
        <v>1.09294813281869+0.327352735439268i</v>
      </c>
      <c r="AB143" s="233" t="str">
        <f t="shared" si="74"/>
        <v>0.376350201243306+0.702994482578036i</v>
      </c>
      <c r="AC143" s="230">
        <f t="shared" si="75"/>
        <v>-1.966516651757543</v>
      </c>
      <c r="AD143" s="233">
        <f t="shared" si="76"/>
        <v>61.837496719006651</v>
      </c>
      <c r="AE143" s="233" t="str">
        <f t="shared" si="77"/>
        <v>0.305073912217651+0.166958029095187i</v>
      </c>
      <c r="AF143" s="230">
        <f t="shared" si="78"/>
        <v>-9.174118104129823</v>
      </c>
      <c r="AG143" s="233">
        <f t="shared" si="79"/>
        <v>28.690598245914014</v>
      </c>
      <c r="AI143" s="233" t="str">
        <f t="shared" si="80"/>
        <v>0.002-0.0321738460174545i</v>
      </c>
      <c r="AJ143" s="233">
        <f t="shared" si="81"/>
        <v>0.33750000000000002</v>
      </c>
      <c r="AK143" s="233" t="str">
        <f t="shared" si="82"/>
        <v>0.15-31.7555860192275i</v>
      </c>
      <c r="AL143" s="233" t="str">
        <f t="shared" si="83"/>
        <v>0.0049649252462178-0.0314823612315746i</v>
      </c>
      <c r="AM143" s="233" t="str">
        <f t="shared" si="84"/>
        <v>0.365865460098561-0.0171211509447812i</v>
      </c>
      <c r="AN143" s="233" t="str">
        <f t="shared" si="85"/>
        <v>0.005+0.314905226247286i</v>
      </c>
      <c r="AO143" s="233" t="str">
        <f t="shared" si="86"/>
        <v>-0.196817790190988-0.354521910129865i</v>
      </c>
      <c r="AP143" s="233">
        <f t="shared" si="93"/>
        <v>-7.8403735998306123</v>
      </c>
      <c r="AQ143" s="233">
        <f t="shared" si="94"/>
        <v>-119.03745649608655</v>
      </c>
      <c r="AS143" s="233" t="str">
        <f t="shared" si="87"/>
        <v>0.37719056170637-0.018200013116099i</v>
      </c>
      <c r="AT143" s="233" t="str">
        <f t="shared" si="88"/>
        <v>-0.193994561473846-0.361590093419363i</v>
      </c>
      <c r="AU143" s="233">
        <f t="shared" si="95"/>
        <v>-7.7370617909622492</v>
      </c>
      <c r="AV143" s="233">
        <f t="shared" si="96"/>
        <v>-118.21373970536767</v>
      </c>
    </row>
    <row r="144" spans="6:48" x14ac:dyDescent="0.25">
      <c r="F144" s="233">
        <v>142</v>
      </c>
      <c r="G144" s="249">
        <f t="shared" si="65"/>
        <v>178.97560372812279</v>
      </c>
      <c r="H144" s="249">
        <f t="shared" si="66"/>
        <v>162.07516736315085</v>
      </c>
      <c r="I144" s="234">
        <f t="shared" si="67"/>
        <v>0</v>
      </c>
      <c r="J144" s="233">
        <f t="shared" si="89"/>
        <v>0</v>
      </c>
      <c r="K144" s="233">
        <f t="shared" si="90"/>
        <v>1</v>
      </c>
      <c r="L144" s="233">
        <f>10^('Small Signal'!F144/30)</f>
        <v>54116.952654646455</v>
      </c>
      <c r="M144" s="233" t="str">
        <f t="shared" si="68"/>
        <v>340026.841789008i</v>
      </c>
      <c r="N144" s="233">
        <f>IF(D$31=1, IF(AND('Small Signal'!$B$61&gt;=1,FCCM=0),V144+0,S144+0), 0)</f>
        <v>-8.7805153871501087</v>
      </c>
      <c r="O144" s="233">
        <f>IF(D$31=1, IF(AND('Small Signal'!$B$61&gt;=1,FCCM=0),W144,T144), 0)</f>
        <v>-121.96520084640269</v>
      </c>
      <c r="P144" s="233">
        <f>IF(AND('Small Signal'!$B$61&gt;=1,FCCM=0),AF144+0,AC144+0)</f>
        <v>-2.7857180426709354</v>
      </c>
      <c r="Q144" s="233">
        <f>IF(AND('Small Signal'!$B$61&gt;=1,FCCM=0),AG144,AD144)</f>
        <v>59.318379667607644</v>
      </c>
      <c r="R144" s="233" t="str">
        <f>IMDIV(IMSUM('Small Signal'!$B$2*'Small Signal'!$B$38*'Small Signal'!$B$62,IMPRODUCT(M144,'Small Signal'!$B$2*'Small Signal'!$B$38*'Small Signal'!$B$62*'Small Signal'!$B$14*'Small Signal'!$B$15)),IMSUM(IMPRODUCT('Small Signal'!$B$12*'Small Signal'!$B$14*('Small Signal'!$B$15+'Small Signal'!$B$38),IMPOWER(M144,2)),IMSUM(IMPRODUCT(M144,('Small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-0.193080101471066-0.23548722779946i</v>
      </c>
      <c r="S144" s="233">
        <f t="shared" si="91"/>
        <v>-8.7805153871501087</v>
      </c>
      <c r="T144" s="233">
        <f t="shared" si="92"/>
        <v>-121.96520084640269</v>
      </c>
      <c r="U144" s="233" t="str">
        <f>IMDIV(IMSUM('Small Signal'!$B$74,IMPRODUCT(M144,'Small Signal'!$B$75)),IMSUM(IMPRODUCT('Small Signal'!$B$78,IMPOWER(M144,2)),IMSUM(IMPRODUCT(M144,'Small Signal'!$B$77),'Small Signal'!$B$76)))</f>
        <v>-0.130989787648406-0.117891704091678i</v>
      </c>
      <c r="V144" s="233">
        <f t="shared" si="69"/>
        <v>-15.078435972955898</v>
      </c>
      <c r="W144" s="233">
        <f t="shared" si="70"/>
        <v>-138.01257116800531</v>
      </c>
      <c r="X144" s="233" t="str">
        <f>IMPRODUCT(IMDIV(IMSUM(IMPRODUCT(M144,'Small Signal'!$B$57*'Small Signal'!$B$6*'Small Signal'!$B$50*'Small Signal'!$B$7*'Small Signal'!$B$8),'Small Signal'!$B$57*'Small Signal'!$B$6*'Small Signal'!$B$50),IMSUM(IMSUM(IMPRODUCT(M144,('Small Signal'!$B$5+'Small Signal'!$B$6)*('Small Signal'!$B$56*'Small Signal'!$B$57)+'Small Signal'!$B$5*'Small Signal'!$B$57*('Small Signal'!$B$8+'Small Signal'!$B$9)+'Small Signal'!$B$6*'Small Signal'!$B$57*('Small Signal'!$B$8+'Small Signal'!$B$9)+'Small Signal'!$B$7*'Small Signal'!$B$8*('Small Signal'!$B$5+'Small Signal'!$B$6)),'Small Signal'!$B$6+'Small Signal'!$B$5),IMPRODUCT(IMPOWER(M144,2),'Small Signal'!$B$56*'Small Signal'!$B$57*'Small Signal'!$B$8*'Small Signal'!$B$7*('Small Signal'!$B$5+'Small Signal'!$B$6)+('Small Signal'!$B$5+'Small Signal'!$B$6)*('Small Signal'!$B$9*'Small Signal'!$B$8*'Small Signal'!$B$57*'Small Signal'!$B$7)))),-1)</f>
        <v>-1.64945876105578+0.479865415890863i</v>
      </c>
      <c r="Y144" s="233">
        <f t="shared" si="71"/>
        <v>5.994797344479168</v>
      </c>
      <c r="Z144" s="233">
        <f t="shared" si="72"/>
        <v>181.28358051401034</v>
      </c>
      <c r="AA144" s="233" t="str">
        <f t="shared" si="73"/>
        <v>1.107044540302+0.349145535044534i</v>
      </c>
      <c r="AB144" s="233" t="str">
        <f t="shared" si="74"/>
        <v>0.370264124258218+0.624051785431548i</v>
      </c>
      <c r="AC144" s="230">
        <f t="shared" si="75"/>
        <v>-2.7857180426709354</v>
      </c>
      <c r="AD144" s="233">
        <f t="shared" si="76"/>
        <v>59.318379667607644</v>
      </c>
      <c r="AE144" s="233" t="str">
        <f t="shared" si="77"/>
        <v>0.272634404459535+0.131600035242456i</v>
      </c>
      <c r="AF144" s="230">
        <f t="shared" si="78"/>
        <v>-10.378765921228705</v>
      </c>
      <c r="AG144" s="233">
        <f t="shared" si="79"/>
        <v>25.76650279753834</v>
      </c>
      <c r="AI144" s="233" t="str">
        <f t="shared" si="80"/>
        <v>0.002-0.0297968013526965i</v>
      </c>
      <c r="AJ144" s="233">
        <f t="shared" si="81"/>
        <v>0.33750000000000002</v>
      </c>
      <c r="AK144" s="233" t="str">
        <f t="shared" si="82"/>
        <v>0.15-29.4094429351114i</v>
      </c>
      <c r="AL144" s="233" t="str">
        <f t="shared" si="83"/>
        <v>0.00454401857913325-0.0291933252599933i</v>
      </c>
      <c r="AM144" s="233" t="str">
        <f t="shared" si="84"/>
        <v>0.365732866931302-0.0184802936760871i</v>
      </c>
      <c r="AN144" s="233" t="str">
        <f t="shared" si="85"/>
        <v>0.005+0.340026841789008i</v>
      </c>
      <c r="AO144" s="233" t="str">
        <f t="shared" si="86"/>
        <v>-0.192646679544173-0.308716204709179i</v>
      </c>
      <c r="AP144" s="233">
        <f t="shared" si="93"/>
        <v>-8.7805153871501087</v>
      </c>
      <c r="AQ144" s="233">
        <f t="shared" si="94"/>
        <v>-121.96520084640269</v>
      </c>
      <c r="AS144" s="233" t="str">
        <f t="shared" si="87"/>
        <v>0.377045253755818-0.0196443514593757i</v>
      </c>
      <c r="AT144" s="233" t="str">
        <f t="shared" si="88"/>
        <v>-0.19060806753229-0.315685170674326i</v>
      </c>
      <c r="AU144" s="233">
        <f t="shared" si="95"/>
        <v>-8.6649761735695563</v>
      </c>
      <c r="AV144" s="233">
        <f t="shared" si="96"/>
        <v>-121.12322838688414</v>
      </c>
    </row>
    <row r="145" spans="6:48" x14ac:dyDescent="0.25">
      <c r="F145" s="233">
        <v>143</v>
      </c>
      <c r="G145" s="249">
        <f t="shared" si="65"/>
        <v>178.86240651740849</v>
      </c>
      <c r="H145" s="249">
        <f t="shared" si="66"/>
        <v>161.13347592890801</v>
      </c>
      <c r="I145" s="234">
        <f t="shared" si="67"/>
        <v>0</v>
      </c>
      <c r="J145" s="233">
        <f t="shared" si="89"/>
        <v>0</v>
      </c>
      <c r="K145" s="233">
        <f t="shared" si="90"/>
        <v>1</v>
      </c>
      <c r="L145" s="233">
        <f>10^('Small Signal'!F145/30)</f>
        <v>58434.141337351764</v>
      </c>
      <c r="M145" s="233" t="str">
        <f t="shared" si="68"/>
        <v>367152.538288504i</v>
      </c>
      <c r="N145" s="233">
        <f>IF(D$31=1, IF(AND('Small Signal'!$B$61&gt;=1,FCCM=0),V145+0,S145+0), 0)</f>
        <v>-9.7490717904372222</v>
      </c>
      <c r="O145" s="233">
        <f>IF(D$31=1, IF(AND('Small Signal'!$B$61&gt;=1,FCCM=0),W145,T145), 0)</f>
        <v>-124.84496767031762</v>
      </c>
      <c r="P145" s="233">
        <f>IF(AND('Small Signal'!$B$61&gt;=1,FCCM=0),AF145+0,AC145+0)</f>
        <v>-3.6220752441951132</v>
      </c>
      <c r="Q145" s="233">
        <f>IF(AND('Small Signal'!$B$61&gt;=1,FCCM=0),AG145,AD145)</f>
        <v>56.736731808690088</v>
      </c>
      <c r="R145" s="233" t="str">
        <f>IMDIV(IMSUM('Small Signal'!$B$2*'Small Signal'!$B$38*'Small Signal'!$B$62,IMPRODUCT(M145,'Small Signal'!$B$2*'Small Signal'!$B$38*'Small Signal'!$B$62*'Small Signal'!$B$14*'Small Signal'!$B$15)),IMSUM(IMPRODUCT('Small Signal'!$B$12*'Small Signal'!$B$14*('Small Signal'!$B$15+'Small Signal'!$B$38),IMPOWER(M145,2)),IMSUM(IMPRODUCT(M145,('Small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-0.179389044074976-0.199274070761652i</v>
      </c>
      <c r="S145" s="233">
        <f t="shared" si="91"/>
        <v>-9.7490717904372222</v>
      </c>
      <c r="T145" s="233">
        <f t="shared" si="92"/>
        <v>-124.84496767031762</v>
      </c>
      <c r="U145" s="233" t="str">
        <f>IMDIV(IMSUM('Small Signal'!$B$74,IMPRODUCT(M145,'Small Signal'!$B$75)),IMSUM(IMPRODUCT('Small Signal'!$B$78,IMPOWER(M145,2)),IMSUM(IMPRODUCT(M145,'Small Signal'!$B$77),'Small Signal'!$B$76)))</f>
        <v>-0.118219570802434-0.0980389072424504i</v>
      </c>
      <c r="V145" s="233">
        <f t="shared" si="69"/>
        <v>-16.273181926226247</v>
      </c>
      <c r="W145" s="233">
        <f t="shared" si="70"/>
        <v>-140.33124982249822</v>
      </c>
      <c r="X145" s="233" t="str">
        <f>IMPRODUCT(IMDIV(IMSUM(IMPRODUCT(M145,'Small Signal'!$B$57*'Small Signal'!$B$6*'Small Signal'!$B$50*'Small Signal'!$B$7*'Small Signal'!$B$8),'Small Signal'!$B$57*'Small Signal'!$B$6*'Small Signal'!$B$50),IMSUM(IMSUM(IMPRODUCT(M145,('Small Signal'!$B$5+'Small Signal'!$B$6)*('Small Signal'!$B$56*'Small Signal'!$B$57)+'Small Signal'!$B$5*'Small Signal'!$B$57*('Small Signal'!$B$8+'Small Signal'!$B$9)+'Small Signal'!$B$6*'Small Signal'!$B$57*('Small Signal'!$B$8+'Small Signal'!$B$9)+'Small Signal'!$B$7*'Small Signal'!$B$8*('Small Signal'!$B$5+'Small Signal'!$B$6)),'Small Signal'!$B$6+'Small Signal'!$B$5),IMPRODUCT(IMPOWER(M145,2),'Small Signal'!$B$56*'Small Signal'!$B$57*'Small Signal'!$B$8*'Small Signal'!$B$7*('Small Signal'!$B$5+'Small Signal'!$B$6)+('Small Signal'!$B$5+'Small Signal'!$B$6)*('Small Signal'!$B$9*'Small Signal'!$B$8*'Small Signal'!$B$57*'Small Signal'!$B$7)))),-1)</f>
        <v>-1.63904826819937+0.492719526268759i</v>
      </c>
      <c r="Y145" s="233">
        <f t="shared" si="71"/>
        <v>6.1269965462421139</v>
      </c>
      <c r="Z145" s="233">
        <f t="shared" si="72"/>
        <v>181.58169947900774</v>
      </c>
      <c r="AA145" s="233" t="str">
        <f t="shared" si="73"/>
        <v>1.1230506174595+0.371699892143674i</v>
      </c>
      <c r="AB145" s="233" t="str">
        <f t="shared" si="74"/>
        <v>0.361461859699058+0.551042621076485i</v>
      </c>
      <c r="AC145" s="230">
        <f t="shared" si="75"/>
        <v>-3.6220752441951132</v>
      </c>
      <c r="AD145" s="233">
        <f t="shared" si="76"/>
        <v>56.736731808690088</v>
      </c>
      <c r="AE145" s="233" t="str">
        <f t="shared" si="77"/>
        <v>0.242073266723409+0.102441410210426i</v>
      </c>
      <c r="AF145" s="230">
        <f t="shared" si="78"/>
        <v>-11.605614935253143</v>
      </c>
      <c r="AG145" s="233">
        <f t="shared" si="79"/>
        <v>22.937279163555079</v>
      </c>
      <c r="AI145" s="233" t="str">
        <f t="shared" si="80"/>
        <v>0.002-0.0275953757710657i</v>
      </c>
      <c r="AJ145" s="233">
        <f t="shared" si="81"/>
        <v>0.33750000000000002</v>
      </c>
      <c r="AK145" s="233" t="str">
        <f t="shared" si="82"/>
        <v>0.15-27.2366358860418i</v>
      </c>
      <c r="AL145" s="233" t="str">
        <f t="shared" si="83"/>
        <v>0.0041821588371333-0.0270658862426545i</v>
      </c>
      <c r="AM145" s="233" t="str">
        <f t="shared" si="84"/>
        <v>0.365578395943788-0.019946134092173i</v>
      </c>
      <c r="AN145" s="233" t="str">
        <f t="shared" si="85"/>
        <v>0.005+0.367152538288504i</v>
      </c>
      <c r="AO145" s="233" t="str">
        <f t="shared" si="86"/>
        <v>-0.18597502033297-0.267135370146496i</v>
      </c>
      <c r="AP145" s="233">
        <f t="shared" si="93"/>
        <v>-9.7490717904372222</v>
      </c>
      <c r="AQ145" s="233">
        <f t="shared" si="94"/>
        <v>-124.84496767031762</v>
      </c>
      <c r="AS145" s="233" t="str">
        <f t="shared" si="87"/>
        <v>0.376875978419993-0.0212019598417773i</v>
      </c>
      <c r="AT145" s="233" t="str">
        <f t="shared" si="88"/>
        <v>-0.184684674521604-0.273879272000661i</v>
      </c>
      <c r="AU145" s="233">
        <f t="shared" si="95"/>
        <v>-9.6210246984588537</v>
      </c>
      <c r="AV145" s="233">
        <f t="shared" si="96"/>
        <v>-123.99292132926638</v>
      </c>
    </row>
    <row r="146" spans="6:48" x14ac:dyDescent="0.25">
      <c r="F146" s="233">
        <v>144</v>
      </c>
      <c r="G146" s="249">
        <f t="shared" si="65"/>
        <v>178.65724492146126</v>
      </c>
      <c r="H146" s="249">
        <f t="shared" si="66"/>
        <v>160.12473465081879</v>
      </c>
      <c r="I146" s="234">
        <f t="shared" si="67"/>
        <v>0</v>
      </c>
      <c r="J146" s="233">
        <f t="shared" si="89"/>
        <v>0</v>
      </c>
      <c r="K146" s="233">
        <f t="shared" si="90"/>
        <v>1</v>
      </c>
      <c r="L146" s="233">
        <f>10^('Small Signal'!F146/30)</f>
        <v>63095.734448019342</v>
      </c>
      <c r="M146" s="233" t="str">
        <f t="shared" si="68"/>
        <v>396442.1916295i</v>
      </c>
      <c r="N146" s="233">
        <f>IF(D$31=1, IF(AND('Small Signal'!$B$61&gt;=1,FCCM=0),V146+0,S146+0), 0)</f>
        <v>-10.745717657571747</v>
      </c>
      <c r="O146" s="233">
        <f>IF(D$31=1, IF(AND('Small Signal'!$B$61&gt;=1,FCCM=0),W146,T146), 0)</f>
        <v>-127.66693522118663</v>
      </c>
      <c r="P146" s="233">
        <f>IF(AND('Small Signal'!$B$61&gt;=1,FCCM=0),AF146+0,AC146+0)</f>
        <v>-4.4758819792500821</v>
      </c>
      <c r="Q146" s="233">
        <f>IF(AND('Small Signal'!$B$61&gt;=1,FCCM=0),AG146,AD146)</f>
        <v>54.088736856341363</v>
      </c>
      <c r="R146" s="233" t="str">
        <f>IMDIV(IMSUM('Small Signal'!$B$2*'Small Signal'!$B$38*'Small Signal'!$B$62,IMPRODUCT(M146,'Small Signal'!$B$2*'Small Signal'!$B$38*'Small Signal'!$B$62*'Small Signal'!$B$14*'Small Signal'!$B$15)),IMSUM(IMPRODUCT('Small Signal'!$B$12*'Small Signal'!$B$14*('Small Signal'!$B$15+'Small Signal'!$B$38),IMPOWER(M146,2)),IMSUM(IMPRODUCT(M146,('Small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-0.164952460832231-0.167965399366403i</v>
      </c>
      <c r="S146" s="233">
        <f t="shared" si="91"/>
        <v>-10.745717657571747</v>
      </c>
      <c r="T146" s="233">
        <f t="shared" si="92"/>
        <v>-127.66693522118663</v>
      </c>
      <c r="U146" s="233" t="str">
        <f>IMDIV(IMSUM('Small Signal'!$B$74,IMPRODUCT(M146,'Small Signal'!$B$75)),IMSUM(IMPRODUCT('Small Signal'!$B$78,IMPOWER(M146,2)),IMSUM(IMPRODUCT(M146,'Small Signal'!$B$77),'Small Signal'!$B$76)))</f>
        <v>-0.105936262578772-0.0813791563986345i</v>
      </c>
      <c r="V146" s="233">
        <f t="shared" si="69"/>
        <v>-17.484820160767004</v>
      </c>
      <c r="W146" s="233">
        <f t="shared" si="70"/>
        <v>-142.46889778499209</v>
      </c>
      <c r="X146" s="233" t="str">
        <f>IMPRODUCT(IMDIV(IMSUM(IMPRODUCT(M146,'Small Signal'!$B$57*'Small Signal'!$B$6*'Small Signal'!$B$50*'Small Signal'!$B$7*'Small Signal'!$B$8),'Small Signal'!$B$57*'Small Signal'!$B$6*'Small Signal'!$B$50),IMSUM(IMSUM(IMPRODUCT(M146,('Small Signal'!$B$5+'Small Signal'!$B$6)*('Small Signal'!$B$56*'Small Signal'!$B$57)+'Small Signal'!$B$5*'Small Signal'!$B$57*('Small Signal'!$B$8+'Small Signal'!$B$9)+'Small Signal'!$B$6*'Small Signal'!$B$57*('Small Signal'!$B$8+'Small Signal'!$B$9)+'Small Signal'!$B$7*'Small Signal'!$B$8*('Small Signal'!$B$5+'Small Signal'!$B$6)),'Small Signal'!$B$6+'Small Signal'!$B$5),IMPRODUCT(IMPOWER(M146,2),'Small Signal'!$B$56*'Small Signal'!$B$57*'Small Signal'!$B$8*'Small Signal'!$B$7*('Small Signal'!$B$5+'Small Signal'!$B$6)+('Small Signal'!$B$5+'Small Signal'!$B$6)*('Small Signal'!$B$9*'Small Signal'!$B$8*'Small Signal'!$B$57*'Small Signal'!$B$7)))),-1)</f>
        <v>-1.62707726310357+0.50777030722357i</v>
      </c>
      <c r="Y146" s="233">
        <f t="shared" si="71"/>
        <v>6.2698356783216642</v>
      </c>
      <c r="Z146" s="233">
        <f t="shared" si="72"/>
        <v>181.75567207752803</v>
      </c>
      <c r="AA146" s="233" t="str">
        <f t="shared" si="73"/>
        <v>1.14115338694927+0.394881336451332i</v>
      </c>
      <c r="AB146" s="233" t="str">
        <f t="shared" si="74"/>
        <v>0.350346112824216+0.483783924118163i</v>
      </c>
      <c r="AC146" s="230">
        <f t="shared" si="75"/>
        <v>-4.4758819792500821</v>
      </c>
      <c r="AD146" s="233">
        <f t="shared" si="76"/>
        <v>54.088736856341363</v>
      </c>
      <c r="AE146" s="233" t="str">
        <f t="shared" si="77"/>
        <v>0.213688403426219+0.0786188864710277i</v>
      </c>
      <c r="AF146" s="230">
        <f t="shared" si="78"/>
        <v>-12.85304320517869</v>
      </c>
      <c r="AG146" s="233">
        <f t="shared" si="79"/>
        <v>20.199259069510788</v>
      </c>
      <c r="AI146" s="233" t="str">
        <f t="shared" si="80"/>
        <v>0.002-0.0255565943113355i</v>
      </c>
      <c r="AJ146" s="233">
        <f t="shared" si="81"/>
        <v>0.33750000000000002</v>
      </c>
      <c r="AK146" s="233" t="str">
        <f t="shared" si="82"/>
        <v>0.15-25.2243585852881i</v>
      </c>
      <c r="AL146" s="233" t="str">
        <f t="shared" si="83"/>
        <v>0.00387116598973667-0.0250896303627459i</v>
      </c>
      <c r="AM146" s="233" t="str">
        <f t="shared" si="84"/>
        <v>0.365398460668487-0.0215267396404013i</v>
      </c>
      <c r="AN146" s="233" t="str">
        <f t="shared" si="85"/>
        <v>0.005+0.3964421916295i</v>
      </c>
      <c r="AO146" s="233" t="str">
        <f t="shared" si="86"/>
        <v>-0.177339433098415-0.229724282485209i</v>
      </c>
      <c r="AP146" s="233">
        <f t="shared" si="93"/>
        <v>-10.745717657571747</v>
      </c>
      <c r="AQ146" s="233">
        <f t="shared" si="94"/>
        <v>-127.66693522118663</v>
      </c>
      <c r="AS146" s="233" t="str">
        <f t="shared" si="87"/>
        <v>0.37667880967966-0.0228813726051044i</v>
      </c>
      <c r="AT146" s="233" t="str">
        <f t="shared" si="88"/>
        <v>-0.176735718865832-0.236134495607453i</v>
      </c>
      <c r="AU146" s="233">
        <f t="shared" si="95"/>
        <v>-10.605056359697455</v>
      </c>
      <c r="AV146" s="233">
        <f t="shared" si="96"/>
        <v>-126.81315100074366</v>
      </c>
    </row>
    <row r="147" spans="6:48" x14ac:dyDescent="0.25">
      <c r="F147" s="233">
        <v>145</v>
      </c>
      <c r="G147" s="249">
        <f t="shared" si="65"/>
        <v>178.34433787375656</v>
      </c>
      <c r="H147" s="249">
        <f t="shared" si="66"/>
        <v>159.04551161709685</v>
      </c>
      <c r="I147" s="234">
        <f t="shared" si="67"/>
        <v>0</v>
      </c>
      <c r="J147" s="233">
        <f t="shared" si="89"/>
        <v>0</v>
      </c>
      <c r="K147" s="233">
        <f t="shared" si="90"/>
        <v>1</v>
      </c>
      <c r="L147" s="233">
        <f>10^('Small Signal'!F147/30)</f>
        <v>68129.206905796163</v>
      </c>
      <c r="M147" s="233" t="str">
        <f t="shared" si="68"/>
        <v>428068.431820296i</v>
      </c>
      <c r="N147" s="233">
        <f>IF(D$31=1, IF(AND('Small Signal'!$B$61&gt;=1,FCCM=0),V147+0,S147+0), 0)</f>
        <v>-11.769878433441789</v>
      </c>
      <c r="O147" s="233">
        <f>IF(D$31=1, IF(AND('Small Signal'!$B$61&gt;=1,FCCM=0),W147,T147), 0)</f>
        <v>-130.42118425602359</v>
      </c>
      <c r="P147" s="233">
        <f>IF(AND('Small Signal'!$B$61&gt;=1,FCCM=0),AF147+0,AC147+0)</f>
        <v>-5.347549989664822</v>
      </c>
      <c r="Q147" s="233">
        <f>IF(AND('Small Signal'!$B$61&gt;=1,FCCM=0),AG147,AD147)</f>
        <v>51.36987348977636</v>
      </c>
      <c r="R147" s="233" t="str">
        <f>IMDIV(IMSUM('Small Signal'!$B$2*'Small Signal'!$B$38*'Small Signal'!$B$62,IMPRODUCT(M147,'Small Signal'!$B$2*'Small Signal'!$B$38*'Small Signal'!$B$62*'Small Signal'!$B$14*'Small Signal'!$B$15)),IMSUM(IMPRODUCT('Small Signal'!$B$12*'Small Signal'!$B$14*('Small Signal'!$B$15+'Small Signal'!$B$38),IMPOWER(M147,2)),IMSUM(IMPRODUCT(M147,('Small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-0.1503139827341-0.141118200287024i</v>
      </c>
      <c r="S147" s="233">
        <f t="shared" si="91"/>
        <v>-11.769878433441789</v>
      </c>
      <c r="T147" s="233">
        <f t="shared" si="92"/>
        <v>-130.42118425602359</v>
      </c>
      <c r="U147" s="233" t="str">
        <f>IMDIV(IMSUM('Small Signal'!$B$74,IMPRODUCT(M147,'Small Signal'!$B$75)),IMSUM(IMPRODUCT('Small Signal'!$B$78,IMPOWER(M147,2)),IMSUM(IMPRODUCT(M147,'Small Signal'!$B$77),'Small Signal'!$B$76)))</f>
        <v>-0.0943491462924731-0.067476236020363i</v>
      </c>
      <c r="V147" s="233">
        <f t="shared" si="69"/>
        <v>-18.71122629718035</v>
      </c>
      <c r="W147" s="233">
        <f t="shared" si="70"/>
        <v>-144.42856341978856</v>
      </c>
      <c r="X147" s="233" t="str">
        <f>IMPRODUCT(IMDIV(IMSUM(IMPRODUCT(M147,'Small Signal'!$B$57*'Small Signal'!$B$6*'Small Signal'!$B$50*'Small Signal'!$B$7*'Small Signal'!$B$8),'Small Signal'!$B$57*'Small Signal'!$B$6*'Small Signal'!$B$50),IMSUM(IMSUM(IMPRODUCT(M147,('Small Signal'!$B$5+'Small Signal'!$B$6)*('Small Signal'!$B$56*'Small Signal'!$B$57)+'Small Signal'!$B$5*'Small Signal'!$B$57*('Small Signal'!$B$8+'Small Signal'!$B$9)+'Small Signal'!$B$6*'Small Signal'!$B$57*('Small Signal'!$B$8+'Small Signal'!$B$9)+'Small Signal'!$B$7*'Small Signal'!$B$8*('Small Signal'!$B$5+'Small Signal'!$B$6)),'Small Signal'!$B$6+'Small Signal'!$B$5),IMPRODUCT(IMPOWER(M147,2),'Small Signal'!$B$56*'Small Signal'!$B$57*'Small Signal'!$B$8*'Small Signal'!$B$7*('Small Signal'!$B$5+'Small Signal'!$B$6)+('Small Signal'!$B$5+'Small Signal'!$B$6)*('Small Signal'!$B$9*'Small Signal'!$B$8*'Small Signal'!$B$57*'Small Signal'!$B$7)))),-1)</f>
        <v>-1.61334072959777+0.524942802075546i</v>
      </c>
      <c r="Y147" s="233">
        <f t="shared" si="71"/>
        <v>6.4223284437769657</v>
      </c>
      <c r="Z147" s="233">
        <f t="shared" si="72"/>
        <v>181.79105774579992</v>
      </c>
      <c r="AA147" s="233" t="str">
        <f t="shared" si="73"/>
        <v>1.16153621603253+0.418515817489169i</v>
      </c>
      <c r="AB147" s="233" t="str">
        <f t="shared" si="74"/>
        <v>0.337294441670703+0.422066096638235i</v>
      </c>
      <c r="AC147" s="230">
        <f t="shared" si="75"/>
        <v>-5.347549989664822</v>
      </c>
      <c r="AD147" s="233">
        <f t="shared" si="76"/>
        <v>51.36987348977636</v>
      </c>
      <c r="AE147" s="233" t="str">
        <f t="shared" si="77"/>
        <v>0.187638484926466+0.0593342546233973i</v>
      </c>
      <c r="AF147" s="230">
        <f t="shared" si="78"/>
        <v>-14.119664661792271</v>
      </c>
      <c r="AG147" s="233">
        <f t="shared" si="79"/>
        <v>17.547777614899381</v>
      </c>
      <c r="AI147" s="233" t="str">
        <f t="shared" si="80"/>
        <v>0.002-0.0236684406189176i</v>
      </c>
      <c r="AJ147" s="233">
        <f t="shared" si="81"/>
        <v>0.33750000000000002</v>
      </c>
      <c r="AK147" s="233" t="str">
        <f t="shared" si="82"/>
        <v>0.15-23.3607508908716i</v>
      </c>
      <c r="AL147" s="233" t="str">
        <f t="shared" si="83"/>
        <v>0.00360396596685117-0.0232546064302073i</v>
      </c>
      <c r="AM147" s="233" t="str">
        <f t="shared" si="84"/>
        <v>0.365188895056912-0.0232307077230288i</v>
      </c>
      <c r="AN147" s="233" t="str">
        <f t="shared" si="85"/>
        <v>0.005+0.428068431820296i</v>
      </c>
      <c r="AO147" s="233" t="str">
        <f t="shared" si="86"/>
        <v>-0.167243804484922-0.196363661919921i</v>
      </c>
      <c r="AP147" s="233">
        <f t="shared" si="93"/>
        <v>-11.769878433441789</v>
      </c>
      <c r="AQ147" s="233">
        <f t="shared" si="94"/>
        <v>-130.42118425602359</v>
      </c>
      <c r="AS147" s="233" t="str">
        <f t="shared" si="87"/>
        <v>0.376449188133795-0.0246916767133536i</v>
      </c>
      <c r="AT147" s="233" t="str">
        <f t="shared" si="88"/>
        <v>-0.167246131393374-0.202353080669749i</v>
      </c>
      <c r="AU147" s="233">
        <f t="shared" si="95"/>
        <v>-11.616670965516978</v>
      </c>
      <c r="AV147" s="233">
        <f t="shared" si="96"/>
        <v>-129.57395196925299</v>
      </c>
    </row>
    <row r="148" spans="6:48" x14ac:dyDescent="0.25">
      <c r="F148" s="233">
        <v>146</v>
      </c>
      <c r="G148" s="249">
        <f t="shared" si="65"/>
        <v>177.90745522352626</v>
      </c>
      <c r="H148" s="249">
        <f t="shared" si="66"/>
        <v>157.89252334474924</v>
      </c>
      <c r="I148" s="234">
        <f t="shared" si="67"/>
        <v>0</v>
      </c>
      <c r="J148" s="233">
        <f t="shared" si="89"/>
        <v>0</v>
      </c>
      <c r="K148" s="233">
        <f t="shared" si="90"/>
        <v>1</v>
      </c>
      <c r="L148" s="233">
        <f>10^('Small Signal'!F148/30)</f>
        <v>73564.225445964199</v>
      </c>
      <c r="M148" s="233" t="str">
        <f t="shared" si="68"/>
        <v>462217.660456129i</v>
      </c>
      <c r="N148" s="233">
        <f>IF(D$31=1, IF(AND('Small Signal'!$B$61&gt;=1,FCCM=0),V148+0,S148+0), 0)</f>
        <v>-12.820731485802392</v>
      </c>
      <c r="O148" s="233">
        <f>IF(D$31=1, IF(AND('Small Signal'!$B$61&gt;=1,FCCM=0),W148,T148), 0)</f>
        <v>-133.09805149980011</v>
      </c>
      <c r="P148" s="233">
        <f>IF(AND('Small Signal'!$B$61&gt;=1,FCCM=0),AF148+0,AC148+0)</f>
        <v>-6.2376541485490424</v>
      </c>
      <c r="Q148" s="233">
        <f>IF(AND('Small Signal'!$B$61&gt;=1,FCCM=0),AG148,AD148)</f>
        <v>48.575017046457752</v>
      </c>
      <c r="R148" s="233" t="str">
        <f>IMDIV(IMSUM('Small Signal'!$B$2*'Small Signal'!$B$38*'Small Signal'!$B$62,IMPRODUCT(M148,'Small Signal'!$B$2*'Small Signal'!$B$38*'Small Signal'!$B$62*'Small Signal'!$B$14*'Small Signal'!$B$15)),IMSUM(IMPRODUCT('Small Signal'!$B$12*'Small Signal'!$B$14*('Small Signal'!$B$15+'Small Signal'!$B$38),IMPOWER(M148,2)),IMSUM(IMPRODUCT(M148,('Small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-0.135897256032981-0.118264990085077i</v>
      </c>
      <c r="S148" s="233">
        <f t="shared" si="91"/>
        <v>-12.820731485802392</v>
      </c>
      <c r="T148" s="233">
        <f t="shared" si="92"/>
        <v>-133.09805149980011</v>
      </c>
      <c r="U148" s="233" t="str">
        <f>IMDIV(IMSUM('Small Signal'!$B$74,IMPRODUCT(M148,'Small Signal'!$B$75)),IMSUM(IMPRODUCT('Small Signal'!$B$78,IMPOWER(M148,2)),IMSUM(IMPRODUCT(M148,'Small Signal'!$B$77),'Small Signal'!$B$76)))</f>
        <v>-0.0835874465451033-0.0559275150386838i</v>
      </c>
      <c r="V148" s="233">
        <f t="shared" si="69"/>
        <v>-19.95044926022986</v>
      </c>
      <c r="W148" s="233">
        <f t="shared" si="70"/>
        <v>-146.21391979836631</v>
      </c>
      <c r="X148" s="233" t="str">
        <f>IMPRODUCT(IMDIV(IMSUM(IMPRODUCT(M148,'Small Signal'!$B$57*'Small Signal'!$B$6*'Small Signal'!$B$50*'Small Signal'!$B$7*'Small Signal'!$B$8),'Small Signal'!$B$57*'Small Signal'!$B$6*'Small Signal'!$B$50),IMSUM(IMSUM(IMPRODUCT(M148,('Small Signal'!$B$5+'Small Signal'!$B$6)*('Small Signal'!$B$56*'Small Signal'!$B$57)+'Small Signal'!$B$5*'Small Signal'!$B$57*('Small Signal'!$B$8+'Small Signal'!$B$9)+'Small Signal'!$B$6*'Small Signal'!$B$57*('Small Signal'!$B$8+'Small Signal'!$B$9)+'Small Signal'!$B$7*'Small Signal'!$B$8*('Small Signal'!$B$5+'Small Signal'!$B$6)),'Small Signal'!$B$6+'Small Signal'!$B$5),IMPRODUCT(IMPOWER(M148,2),'Small Signal'!$B$56*'Small Signal'!$B$57*'Small Signal'!$B$8*'Small Signal'!$B$7*('Small Signal'!$B$5+'Small Signal'!$B$6)+('Small Signal'!$B$5+'Small Signal'!$B$6)*('Small Signal'!$B$9*'Small Signal'!$B$8*'Small Signal'!$B$57*'Small Signal'!$B$7)))),-1)</f>
        <v>-1.59761654614116+0.544140401022941i</v>
      </c>
      <c r="Y148" s="233">
        <f t="shared" si="71"/>
        <v>6.5830773372533482</v>
      </c>
      <c r="Z148" s="233">
        <f t="shared" si="72"/>
        <v>181.67306854625781</v>
      </c>
      <c r="AA148" s="233" t="str">
        <f t="shared" si="73"/>
        <v>1.18437113182769+0.442386188399602i</v>
      </c>
      <c r="AB148" s="233" t="str">
        <f t="shared" si="74"/>
        <v>0.322654932313753+0.365658643492835i</v>
      </c>
      <c r="AC148" s="230">
        <f t="shared" si="75"/>
        <v>-6.2376541485490424</v>
      </c>
      <c r="AD148" s="233">
        <f t="shared" si="76"/>
        <v>48.575017046457752</v>
      </c>
      <c r="AE148" s="233" t="str">
        <f t="shared" si="77"/>
        <v>0.163973108111513+0.0438674167268236i</v>
      </c>
      <c r="AF148" s="230">
        <f t="shared" si="78"/>
        <v>-15.404336719034488</v>
      </c>
      <c r="AG148" s="233">
        <f t="shared" si="79"/>
        <v>14.977487870728076</v>
      </c>
      <c r="AI148" s="233" t="str">
        <f t="shared" si="80"/>
        <v>0.002-0.0219197861227838i</v>
      </c>
      <c r="AJ148" s="233">
        <f t="shared" si="81"/>
        <v>0.33750000000000002</v>
      </c>
      <c r="AK148" s="233" t="str">
        <f t="shared" si="82"/>
        <v>0.15-21.6348289031876i</v>
      </c>
      <c r="AL148" s="233" t="str">
        <f t="shared" si="83"/>
        <v>0.00337444835704833-0.0215513526249568i</v>
      </c>
      <c r="AM148" s="233" t="str">
        <f t="shared" si="84"/>
        <v>0.364944862805349-0.0250671792179808i</v>
      </c>
      <c r="AN148" s="233" t="str">
        <f t="shared" si="85"/>
        <v>0.005+0.462217660456129i</v>
      </c>
      <c r="AO148" s="233" t="str">
        <f t="shared" si="86"/>
        <v>-0.15615014564722-0.166877059216721i</v>
      </c>
      <c r="AP148" s="233">
        <f t="shared" si="93"/>
        <v>-12.820731485802392</v>
      </c>
      <c r="AQ148" s="233">
        <f t="shared" si="94"/>
        <v>-133.09805149980011</v>
      </c>
      <c r="AS148" s="233" t="str">
        <f t="shared" si="87"/>
        <v>0.376181822293312-0.0266425234394886i</v>
      </c>
      <c r="AT148" s="233" t="str">
        <f t="shared" si="88"/>
        <v>-0.156665815007343-0.172382369525224i</v>
      </c>
      <c r="AU148" s="233">
        <f t="shared" si="95"/>
        <v>-12.655213398132119</v>
      </c>
      <c r="AV148" s="233">
        <f t="shared" si="96"/>
        <v>-132.2654205821114</v>
      </c>
    </row>
    <row r="149" spans="6:48" x14ac:dyDescent="0.25">
      <c r="F149" s="233">
        <v>147</v>
      </c>
      <c r="G149" s="249">
        <f t="shared" si="65"/>
        <v>177.33041623577958</v>
      </c>
      <c r="H149" s="249">
        <f t="shared" si="66"/>
        <v>156.66272576791545</v>
      </c>
      <c r="I149" s="234">
        <f t="shared" si="67"/>
        <v>0</v>
      </c>
      <c r="J149" s="233">
        <f t="shared" si="89"/>
        <v>0</v>
      </c>
      <c r="K149" s="233">
        <f t="shared" si="90"/>
        <v>1</v>
      </c>
      <c r="L149" s="233">
        <f>10^('Small Signal'!F149/30)</f>
        <v>79432.823472428237</v>
      </c>
      <c r="M149" s="233" t="str">
        <f t="shared" si="68"/>
        <v>499091.149349751i</v>
      </c>
      <c r="N149" s="233">
        <f>IF(D$31=1, IF(AND('Small Signal'!$B$61&gt;=1,FCCM=0),V149+0,S149+0), 0)</f>
        <v>-13.897220894021372</v>
      </c>
      <c r="O149" s="233">
        <f>IF(D$31=1, IF(AND('Small Signal'!$B$61&gt;=1,FCCM=0),W149,T149), 0)</f>
        <v>-135.68846147954301</v>
      </c>
      <c r="P149" s="233">
        <f>IF(AND('Small Signal'!$B$61&gt;=1,FCCM=0),AF149+0,AC149+0)</f>
        <v>-7.1469768117758701</v>
      </c>
      <c r="Q149" s="233">
        <f>IF(AND('Small Signal'!$B$61&gt;=1,FCCM=0),AG149,AD149)</f>
        <v>45.698650834649065</v>
      </c>
      <c r="R149" s="233" t="str">
        <f>IMDIV(IMSUM('Small Signal'!$B$2*'Small Signal'!$B$38*'Small Signal'!$B$62,IMPRODUCT(M149,'Small Signal'!$B$2*'Small Signal'!$B$38*'Small Signal'!$B$62*'Small Signal'!$B$14*'Small Signal'!$B$15)),IMSUM(IMPRODUCT('Small Signal'!$B$12*'Small Signal'!$B$14*('Small Signal'!$B$15+'Small Signal'!$B$38),IMPOWER(M149,2)),IMSUM(IMPRODUCT(M149,('Small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-0.122017348038488-0.09893704352675i</v>
      </c>
      <c r="S149" s="233">
        <f t="shared" si="91"/>
        <v>-13.897220894021372</v>
      </c>
      <c r="T149" s="233">
        <f t="shared" si="92"/>
        <v>-135.68846147954301</v>
      </c>
      <c r="U149" s="233" t="str">
        <f>IMDIV(IMSUM('Small Signal'!$B$74,IMPRODUCT(M149,'Small Signal'!$B$75)),IMSUM(IMPRODUCT('Small Signal'!$B$78,IMPOWER(M149,2)),IMSUM(IMPRODUCT(M149,'Small Signal'!$B$77),'Small Signal'!$B$76)))</f>
        <v>-0.0737178808774603-0.0463704545926054i</v>
      </c>
      <c r="V149" s="233">
        <f t="shared" si="69"/>
        <v>-21.20070466445889</v>
      </c>
      <c r="W149" s="233">
        <f t="shared" si="70"/>
        <v>-147.82904487169046</v>
      </c>
      <c r="X149" s="233" t="str">
        <f>IMPRODUCT(IMDIV(IMSUM(IMPRODUCT(M149,'Small Signal'!$B$57*'Small Signal'!$B$6*'Small Signal'!$B$50*'Small Signal'!$B$7*'Small Signal'!$B$8),'Small Signal'!$B$57*'Small Signal'!$B$6*'Small Signal'!$B$50),IMSUM(IMSUM(IMPRODUCT(M149,('Small Signal'!$B$5+'Small Signal'!$B$6)*('Small Signal'!$B$56*'Small Signal'!$B$57)+'Small Signal'!$B$5*'Small Signal'!$B$57*('Small Signal'!$B$8+'Small Signal'!$B$9)+'Small Signal'!$B$6*'Small Signal'!$B$57*('Small Signal'!$B$8+'Small Signal'!$B$9)+'Small Signal'!$B$7*'Small Signal'!$B$8*('Small Signal'!$B$5+'Small Signal'!$B$6)),'Small Signal'!$B$6+'Small Signal'!$B$5),IMPRODUCT(IMPOWER(M149,2),'Small Signal'!$B$56*'Small Signal'!$B$57*'Small Signal'!$B$8*'Small Signal'!$B$7*('Small Signal'!$B$5+'Small Signal'!$B$6)+('Small Signal'!$B$5+'Small Signal'!$B$6)*('Small Signal'!$B$9*'Small Signal'!$B$8*'Small Signal'!$B$57*'Small Signal'!$B$7)))),-1)</f>
        <v>-1.57966735749986+0.565238697731531i</v>
      </c>
      <c r="Y149" s="233">
        <f t="shared" si="71"/>
        <v>6.7502440822455041</v>
      </c>
      <c r="Z149" s="233">
        <f t="shared" si="72"/>
        <v>181.387112314192</v>
      </c>
      <c r="AA149" s="233" t="str">
        <f t="shared" si="73"/>
        <v>1.20980941618761+0.46623006933411i</v>
      </c>
      <c r="AB149" s="233" t="str">
        <f t="shared" si="74"/>
        <v>0.306743504035777+0.314316939772569i</v>
      </c>
      <c r="AC149" s="230">
        <f t="shared" si="75"/>
        <v>-7.1469768117758701</v>
      </c>
      <c r="AD149" s="233">
        <f t="shared" si="76"/>
        <v>45.698650834649065</v>
      </c>
      <c r="AE149" s="233" t="str">
        <f t="shared" si="77"/>
        <v>0.142660105453331+0.0315816944856644i</v>
      </c>
      <c r="AF149" s="230">
        <f t="shared" si="78"/>
        <v>-16.706161746247737</v>
      </c>
      <c r="AG149" s="233">
        <f t="shared" si="79"/>
        <v>12.482661583394465</v>
      </c>
      <c r="AI149" s="233" t="str">
        <f t="shared" si="80"/>
        <v>0.002-0.0203003244448877i</v>
      </c>
      <c r="AJ149" s="233">
        <f t="shared" si="81"/>
        <v>0.33750000000000002</v>
      </c>
      <c r="AK149" s="233" t="str">
        <f t="shared" si="82"/>
        <v>0.15-20.0364202271041i</v>
      </c>
      <c r="AL149" s="233" t="str">
        <f t="shared" si="83"/>
        <v>0.00317734046975884-0.0199709094155731i</v>
      </c>
      <c r="AM149" s="233" t="str">
        <f t="shared" si="84"/>
        <v>0.364660753566897-0.0270458459389243i</v>
      </c>
      <c r="AN149" s="233" t="str">
        <f t="shared" si="85"/>
        <v>0.005+0.499091149349751i</v>
      </c>
      <c r="AO149" s="233" t="str">
        <f t="shared" si="86"/>
        <v>-0.144470839670139-0.141039999267891i</v>
      </c>
      <c r="AP149" s="233">
        <f t="shared" si="93"/>
        <v>-13.897220894021372</v>
      </c>
      <c r="AQ149" s="233">
        <f t="shared" si="94"/>
        <v>-135.68846147954301</v>
      </c>
      <c r="AS149" s="233" t="str">
        <f t="shared" si="87"/>
        <v>0.375870575740161-0.0287441329629745i</v>
      </c>
      <c r="AT149" s="233" t="str">
        <f t="shared" si="88"/>
        <v>-0.145401769513277-0.146021963940334i</v>
      </c>
      <c r="AU149" s="233">
        <f t="shared" si="95"/>
        <v>-13.719781933827228</v>
      </c>
      <c r="AV149" s="233">
        <f t="shared" si="96"/>
        <v>-134.87806597259183</v>
      </c>
    </row>
    <row r="150" spans="6:48" x14ac:dyDescent="0.25">
      <c r="F150" s="233">
        <v>148</v>
      </c>
      <c r="G150" s="249">
        <f t="shared" si="65"/>
        <v>176.59767345162336</v>
      </c>
      <c r="H150" s="249">
        <f t="shared" si="66"/>
        <v>155.35342165233766</v>
      </c>
      <c r="I150" s="234">
        <f t="shared" si="67"/>
        <v>0</v>
      </c>
      <c r="J150" s="233">
        <f t="shared" si="89"/>
        <v>0</v>
      </c>
      <c r="K150" s="233">
        <f t="shared" si="90"/>
        <v>1</v>
      </c>
      <c r="L150" s="233">
        <f>10^('Small Signal'!F150/30)</f>
        <v>85769.589859089538</v>
      </c>
      <c r="M150" s="233" t="str">
        <f t="shared" si="68"/>
        <v>538906.226805451i</v>
      </c>
      <c r="N150" s="233">
        <f>IF(D$31=1, IF(AND('Small Signal'!$B$61&gt;=1,FCCM=0),V150+0,S150+0), 0)</f>
        <v>-14.998083718284912</v>
      </c>
      <c r="O150" s="233">
        <f>IF(D$31=1, IF(AND('Small Signal'!$B$61&gt;=1,FCCM=0),W150,T150), 0)</f>
        <v>-138.18421344685797</v>
      </c>
      <c r="P150" s="233">
        <f>IF(AND('Small Signal'!$B$61&gt;=1,FCCM=0),AF150+0,AC150+0)</f>
        <v>-8.0765453694152729</v>
      </c>
      <c r="Q150" s="233">
        <f>IF(AND('Small Signal'!$B$61&gt;=1,FCCM=0),AG150,AD150)</f>
        <v>42.735187877945819</v>
      </c>
      <c r="R150" s="233" t="str">
        <f>IMDIV(IMSUM('Small Signal'!$B$2*'Small Signal'!$B$38*'Small Signal'!$B$62,IMPRODUCT(M150,'Small Signal'!$B$2*'Small Signal'!$B$38*'Small Signal'!$B$62*'Small Signal'!$B$14*'Small Signal'!$B$15)),IMSUM(IMPRODUCT('Small Signal'!$B$12*'Small Signal'!$B$14*('Small Signal'!$B$15+'Small Signal'!$B$38),IMPOWER(M150,2)),IMSUM(IMPRODUCT(M150,('Small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-0.10889496315258-0.0826820649579719i</v>
      </c>
      <c r="S150" s="233">
        <f t="shared" si="91"/>
        <v>-14.998083718284912</v>
      </c>
      <c r="T150" s="233">
        <f t="shared" si="92"/>
        <v>-138.18421344685797</v>
      </c>
      <c r="U150" s="233" t="str">
        <f>IMDIV(IMSUM('Small Signal'!$B$74,IMPRODUCT(M150,'Small Signal'!$B$75)),IMSUM(IMPRODUCT('Small Signal'!$B$78,IMPOWER(M150,2)),IMSUM(IMPRODUCT(M150,'Small Signal'!$B$77),'Small Signal'!$B$76)))</f>
        <v>-0.0647601164373579-0.0384850292530518i</v>
      </c>
      <c r="V150" s="233">
        <f t="shared" si="69"/>
        <v>-22.460364179108325</v>
      </c>
      <c r="W150" s="233">
        <f t="shared" si="70"/>
        <v>-149.27823163101013</v>
      </c>
      <c r="X150" s="233" t="str">
        <f>IMPRODUCT(IMDIV(IMSUM(IMPRODUCT(M150,'Small Signal'!$B$57*'Small Signal'!$B$6*'Small Signal'!$B$50*'Small Signal'!$B$7*'Small Signal'!$B$8),'Small Signal'!$B$57*'Small Signal'!$B$6*'Small Signal'!$B$50),IMSUM(IMSUM(IMPRODUCT(M150,('Small Signal'!$B$5+'Small Signal'!$B$6)*('Small Signal'!$B$56*'Small Signal'!$B$57)+'Small Signal'!$B$5*'Small Signal'!$B$57*('Small Signal'!$B$8+'Small Signal'!$B$9)+'Small Signal'!$B$6*'Small Signal'!$B$57*('Small Signal'!$B$8+'Small Signal'!$B$9)+'Small Signal'!$B$7*'Small Signal'!$B$8*('Small Signal'!$B$5+'Small Signal'!$B$6)),'Small Signal'!$B$6+'Small Signal'!$B$5),IMPRODUCT(IMPOWER(M150,2),'Small Signal'!$B$56*'Small Signal'!$B$57*'Small Signal'!$B$8*'Small Signal'!$B$7*('Small Signal'!$B$5+'Small Signal'!$B$6)+('Small Signal'!$B$5+'Small Signal'!$B$6)*('Small Signal'!$B$9*'Small Signal'!$B$8*'Small Signal'!$B$57*'Small Signal'!$B$7)))),-1)</f>
        <v>-1.5592438058214+0.588078917914398i</v>
      </c>
      <c r="Y150" s="233">
        <f t="shared" si="71"/>
        <v>6.9215383488696274</v>
      </c>
      <c r="Z150" s="233">
        <f t="shared" si="72"/>
        <v>180.91940132480377</v>
      </c>
      <c r="AA150" s="233" t="str">
        <f t="shared" si="73"/>
        <v>1.23797064615881+0.489739756476423i</v>
      </c>
      <c r="AB150" s="233" t="str">
        <f t="shared" si="74"/>
        <v>0.289843343294225+0.267789505570059i</v>
      </c>
      <c r="AC150" s="230">
        <f t="shared" si="75"/>
        <v>-8.0765453694152729</v>
      </c>
      <c r="AD150" s="233">
        <f t="shared" si="76"/>
        <v>42.735187877945819</v>
      </c>
      <c r="AE150" s="233" t="str">
        <f t="shared" si="77"/>
        <v>0.123609044778262+0.0219234842811845i</v>
      </c>
      <c r="AF150" s="230">
        <f t="shared" si="78"/>
        <v>-18.024483305929802</v>
      </c>
      <c r="AG150" s="233">
        <f t="shared" si="79"/>
        <v>10.0574754936462</v>
      </c>
      <c r="AI150" s="233" t="str">
        <f t="shared" si="80"/>
        <v>0.002-0.0188005106555012i</v>
      </c>
      <c r="AJ150" s="233">
        <f t="shared" si="81"/>
        <v>0.33750000000000002</v>
      </c>
      <c r="AK150" s="233" t="str">
        <f t="shared" si="82"/>
        <v>0.15-18.5561040169797i</v>
      </c>
      <c r="AL150" s="233" t="str">
        <f t="shared" si="83"/>
        <v>0.00300809642344184-0.0185048218991534i</v>
      </c>
      <c r="AM150" s="233" t="str">
        <f t="shared" si="84"/>
        <v>0.364330064544085-0.0291769498428833i</v>
      </c>
      <c r="AN150" s="233" t="str">
        <f t="shared" si="85"/>
        <v>0.005+0.538906226805451i</v>
      </c>
      <c r="AO150" s="233" t="str">
        <f t="shared" si="86"/>
        <v>-0.132563042173706-0.118590778602354i</v>
      </c>
      <c r="AP150" s="233">
        <f t="shared" si="93"/>
        <v>-14.998083718284912</v>
      </c>
      <c r="AQ150" s="233">
        <f t="shared" si="94"/>
        <v>-138.18421344685797</v>
      </c>
      <c r="AS150" s="233" t="str">
        <f t="shared" si="87"/>
        <v>0.375508338583034-0.031007289403456i</v>
      </c>
      <c r="AT150" s="233" t="str">
        <f t="shared" si="88"/>
        <v>-0.133811805394425-0.123032785674646i</v>
      </c>
      <c r="AU150" s="233">
        <f t="shared" si="95"/>
        <v>-14.809249245883858</v>
      </c>
      <c r="AV150" s="233">
        <f t="shared" si="96"/>
        <v>-137.40312689449689</v>
      </c>
    </row>
    <row r="151" spans="6:48" x14ac:dyDescent="0.25">
      <c r="F151" s="233">
        <v>149</v>
      </c>
      <c r="G151" s="249">
        <f t="shared" si="65"/>
        <v>175.69495620131292</v>
      </c>
      <c r="H151" s="249">
        <f t="shared" si="66"/>
        <v>153.96238444524104</v>
      </c>
      <c r="I151" s="234">
        <f t="shared" si="67"/>
        <v>0</v>
      </c>
      <c r="J151" s="233">
        <f t="shared" si="89"/>
        <v>0</v>
      </c>
      <c r="K151" s="233">
        <f t="shared" si="90"/>
        <v>1</v>
      </c>
      <c r="L151" s="233">
        <f>10^('Small Signal'!F151/30)</f>
        <v>92611.872812879505</v>
      </c>
      <c r="M151" s="233" t="str">
        <f t="shared" si="68"/>
        <v>581897.558528269i</v>
      </c>
      <c r="N151" s="233">
        <f>IF(D$31=1, IF(AND('Small Signal'!$B$61&gt;=1,FCCM=0),V151+0,S151+0), 0)</f>
        <v>-16.12188484396038</v>
      </c>
      <c r="O151" s="233">
        <f>IF(D$31=1, IF(AND('Small Signal'!$B$61&gt;=1,FCCM=0),W151,T151), 0)</f>
        <v>-140.57820642206701</v>
      </c>
      <c r="P151" s="233">
        <f>IF(AND('Small Signal'!$B$61&gt;=1,FCCM=0),AF151+0,AC151+0)</f>
        <v>-9.0276570448145854</v>
      </c>
      <c r="Q151" s="233">
        <f>IF(AND('Small Signal'!$B$61&gt;=1,FCCM=0),AG151,AD151)</f>
        <v>39.679389065980587</v>
      </c>
      <c r="R151" s="233" t="str">
        <f>IMDIV(IMSUM('Small Signal'!$B$2*'Small Signal'!$B$38*'Small Signal'!$B$62,IMPRODUCT(M151,'Small Signal'!$B$2*'Small Signal'!$B$38*'Small Signal'!$B$62*'Small Signal'!$B$14*'Small Signal'!$B$15)),IMSUM(IMPRODUCT('Small Signal'!$B$12*'Small Signal'!$B$14*('Small Signal'!$B$15+'Small Signal'!$B$38),IMPOWER(M151,2)),IMSUM(IMPRODUCT(M151,('Small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-0.096671802222666-0.0690765757669572i</v>
      </c>
      <c r="S151" s="233">
        <f t="shared" si="91"/>
        <v>-16.12188484396038</v>
      </c>
      <c r="T151" s="233">
        <f t="shared" si="92"/>
        <v>-140.57820642206701</v>
      </c>
      <c r="U151" s="233" t="str">
        <f>IMDIV(IMSUM('Small Signal'!$B$74,IMPRODUCT(M151,'Small Signal'!$B$75)),IMSUM(IMPRODUCT('Small Signal'!$B$78,IMPOWER(M151,2)),IMSUM(IMPRODUCT(M151,'Small Signal'!$B$77),'Small Signal'!$B$76)))</f>
        <v>-0.0566998094271875-0.0319932687595605i</v>
      </c>
      <c r="V151" s="233">
        <f t="shared" si="69"/>
        <v>-23.727942027329924</v>
      </c>
      <c r="W151" s="233">
        <f t="shared" si="70"/>
        <v>-150.56582815231417</v>
      </c>
      <c r="X151" s="233" t="str">
        <f>IMPRODUCT(IMDIV(IMSUM(IMPRODUCT(M151,'Small Signal'!$B$57*'Small Signal'!$B$6*'Small Signal'!$B$50*'Small Signal'!$B$7*'Small Signal'!$B$8),'Small Signal'!$B$57*'Small Signal'!$B$6*'Small Signal'!$B$50),IMSUM(IMSUM(IMPRODUCT(M151,('Small Signal'!$B$5+'Small Signal'!$B$6)*('Small Signal'!$B$56*'Small Signal'!$B$57)+'Small Signal'!$B$5*'Small Signal'!$B$57*('Small Signal'!$B$8+'Small Signal'!$B$9)+'Small Signal'!$B$6*'Small Signal'!$B$57*('Small Signal'!$B$8+'Small Signal'!$B$9)+'Small Signal'!$B$7*'Small Signal'!$B$8*('Small Signal'!$B$5+'Small Signal'!$B$6)),'Small Signal'!$B$6+'Small Signal'!$B$5),IMPRODUCT(IMPOWER(M151,2),'Small Signal'!$B$56*'Small Signal'!$B$57*'Small Signal'!$B$8*'Small Signal'!$B$7*('Small Signal'!$B$5+'Small Signal'!$B$6)+('Small Signal'!$B$5+'Small Signal'!$B$6)*('Small Signal'!$B$9*'Small Signal'!$B$8*'Small Signal'!$B$57*'Small Signal'!$B$7)))),-1)</f>
        <v>-1.53608944305142+0.612461163879568i</v>
      </c>
      <c r="Y151" s="233">
        <f t="shared" si="71"/>
        <v>7.0942277991457816</v>
      </c>
      <c r="Z151" s="233">
        <f t="shared" si="72"/>
        <v>180.25759548804757</v>
      </c>
      <c r="AA151" s="233" t="str">
        <f t="shared" si="73"/>
        <v>1.26893059141694+0.512564878701594i</v>
      </c>
      <c r="AB151" s="233" t="str">
        <f t="shared" si="74"/>
        <v>0.272206652158502+0.225824952972646i</v>
      </c>
      <c r="AC151" s="230">
        <f t="shared" si="75"/>
        <v>-9.0276570448145854</v>
      </c>
      <c r="AD151" s="233">
        <f t="shared" si="76"/>
        <v>39.679389065980587</v>
      </c>
      <c r="AE151" s="233" t="str">
        <f t="shared" si="77"/>
        <v>0.106690613304922+0.0144180911167427i</v>
      </c>
      <c r="AF151" s="230">
        <f t="shared" si="78"/>
        <v>-19.358877749450144</v>
      </c>
      <c r="AG151" s="233">
        <f t="shared" si="79"/>
        <v>7.6962841296949387</v>
      </c>
      <c r="AI151" s="233" t="str">
        <f t="shared" si="80"/>
        <v>0.002-0.0174115050164446i</v>
      </c>
      <c r="AJ151" s="233">
        <f t="shared" si="81"/>
        <v>0.33750000000000002</v>
      </c>
      <c r="AK151" s="233" t="str">
        <f t="shared" si="82"/>
        <v>0.15-17.1851554512308i</v>
      </c>
      <c r="AL151" s="233" t="str">
        <f t="shared" si="83"/>
        <v>0.00286279986356433-0.0171451341767062i</v>
      </c>
      <c r="AM151" s="233" t="str">
        <f t="shared" si="84"/>
        <v>0.363945265933738-0.0314712712399465i</v>
      </c>
      <c r="AN151" s="233" t="str">
        <f t="shared" si="85"/>
        <v>0.005+0.581897558528269i</v>
      </c>
      <c r="AO151" s="233" t="str">
        <f t="shared" si="86"/>
        <v>-0.120725717812478-0.099242150141025i</v>
      </c>
      <c r="AP151" s="233">
        <f t="shared" si="93"/>
        <v>-16.12188484396038</v>
      </c>
      <c r="AQ151" s="233">
        <f t="shared" si="94"/>
        <v>-140.57820642206701</v>
      </c>
      <c r="AS151" s="233" t="str">
        <f t="shared" si="87"/>
        <v>0.375086881643056-0.0334433232000468i</v>
      </c>
      <c r="AT151" s="233" t="str">
        <f t="shared" si="88"/>
        <v>-0.122200479754041-0.103147431962288i</v>
      </c>
      <c r="AU151" s="233">
        <f t="shared" si="95"/>
        <v>-15.922293606240764</v>
      </c>
      <c r="AV151" s="233">
        <f t="shared" si="96"/>
        <v>-139.8328339690496</v>
      </c>
    </row>
    <row r="152" spans="6:48" x14ac:dyDescent="0.25">
      <c r="F152" s="233">
        <v>150</v>
      </c>
      <c r="G152" s="249">
        <f t="shared" si="65"/>
        <v>174.60993934803042</v>
      </c>
      <c r="H152" s="249">
        <f t="shared" si="66"/>
        <v>152.48799737614854</v>
      </c>
      <c r="I152" s="234">
        <f t="shared" si="67"/>
        <v>0</v>
      </c>
      <c r="J152" s="233">
        <f t="shared" si="89"/>
        <v>0</v>
      </c>
      <c r="K152" s="233">
        <f t="shared" si="90"/>
        <v>1</v>
      </c>
      <c r="L152" s="233">
        <f>10^('Small Signal'!F152/30)</f>
        <v>100000</v>
      </c>
      <c r="M152" s="233" t="str">
        <f t="shared" si="68"/>
        <v>628318.530717959i</v>
      </c>
      <c r="N152" s="233">
        <f>IF(D$31=1, IF(AND('Small Signal'!$B$61&gt;=1,FCCM=0),V152+0,S152+0), 0)</f>
        <v>-17.267057011654373</v>
      </c>
      <c r="O152" s="233">
        <f>IF(D$31=1, IF(AND('Small Signal'!$B$61&gt;=1,FCCM=0),W152,T152), 0)</f>
        <v>-142.8645931070877</v>
      </c>
      <c r="P152" s="233">
        <f>IF(AND('Small Signal'!$B$61&gt;=1,FCCM=0),AF152+0,AC152+0)</f>
        <v>-10.001885937532915</v>
      </c>
      <c r="Q152" s="233">
        <f>IF(AND('Small Signal'!$B$61&gt;=1,FCCM=0),AG152,AD152)</f>
        <v>36.52684992165338</v>
      </c>
      <c r="R152" s="233" t="str">
        <f>IMDIV(IMSUM('Small Signal'!$B$2*'Small Signal'!$B$38*'Small Signal'!$B$62,IMPRODUCT(M152,'Small Signal'!$B$2*'Small Signal'!$B$38*'Small Signal'!$B$62*'Small Signal'!$B$14*'Small Signal'!$B$15)),IMSUM(IMPRODUCT('Small Signal'!$B$12*'Small Signal'!$B$14*('Small Signal'!$B$15+'Small Signal'!$B$38),IMPOWER(M152,2)),IMSUM(IMPRODUCT(M152,('Small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-0.0854257624636934-0.0577336526148145i</v>
      </c>
      <c r="S152" s="233">
        <f t="shared" si="91"/>
        <v>-17.267057011654373</v>
      </c>
      <c r="T152" s="233">
        <f t="shared" si="92"/>
        <v>-142.8645931070877</v>
      </c>
      <c r="U152" s="233" t="str">
        <f>IMDIV(IMSUM('Small Signal'!$B$74,IMPRODUCT(M152,'Small Signal'!$B$75)),IMSUM(IMPRODUCT('Small Signal'!$B$78,IMPOWER(M152,2)),IMSUM(IMPRODUCT(M152,'Small Signal'!$B$77),'Small Signal'!$B$76)))</f>
        <v>-0.049499215795552-0.0266569210314946i</v>
      </c>
      <c r="V152" s="233">
        <f t="shared" si="69"/>
        <v>-25.002079567944282</v>
      </c>
      <c r="W152" s="233">
        <f t="shared" si="70"/>
        <v>-151.69610621959762</v>
      </c>
      <c r="X152" s="233" t="str">
        <f>IMPRODUCT(IMDIV(IMSUM(IMPRODUCT(M152,'Small Signal'!$B$57*'Small Signal'!$B$6*'Small Signal'!$B$50*'Small Signal'!$B$7*'Small Signal'!$B$8),'Small Signal'!$B$57*'Small Signal'!$B$6*'Small Signal'!$B$50),IMSUM(IMSUM(IMPRODUCT(M152,('Small Signal'!$B$5+'Small Signal'!$B$6)*('Small Signal'!$B$56*'Small Signal'!$B$57)+'Small Signal'!$B$5*'Small Signal'!$B$57*('Small Signal'!$B$8+'Small Signal'!$B$9)+'Small Signal'!$B$6*'Small Signal'!$B$57*('Small Signal'!$B$8+'Small Signal'!$B$9)+'Small Signal'!$B$7*'Small Signal'!$B$8*('Small Signal'!$B$5+'Small Signal'!$B$6)),'Small Signal'!$B$6+'Small Signal'!$B$5),IMPRODUCT(IMPOWER(M152,2),'Small Signal'!$B$56*'Small Signal'!$B$57*'Small Signal'!$B$8*'Small Signal'!$B$7*('Small Signal'!$B$5+'Small Signal'!$B$6)+('Small Signal'!$B$5+'Small Signal'!$B$6)*('Small Signal'!$B$9*'Small Signal'!$B$8*'Small Signal'!$B$57*'Small Signal'!$B$7)))),-1)</f>
        <v>-1.5099476353489+0.638137852363615i</v>
      </c>
      <c r="Y152" s="233">
        <f t="shared" si="71"/>
        <v>7.2651710741214597</v>
      </c>
      <c r="Z152" s="233">
        <f t="shared" si="72"/>
        <v>179.39144302874098</v>
      </c>
      <c r="AA152" s="233" t="str">
        <f t="shared" si="73"/>
        <v>1.302708674011+0.534318449400681i</v>
      </c>
      <c r="AB152" s="233" t="str">
        <f t="shared" si="74"/>
        <v>0.254058515383657+0.188177721508105i</v>
      </c>
      <c r="AC152" s="230">
        <f t="shared" si="75"/>
        <v>-10.001885937532915</v>
      </c>
      <c r="AD152" s="233">
        <f t="shared" si="76"/>
        <v>36.52684992165338</v>
      </c>
      <c r="AE152" s="233" t="str">
        <f t="shared" si="77"/>
        <v>0.0917520141797831+0.00866323161573095i</v>
      </c>
      <c r="AF152" s="230">
        <f t="shared" si="78"/>
        <v>-20.709141429492114</v>
      </c>
      <c r="AG152" s="233">
        <f t="shared" si="79"/>
        <v>5.393880367846891</v>
      </c>
      <c r="AI152" s="233" t="str">
        <f t="shared" si="80"/>
        <v>0.002-0.0161251208806378i</v>
      </c>
      <c r="AJ152" s="233">
        <f t="shared" si="81"/>
        <v>0.33750000000000002</v>
      </c>
      <c r="AK152" s="233" t="str">
        <f t="shared" si="82"/>
        <v>0.15-15.9154943091895i</v>
      </c>
      <c r="AL152" s="233" t="str">
        <f t="shared" si="83"/>
        <v>0.0027380789252165-0.0158843778540064i</v>
      </c>
      <c r="AM152" s="233" t="str">
        <f t="shared" si="84"/>
        <v>0.363497648743362-0.0339401025918755i</v>
      </c>
      <c r="AN152" s="233" t="str">
        <f t="shared" si="85"/>
        <v>0.005+0.628318530717959i</v>
      </c>
      <c r="AO152" s="233" t="str">
        <f t="shared" si="86"/>
        <v>-0.109199447127974-0.0826930226710729i</v>
      </c>
      <c r="AP152" s="233">
        <f t="shared" si="93"/>
        <v>-17.267057011654373</v>
      </c>
      <c r="AQ152" s="233">
        <f t="shared" si="94"/>
        <v>-142.8645931070877</v>
      </c>
      <c r="AS152" s="233" t="str">
        <f t="shared" si="87"/>
        <v>0.374596691889923-0.0360640770058667i</v>
      </c>
      <c r="AT152" s="233" t="str">
        <f t="shared" si="88"/>
        <v>-0.110817577038144-0.0860810321350255i</v>
      </c>
      <c r="AU152" s="233">
        <f t="shared" si="95"/>
        <v>-17.057437084229353</v>
      </c>
      <c r="AV152" s="233">
        <f t="shared" si="96"/>
        <v>-142.16060405560668</v>
      </c>
    </row>
    <row r="153" spans="6:48" x14ac:dyDescent="0.25">
      <c r="F153" s="233">
        <v>151</v>
      </c>
      <c r="G153" s="249">
        <f t="shared" si="65"/>
        <v>173.33289676272545</v>
      </c>
      <c r="H153" s="249">
        <f t="shared" si="66"/>
        <v>150.92940501611019</v>
      </c>
      <c r="I153" s="234">
        <f t="shared" si="67"/>
        <v>0</v>
      </c>
      <c r="J153" s="233">
        <f t="shared" si="89"/>
        <v>0</v>
      </c>
      <c r="K153" s="233">
        <f t="shared" si="90"/>
        <v>1</v>
      </c>
      <c r="L153" s="233">
        <f>10^('Small Signal'!F153/30)</f>
        <v>107977.51623277101</v>
      </c>
      <c r="M153" s="233" t="str">
        <f t="shared" si="68"/>
        <v>678442.743499492i</v>
      </c>
      <c r="N153" s="233">
        <f>IF(D$31=1, IF(AND('Small Signal'!$B$61&gt;=1,FCCM=0),V153+0,S153+0), 0)</f>
        <v>-18.431942617523699</v>
      </c>
      <c r="O153" s="233">
        <f>IF(D$31=1, IF(AND('Small Signal'!$B$61&gt;=1,FCCM=0),W153,T153), 0)</f>
        <v>-145.03886122655925</v>
      </c>
      <c r="P153" s="233">
        <f>IF(AND('Small Signal'!$B$61&gt;=1,FCCM=0),AF153+0,AC153+0)</f>
        <v>-11.001068968991408</v>
      </c>
      <c r="Q153" s="233">
        <f>IF(AND('Small Signal'!$B$61&gt;=1,FCCM=0),AG153,AD153)</f>
        <v>33.274517700956551</v>
      </c>
      <c r="R153" s="233" t="str">
        <f>IMDIV(IMSUM('Small Signal'!$B$2*'Small Signal'!$B$38*'Small Signal'!$B$62,IMPRODUCT(M153,'Small Signal'!$B$2*'Small Signal'!$B$38*'Small Signal'!$B$62*'Small Signal'!$B$14*'Small Signal'!$B$15)),IMSUM(IMPRODUCT('Small Signal'!$B$12*'Small Signal'!$B$14*('Small Signal'!$B$15+'Small Signal'!$B$38),IMPOWER(M153,2)),IMSUM(IMPRODUCT(M153,('Small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-0.0751850654598158-0.0483068417565816i</v>
      </c>
      <c r="S153" s="233">
        <f t="shared" si="91"/>
        <v>-18.431942617523699</v>
      </c>
      <c r="T153" s="233">
        <f t="shared" si="92"/>
        <v>-145.03886122655925</v>
      </c>
      <c r="U153" s="233" t="str">
        <f>IMDIV(IMSUM('Small Signal'!$B$74,IMPRODUCT(M153,'Small Signal'!$B$75)),IMSUM(IMPRODUCT('Small Signal'!$B$78,IMPOWER(M153,2)),IMSUM(IMPRODUCT(M153,'Small Signal'!$B$77),'Small Signal'!$B$76)))</f>
        <v>-0.0431055525807984-0.0222740161453538i</v>
      </c>
      <c r="V153" s="233">
        <f t="shared" si="69"/>
        <v>-26.281528705307686</v>
      </c>
      <c r="W153" s="233">
        <f t="shared" si="70"/>
        <v>-152.67315653061735</v>
      </c>
      <c r="X153" s="233" t="str">
        <f>IMPRODUCT(IMDIV(IMSUM(IMPRODUCT(M153,'Small Signal'!$B$57*'Small Signal'!$B$6*'Small Signal'!$B$50*'Small Signal'!$B$7*'Small Signal'!$B$8),'Small Signal'!$B$57*'Small Signal'!$B$6*'Small Signal'!$B$50),IMSUM(IMSUM(IMPRODUCT(M153,('Small Signal'!$B$5+'Small Signal'!$B$6)*('Small Signal'!$B$56*'Small Signal'!$B$57)+'Small Signal'!$B$5*'Small Signal'!$B$57*('Small Signal'!$B$8+'Small Signal'!$B$9)+'Small Signal'!$B$6*'Small Signal'!$B$57*('Small Signal'!$B$8+'Small Signal'!$B$9)+'Small Signal'!$B$7*'Small Signal'!$B$8*('Small Signal'!$B$5+'Small Signal'!$B$6)),'Small Signal'!$B$6+'Small Signal'!$B$5),IMPRODUCT(IMPOWER(M153,2),'Small Signal'!$B$56*'Small Signal'!$B$57*'Small Signal'!$B$8*'Small Signal'!$B$7*('Small Signal'!$B$5+'Small Signal'!$B$6)+('Small Signal'!$B$5+'Small Signal'!$B$6)*('Small Signal'!$B$9*'Small Signal'!$B$8*'Small Signal'!$B$57*'Small Signal'!$B$7)))),-1)</f>
        <v>-1.48057071312964+0.664807878147144i</v>
      </c>
      <c r="Y153" s="233">
        <f t="shared" si="71"/>
        <v>7.4308736485323017</v>
      </c>
      <c r="Z153" s="233">
        <f t="shared" si="72"/>
        <v>178.31337892751574</v>
      </c>
      <c r="AA153" s="233" t="str">
        <f t="shared" si="73"/>
        <v>1.33925600470877+0.554586781940894i</v>
      </c>
      <c r="AB153" s="233" t="str">
        <f t="shared" si="74"/>
        <v>0.23560231822778+0.154611842987497i</v>
      </c>
      <c r="AC153" s="230">
        <f t="shared" si="75"/>
        <v>-11.001068968991408</v>
      </c>
      <c r="AD153" s="233">
        <f t="shared" si="76"/>
        <v>33.274517700956551</v>
      </c>
      <c r="AE153" s="233" t="str">
        <f t="shared" si="77"/>
        <v>0.0786287601358078+0.00432134502098686i</v>
      </c>
      <c r="AF153" s="230">
        <f t="shared" si="78"/>
        <v>-22.075273471151498</v>
      </c>
      <c r="AG153" s="233">
        <f t="shared" si="79"/>
        <v>3.1457446022924649</v>
      </c>
      <c r="AI153" s="233" t="str">
        <f t="shared" si="80"/>
        <v>0.002-0.0149337764408994i</v>
      </c>
      <c r="AJ153" s="233">
        <f t="shared" si="81"/>
        <v>0.33750000000000002</v>
      </c>
      <c r="AK153" s="233" t="str">
        <f t="shared" si="82"/>
        <v>0.15-14.7396373471677i</v>
      </c>
      <c r="AL153" s="233" t="str">
        <f t="shared" si="83"/>
        <v>0.0026310321111547-0.0147155563261762i</v>
      </c>
      <c r="AM153" s="233" t="str">
        <f t="shared" si="84"/>
        <v>0.362977153650175-0.0365952036895784i</v>
      </c>
      <c r="AN153" s="233" t="str">
        <f t="shared" si="85"/>
        <v>0.005+0.678442743499492i</v>
      </c>
      <c r="AO153" s="233" t="str">
        <f t="shared" si="86"/>
        <v>-0.0981688028643922-0.068639353936517i</v>
      </c>
      <c r="AP153" s="233">
        <f t="shared" si="93"/>
        <v>-18.431942617523699</v>
      </c>
      <c r="AQ153" s="233">
        <f t="shared" si="94"/>
        <v>-145.03886122655925</v>
      </c>
      <c r="AS153" s="233" t="str">
        <f t="shared" si="87"/>
        <v>0.374026787860666-0.0388818503888349i</v>
      </c>
      <c r="AT153" s="233" t="str">
        <f t="shared" si="88"/>
        <v>-0.0998591206108967-0.0715417824577063i</v>
      </c>
      <c r="AU153" s="233">
        <f t="shared" si="95"/>
        <v>-18.213087281567244</v>
      </c>
      <c r="AV153" s="233">
        <f t="shared" si="96"/>
        <v>-144.38116136112407</v>
      </c>
    </row>
    <row r="154" spans="6:48" x14ac:dyDescent="0.25">
      <c r="F154" s="233">
        <v>152</v>
      </c>
      <c r="G154" s="249">
        <f t="shared" si="65"/>
        <v>171.85729642880793</v>
      </c>
      <c r="H154" s="249">
        <f t="shared" si="66"/>
        <v>149.28667248897071</v>
      </c>
      <c r="I154" s="234">
        <f t="shared" si="67"/>
        <v>0</v>
      </c>
      <c r="J154" s="233">
        <f t="shared" si="89"/>
        <v>0</v>
      </c>
      <c r="K154" s="233">
        <f t="shared" si="90"/>
        <v>1</v>
      </c>
      <c r="L154" s="233">
        <f>10^('Small Signal'!F154/30)</f>
        <v>116591.44011798326</v>
      </c>
      <c r="M154" s="233" t="str">
        <f t="shared" si="68"/>
        <v>732565.623492221i</v>
      </c>
      <c r="N154" s="233">
        <f>IF(D$31=1, IF(AND('Small Signal'!$B$61&gt;=1,FCCM=0),V154+0,S154+0), 0)</f>
        <v>-19.614834235233761</v>
      </c>
      <c r="O154" s="233">
        <f>IF(D$31=1, IF(AND('Small Signal'!$B$61&gt;=1,FCCM=0),W154,T154), 0)</f>
        <v>-147.09784763676359</v>
      </c>
      <c r="P154" s="233">
        <f>IF(AND('Small Signal'!$B$61&gt;=1,FCCM=0),AF154+0,AC154+0)</f>
        <v>-12.027269497517834</v>
      </c>
      <c r="Q154" s="233">
        <f>IF(AND('Small Signal'!$B$61&gt;=1,FCCM=0),AG154,AD154)</f>
        <v>29.921194795440069</v>
      </c>
      <c r="R154" s="233" t="str">
        <f>IMDIV(IMSUM('Small Signal'!$B$2*'Small Signal'!$B$38*'Small Signal'!$B$62,IMPRODUCT(M154,'Small Signal'!$B$2*'Small Signal'!$B$38*'Small Signal'!$B$62*'Small Signal'!$B$14*'Small Signal'!$B$15)),IMSUM(IMPRODUCT('Small Signal'!$B$12*'Small Signal'!$B$14*('Small Signal'!$B$15+'Small Signal'!$B$38),IMPOWER(M154,2)),IMSUM(IMPRODUCT(M154,('Small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-0.0659407604708109-0.0404911246757911i</v>
      </c>
      <c r="S154" s="233">
        <f t="shared" si="91"/>
        <v>-19.614834235233761</v>
      </c>
      <c r="T154" s="233">
        <f t="shared" si="92"/>
        <v>-147.09784763676359</v>
      </c>
      <c r="U154" s="233" t="str">
        <f>IMDIV(IMSUM('Small Signal'!$B$74,IMPRODUCT(M154,'Small Signal'!$B$75)),IMSUM(IMPRODUCT('Small Signal'!$B$78,IMPOWER(M154,2)),IMSUM(IMPRODUCT(M154,'Small Signal'!$B$77),'Small Signal'!$B$76)))</f>
        <v>-0.0374573891739248-0.018674905624729i</v>
      </c>
      <c r="V154" s="233">
        <f t="shared" si="69"/>
        <v>-27.565134689537516</v>
      </c>
      <c r="W154" s="233">
        <f t="shared" si="70"/>
        <v>-153.50080820041362</v>
      </c>
      <c r="X154" s="233" t="str">
        <f>IMPRODUCT(IMDIV(IMSUM(IMPRODUCT(M154,'Small Signal'!$B$57*'Small Signal'!$B$6*'Small Signal'!$B$50*'Small Signal'!$B$7*'Small Signal'!$B$8),'Small Signal'!$B$57*'Small Signal'!$B$6*'Small Signal'!$B$50),IMSUM(IMSUM(IMPRODUCT(M154,('Small Signal'!$B$5+'Small Signal'!$B$6)*('Small Signal'!$B$56*'Small Signal'!$B$57)+'Small Signal'!$B$5*'Small Signal'!$B$57*('Small Signal'!$B$8+'Small Signal'!$B$9)+'Small Signal'!$B$6*'Small Signal'!$B$57*('Small Signal'!$B$8+'Small Signal'!$B$9)+'Small Signal'!$B$7*'Small Signal'!$B$8*('Small Signal'!$B$5+'Small Signal'!$B$6)),'Small Signal'!$B$6+'Small Signal'!$B$5),IMPRODUCT(IMPOWER(M154,2),'Small Signal'!$B$56*'Small Signal'!$B$57*'Small Signal'!$B$8*'Small Signal'!$B$7*('Small Signal'!$B$5+'Small Signal'!$B$6)+('Small Signal'!$B$5+'Small Signal'!$B$6)*('Small Signal'!$B$9*'Small Signal'!$B$8*'Small Signal'!$B$57*'Small Signal'!$B$7)))),-1)</f>
        <v>-1.44773149999602+0.692112200078298i</v>
      </c>
      <c r="Y154" s="233">
        <f t="shared" si="71"/>
        <v>7.5875647377159288</v>
      </c>
      <c r="Z154" s="233">
        <f t="shared" si="72"/>
        <v>177.01904243220366</v>
      </c>
      <c r="AA154" s="233" t="str">
        <f t="shared" si="73"/>
        <v>1.3784452791234+0.572943411695962i</v>
      </c>
      <c r="AB154" s="233" t="str">
        <f t="shared" si="74"/>
        <v>0.217025856980364+0.124902253034432i</v>
      </c>
      <c r="AC154" s="230">
        <f t="shared" si="75"/>
        <v>-12.027269497517834</v>
      </c>
      <c r="AD154" s="233">
        <f t="shared" si="76"/>
        <v>29.921194795440069</v>
      </c>
      <c r="AE154" s="233" t="str">
        <f t="shared" si="77"/>
        <v>0.0671533722328866+0.00111153310201892i</v>
      </c>
      <c r="AF154" s="230">
        <f t="shared" si="78"/>
        <v>-23.457453780222778</v>
      </c>
      <c r="AG154" s="233">
        <f t="shared" si="79"/>
        <v>0.94828209305104705</v>
      </c>
      <c r="AI154" s="233" t="str">
        <f t="shared" si="80"/>
        <v>0.002-0.0138304500436054i</v>
      </c>
      <c r="AJ154" s="233">
        <f t="shared" si="81"/>
        <v>0.33750000000000002</v>
      </c>
      <c r="AK154" s="233" t="str">
        <f t="shared" si="82"/>
        <v>0.15-13.6506541930386i</v>
      </c>
      <c r="AL154" s="233" t="str">
        <f t="shared" si="83"/>
        <v>0.0025391638394135-0.0136321261517107i</v>
      </c>
      <c r="AM154" s="233" t="str">
        <f t="shared" si="84"/>
        <v>0.362372179875126-0.0394487330607189i</v>
      </c>
      <c r="AN154" s="233" t="str">
        <f t="shared" si="85"/>
        <v>0.005+0.732565623492221i</v>
      </c>
      <c r="AO154" s="233" t="str">
        <f t="shared" si="86"/>
        <v>-0.0877668352096437-0.0567835890564811i</v>
      </c>
      <c r="AP154" s="233">
        <f t="shared" si="93"/>
        <v>-19.614834235233761</v>
      </c>
      <c r="AQ154" s="233">
        <f t="shared" si="94"/>
        <v>-147.09784763676359</v>
      </c>
      <c r="AS154" s="233" t="str">
        <f t="shared" si="87"/>
        <v>0.373364514181508-0.0419093176008816i</v>
      </c>
      <c r="AT154" s="233" t="str">
        <f t="shared" si="88"/>
        <v>-0.0894706087228225-0.059240444048127i</v>
      </c>
      <c r="AU154" s="233">
        <f t="shared" si="95"/>
        <v>-19.38757931898515</v>
      </c>
      <c r="AV154" s="233">
        <f t="shared" si="96"/>
        <v>-146.49058733015013</v>
      </c>
    </row>
    <row r="155" spans="6:48" x14ac:dyDescent="0.25">
      <c r="F155" s="233">
        <v>153</v>
      </c>
      <c r="G155" s="249">
        <f t="shared" si="65"/>
        <v>170.18029527558997</v>
      </c>
      <c r="H155" s="249">
        <f t="shared" si="66"/>
        <v>147.56094519368528</v>
      </c>
      <c r="I155" s="234">
        <f t="shared" si="67"/>
        <v>0</v>
      </c>
      <c r="J155" s="233">
        <f t="shared" si="89"/>
        <v>0</v>
      </c>
      <c r="K155" s="233">
        <f t="shared" si="90"/>
        <v>1</v>
      </c>
      <c r="L155" s="233">
        <f>10^('Small Signal'!F155/30)</f>
        <v>125892.54117941685</v>
      </c>
      <c r="M155" s="233" t="str">
        <f t="shared" si="68"/>
        <v>791006.165022013i</v>
      </c>
      <c r="N155" s="233">
        <f>IF(D$31=1, IF(AND('Small Signal'!$B$61&gt;=1,FCCM=0),V155+0,S155+0), 0)</f>
        <v>-20.81401144916564</v>
      </c>
      <c r="O155" s="233">
        <f>IF(D$31=1, IF(AND('Small Signal'!$B$61&gt;=1,FCCM=0),W155,T155), 0)</f>
        <v>-149.03969554067211</v>
      </c>
      <c r="P155" s="233">
        <f>IF(AND('Small Signal'!$B$61&gt;=1,FCCM=0),AF155+0,AC155+0)</f>
        <v>-13.082719603344632</v>
      </c>
      <c r="Q155" s="233">
        <f>IF(AND('Small Signal'!$B$61&gt;=1,FCCM=0),AG155,AD155)</f>
        <v>26.467983944501235</v>
      </c>
      <c r="R155" s="233" t="str">
        <f>IMDIV(IMSUM('Small Signal'!$B$2*'Small Signal'!$B$38*'Small Signal'!$B$62,IMPRODUCT(M155,'Small Signal'!$B$2*'Small Signal'!$B$38*'Small Signal'!$B$62*'Small Signal'!$B$14*'Small Signal'!$B$15)),IMSUM(IMPRODUCT('Small Signal'!$B$12*'Small Signal'!$B$14*('Small Signal'!$B$15+'Small Signal'!$B$38),IMPOWER(M155,2)),IMSUM(IMPRODUCT(M155,('Small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-0.0576573465843642-0.0340217602362524i</v>
      </c>
      <c r="S155" s="233">
        <f t="shared" si="91"/>
        <v>-20.81401144916564</v>
      </c>
      <c r="T155" s="233">
        <f t="shared" si="92"/>
        <v>-149.03969554067211</v>
      </c>
      <c r="U155" s="233" t="str">
        <f>IMDIV(IMSUM('Small Signal'!$B$74,IMPRODUCT(M155,'Small Signal'!$B$75)),IMSUM(IMPRODUCT('Small Signal'!$B$78,IMPOWER(M155,2)),IMSUM(IMPRODUCT(M155,'Small Signal'!$B$77),'Small Signal'!$B$76)))</f>
        <v>-0.0324893840480008-0.0157181768670697i</v>
      </c>
      <c r="V155" s="233">
        <f t="shared" si="69"/>
        <v>-28.851818714034508</v>
      </c>
      <c r="W155" s="233">
        <f t="shared" si="70"/>
        <v>-154.18257029064142</v>
      </c>
      <c r="X155" s="233" t="str">
        <f>IMPRODUCT(IMDIV(IMSUM(IMPRODUCT(M155,'Small Signal'!$B$57*'Small Signal'!$B$6*'Small Signal'!$B$50*'Small Signal'!$B$7*'Small Signal'!$B$8),'Small Signal'!$B$57*'Small Signal'!$B$6*'Small Signal'!$B$50),IMSUM(IMSUM(IMPRODUCT(M155,('Small Signal'!$B$5+'Small Signal'!$B$6)*('Small Signal'!$B$56*'Small Signal'!$B$57)+'Small Signal'!$B$5*'Small Signal'!$B$57*('Small Signal'!$B$8+'Small Signal'!$B$9)+'Small Signal'!$B$6*'Small Signal'!$B$57*('Small Signal'!$B$8+'Small Signal'!$B$9)+'Small Signal'!$B$7*'Small Signal'!$B$8*('Small Signal'!$B$5+'Small Signal'!$B$6)),'Small Signal'!$B$6+'Small Signal'!$B$5),IMPRODUCT(IMPOWER(M155,2),'Small Signal'!$B$56*'Small Signal'!$B$57*'Small Signal'!$B$8*'Small Signal'!$B$7*('Small Signal'!$B$5+'Small Signal'!$B$6)+('Small Signal'!$B$5+'Small Signal'!$B$6)*('Small Signal'!$B$9*'Small Signal'!$B$8*'Small Signal'!$B$57*'Small Signal'!$B$7)))),-1)</f>
        <v>-1.41123715434521+0.719631695958586i</v>
      </c>
      <c r="Y155" s="233">
        <f t="shared" si="71"/>
        <v>7.7312918458210129</v>
      </c>
      <c r="Z155" s="233">
        <f t="shared" si="72"/>
        <v>175.5076794851733</v>
      </c>
      <c r="AA155" s="233" t="str">
        <f t="shared" si="73"/>
        <v>1.42006397318899+0.588966699567146i</v>
      </c>
      <c r="AB155" s="233" t="str">
        <f t="shared" si="74"/>
        <v>0.198507131252981+0.0988335467256458i</v>
      </c>
      <c r="AC155" s="230">
        <f t="shared" si="75"/>
        <v>-13.082719603344632</v>
      </c>
      <c r="AD155" s="233">
        <f t="shared" si="76"/>
        <v>26.467983944501235</v>
      </c>
      <c r="AE155" s="233" t="str">
        <f t="shared" si="77"/>
        <v>0.0571615241665557-0.00119831534973449i</v>
      </c>
      <c r="AF155" s="230">
        <f t="shared" si="78"/>
        <v>-24.856015793734095</v>
      </c>
      <c r="AG155" s="233">
        <f t="shared" si="79"/>
        <v>-1.2009539252436534</v>
      </c>
      <c r="AI155" s="233" t="str">
        <f t="shared" si="80"/>
        <v>0.002-0.0128086388038327i</v>
      </c>
      <c r="AJ155" s="233">
        <f t="shared" si="81"/>
        <v>0.33750000000000002</v>
      </c>
      <c r="AK155" s="233" t="str">
        <f t="shared" si="82"/>
        <v>0.15-12.6421264993829i</v>
      </c>
      <c r="AL155" s="233" t="str">
        <f t="shared" si="83"/>
        <v>0.00246032851283058-0.0126279765357044i</v>
      </c>
      <c r="AM155" s="233" t="str">
        <f t="shared" si="84"/>
        <v>0.361669373554325-0.0425131493706069i</v>
      </c>
      <c r="AN155" s="233" t="str">
        <f t="shared" si="85"/>
        <v>0.005+0.791006165022013i</v>
      </c>
      <c r="AO155" s="233" t="str">
        <f t="shared" si="86"/>
        <v>-0.078081054879121-0.046842235193344i</v>
      </c>
      <c r="AP155" s="233">
        <f t="shared" si="93"/>
        <v>-20.81401144916564</v>
      </c>
      <c r="AQ155" s="233">
        <f t="shared" si="94"/>
        <v>-149.03969554067211</v>
      </c>
      <c r="AS155" s="233" t="str">
        <f t="shared" si="87"/>
        <v>0.372595314945879-0.0451594114941605i</v>
      </c>
      <c r="AT155" s="233" t="str">
        <f t="shared" si="88"/>
        <v>-0.0797519668688621-0.0488982885119573i</v>
      </c>
      <c r="AU155" s="233">
        <f t="shared" si="95"/>
        <v>-20.579215305285302</v>
      </c>
      <c r="AV155" s="233">
        <f t="shared" si="96"/>
        <v>-148.4863073400704</v>
      </c>
    </row>
    <row r="156" spans="6:48" x14ac:dyDescent="0.25">
      <c r="F156" s="233">
        <v>154</v>
      </c>
      <c r="G156" s="249">
        <f t="shared" si="65"/>
        <v>168.30309667902367</v>
      </c>
      <c r="H156" s="249">
        <f t="shared" si="66"/>
        <v>145.75459943167883</v>
      </c>
      <c r="I156" s="234">
        <f t="shared" si="67"/>
        <v>0</v>
      </c>
      <c r="J156" s="233">
        <f t="shared" si="89"/>
        <v>0</v>
      </c>
      <c r="K156" s="233">
        <f t="shared" si="90"/>
        <v>1</v>
      </c>
      <c r="L156" s="233">
        <f>10^('Small Signal'!F156/30)</f>
        <v>135935.63908785273</v>
      </c>
      <c r="M156" s="233" t="str">
        <f t="shared" si="68"/>
        <v>854108.810238863i</v>
      </c>
      <c r="N156" s="233">
        <f>IF(D$31=1, IF(AND('Small Signal'!$B$61&gt;=1,FCCM=0),V156+0,S156+0), 0)</f>
        <v>-22.027772357293859</v>
      </c>
      <c r="O156" s="233">
        <f>IF(D$31=1, IF(AND('Small Signal'!$B$61&gt;=1,FCCM=0),W156,T156), 0)</f>
        <v>-150.86376807163725</v>
      </c>
      <c r="P156" s="233">
        <f>IF(AND('Small Signal'!$B$61&gt;=1,FCCM=0),AF156+0,AC156+0)</f>
        <v>-14.169744105761255</v>
      </c>
      <c r="Q156" s="233">
        <f>IF(AND('Small Signal'!$B$61&gt;=1,FCCM=0),AG156,AD156)</f>
        <v>22.91863522630149</v>
      </c>
      <c r="R156" s="233" t="str">
        <f>IMDIV(IMSUM('Small Signal'!$B$2*'Small Signal'!$B$38*'Small Signal'!$B$62,IMPRODUCT(M156,'Small Signal'!$B$2*'Small Signal'!$B$38*'Small Signal'!$B$62*'Small Signal'!$B$14*'Small Signal'!$B$15)),IMSUM(IMPRODUCT('Small Signal'!$B$12*'Small Signal'!$B$14*('Small Signal'!$B$15+'Small Signal'!$B$38),IMPOWER(M156,2)),IMSUM(IMPRODUCT(M156,('Small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-0.0502814780564982-0.0286717190234063i</v>
      </c>
      <c r="S156" s="233">
        <f t="shared" si="91"/>
        <v>-22.027772357293859</v>
      </c>
      <c r="T156" s="233">
        <f t="shared" si="92"/>
        <v>-150.86376807163725</v>
      </c>
      <c r="U156" s="233" t="str">
        <f>IMDIV(IMSUM('Small Signal'!$B$74,IMPRODUCT(M156,'Small Signal'!$B$75)),IMSUM(IMPRODUCT('Small Signal'!$B$78,IMPOWER(M156,2)),IMSUM(IMPRODUCT(M156,'Small Signal'!$B$77),'Small Signal'!$B$76)))</f>
        <v>-0.0281356781830918-0.0132867035318344i</v>
      </c>
      <c r="V156" s="233">
        <f t="shared" si="69"/>
        <v>-30.14056059385036</v>
      </c>
      <c r="W156" s="233">
        <f t="shared" si="70"/>
        <v>-154.721593317116</v>
      </c>
      <c r="X156" s="233" t="str">
        <f>IMPRODUCT(IMDIV(IMSUM(IMPRODUCT(M156,'Small Signal'!$B$57*'Small Signal'!$B$6*'Small Signal'!$B$50*'Small Signal'!$B$7*'Small Signal'!$B$8),'Small Signal'!$B$57*'Small Signal'!$B$6*'Small Signal'!$B$50),IMSUM(IMSUM(IMPRODUCT(M156,('Small Signal'!$B$5+'Small Signal'!$B$6)*('Small Signal'!$B$56*'Small Signal'!$B$57)+'Small Signal'!$B$5*'Small Signal'!$B$57*('Small Signal'!$B$8+'Small Signal'!$B$9)+'Small Signal'!$B$6*'Small Signal'!$B$57*('Small Signal'!$B$8+'Small Signal'!$B$9)+'Small Signal'!$B$7*'Small Signal'!$B$8*('Small Signal'!$B$5+'Small Signal'!$B$6)),'Small Signal'!$B$6+'Small Signal'!$B$5),IMPRODUCT(IMPOWER(M156,2),'Small Signal'!$B$56*'Small Signal'!$B$57*'Small Signal'!$B$8*'Small Signal'!$B$7*('Small Signal'!$B$5+'Small Signal'!$B$6)+('Small Signal'!$B$5+'Small Signal'!$B$6)*('Small Signal'!$B$9*'Small Signal'!$B$8*'Small Signal'!$B$57*'Small Signal'!$B$7)))),-1)</f>
        <v>-1.3709449704875+0.746888233317219i</v>
      </c>
      <c r="Y156" s="233">
        <f t="shared" si="71"/>
        <v>7.8580282515326028</v>
      </c>
      <c r="Z156" s="233">
        <f t="shared" si="72"/>
        <v>173.78240329793877</v>
      </c>
      <c r="AA156" s="233" t="str">
        <f t="shared" si="73"/>
        <v>1.46381224480582+0.602260223649812i</v>
      </c>
      <c r="AB156" s="233" t="str">
        <f t="shared" si="74"/>
        <v>0.180218822994375+0.076196495391517i</v>
      </c>
      <c r="AC156" s="230">
        <f t="shared" si="75"/>
        <v>-14.169744105761255</v>
      </c>
      <c r="AD156" s="233">
        <f t="shared" si="76"/>
        <v>22.91863522630149</v>
      </c>
      <c r="AE156" s="233" t="str">
        <f t="shared" si="77"/>
        <v>0.048496149023866-0.00279886759002438i</v>
      </c>
      <c r="AF156" s="230">
        <f t="shared" si="78"/>
        <v>-26.271413430905231</v>
      </c>
      <c r="AG156" s="233">
        <f t="shared" si="79"/>
        <v>-3.3030583216966614</v>
      </c>
      <c r="AI156" s="233" t="str">
        <f t="shared" si="80"/>
        <v>0.002-0.0118623202780666i</v>
      </c>
      <c r="AJ156" s="233">
        <f t="shared" si="81"/>
        <v>0.33750000000000002</v>
      </c>
      <c r="AK156" s="233" t="str">
        <f t="shared" si="82"/>
        <v>0.15-11.7081101144518i</v>
      </c>
      <c r="AL156" s="233" t="str">
        <f t="shared" si="83"/>
        <v>0.00239268206716326-0.0116974077114786i</v>
      </c>
      <c r="AM156" s="233" t="str">
        <f t="shared" si="84"/>
        <v>0.360853395885241-0.0458010753441204i</v>
      </c>
      <c r="AN156" s="233" t="str">
        <f t="shared" si="85"/>
        <v>0.005+0.854108810238863i</v>
      </c>
      <c r="AO156" s="233" t="str">
        <f t="shared" si="86"/>
        <v>-0.0691602642481183-0.0385514128654026i</v>
      </c>
      <c r="AP156" s="233">
        <f t="shared" si="93"/>
        <v>-22.027772357293859</v>
      </c>
      <c r="AQ156" s="233">
        <f t="shared" si="94"/>
        <v>-150.86376807163725</v>
      </c>
      <c r="AS156" s="233" t="str">
        <f t="shared" si="87"/>
        <v>0.371702486664895-0.0486451653325118i</v>
      </c>
      <c r="AT156" s="233" t="str">
        <f t="shared" si="88"/>
        <v>-0.0707636152864622-0.0402532129147364i</v>
      </c>
      <c r="AU156" s="233">
        <f t="shared" si="95"/>
        <v>-21.786299239279657</v>
      </c>
      <c r="AV156" s="233">
        <f t="shared" si="96"/>
        <v>-150.36702623196516</v>
      </c>
    </row>
    <row r="157" spans="6:48" x14ac:dyDescent="0.25">
      <c r="F157" s="233">
        <v>155</v>
      </c>
      <c r="G157" s="249">
        <f t="shared" si="65"/>
        <v>166.23114153625795</v>
      </c>
      <c r="H157" s="249">
        <f t="shared" si="66"/>
        <v>143.87137205236661</v>
      </c>
      <c r="I157" s="234">
        <f t="shared" si="67"/>
        <v>0</v>
      </c>
      <c r="J157" s="233">
        <f t="shared" si="89"/>
        <v>0</v>
      </c>
      <c r="K157" s="233">
        <f t="shared" si="90"/>
        <v>1</v>
      </c>
      <c r="L157" s="233">
        <f>10^('Small Signal'!F157/30)</f>
        <v>146779.92676220718</v>
      </c>
      <c r="M157" s="233" t="str">
        <f t="shared" si="68"/>
        <v>922245.479221196i</v>
      </c>
      <c r="N157" s="233">
        <f>IF(D$31=1, IF(AND('Small Signal'!$B$61&gt;=1,FCCM=0),V157+0,S157+0), 0)</f>
        <v>-23.254458874058468</v>
      </c>
      <c r="O157" s="233">
        <f>IF(D$31=1, IF(AND('Small Signal'!$B$61&gt;=1,FCCM=0),W157,T157), 0)</f>
        <v>-152.57053246731186</v>
      </c>
      <c r="P157" s="233">
        <f>IF(AND('Small Signal'!$B$61&gt;=1,FCCM=0),AF157+0,AC157+0)</f>
        <v>-15.290671035752897</v>
      </c>
      <c r="Q157" s="233">
        <f>IF(AND('Small Signal'!$B$61&gt;=1,FCCM=0),AG157,AD157)</f>
        <v>19.279763176433445</v>
      </c>
      <c r="R157" s="233" t="str">
        <f>IMDIV(IMSUM('Small Signal'!$B$2*'Small Signal'!$B$38*'Small Signal'!$B$62,IMPRODUCT(M157,'Small Signal'!$B$2*'Small Signal'!$B$38*'Small Signal'!$B$62*'Small Signal'!$B$14*'Small Signal'!$B$15)),IMSUM(IMPRODUCT('Small Signal'!$B$12*'Small Signal'!$B$14*('Small Signal'!$B$15+'Small Signal'!$B$38),IMPOWER(M157,2)),IMSUM(IMPRODUCT(M157,('Small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-0.043748865122184-0.0242482899729577i</v>
      </c>
      <c r="S157" s="233">
        <f t="shared" si="91"/>
        <v>-23.254458874058468</v>
      </c>
      <c r="T157" s="233">
        <f t="shared" si="92"/>
        <v>-152.57053246731186</v>
      </c>
      <c r="U157" s="233" t="str">
        <f>IMDIV(IMSUM('Small Signal'!$B$74,IMPRODUCT(M157,'Small Signal'!$B$75)),IMSUM(IMPRODUCT('Small Signal'!$B$78,IMPOWER(M157,2)),IMSUM(IMPRODUCT(M157,'Small Signal'!$B$77),'Small Signal'!$B$76)))</f>
        <v>-0.0243322289562161-0.0112839877572196i</v>
      </c>
      <c r="V157" s="233">
        <f t="shared" si="69"/>
        <v>-31.430381717894473</v>
      </c>
      <c r="W157" s="233">
        <f t="shared" si="70"/>
        <v>-155.12064904971541</v>
      </c>
      <c r="X157" s="233" t="str">
        <f>IMPRODUCT(IMDIV(IMSUM(IMPRODUCT(M157,'Small Signal'!$B$57*'Small Signal'!$B$6*'Small Signal'!$B$50*'Small Signal'!$B$7*'Small Signal'!$B$8),'Small Signal'!$B$57*'Small Signal'!$B$6*'Small Signal'!$B$50),IMSUM(IMSUM(IMPRODUCT(M157,('Small Signal'!$B$5+'Small Signal'!$B$6)*('Small Signal'!$B$56*'Small Signal'!$B$57)+'Small Signal'!$B$5*'Small Signal'!$B$57*('Small Signal'!$B$8+'Small Signal'!$B$9)+'Small Signal'!$B$6*'Small Signal'!$B$57*('Small Signal'!$B$8+'Small Signal'!$B$9)+'Small Signal'!$B$7*'Small Signal'!$B$8*('Small Signal'!$B$5+'Small Signal'!$B$6)),'Small Signal'!$B$6+'Small Signal'!$B$5),IMPRODUCT(IMPOWER(M157,2),'Small Signal'!$B$56*'Small Signal'!$B$57*'Small Signal'!$B$8*'Small Signal'!$B$7*('Small Signal'!$B$5+'Small Signal'!$B$6)+('Small Signal'!$B$5+'Small Signal'!$B$6)*('Small Signal'!$B$9*'Small Signal'!$B$8*'Small Signal'!$B$57*'Small Signal'!$B$7)))),-1)</f>
        <v>-1.32677941801398+0.773349909172395i</v>
      </c>
      <c r="Y157" s="233">
        <f t="shared" si="71"/>
        <v>7.9637878383055885</v>
      </c>
      <c r="Z157" s="233">
        <f t="shared" si="72"/>
        <v>171.85029564374528</v>
      </c>
      <c r="AA157" s="233" t="str">
        <f t="shared" si="73"/>
        <v>1.50930666757346+0.612474482668618i</v>
      </c>
      <c r="AB157" s="233" t="str">
        <f t="shared" si="74"/>
        <v>0.162330656846694+0.05678302907734i</v>
      </c>
      <c r="AC157" s="230">
        <f t="shared" si="75"/>
        <v>-15.290671035752897</v>
      </c>
      <c r="AD157" s="233">
        <f t="shared" si="76"/>
        <v>19.279763176433445</v>
      </c>
      <c r="AE157" s="233" t="str">
        <f t="shared" si="77"/>
        <v>0.0410099714806595-0.00384596434385094i</v>
      </c>
      <c r="AF157" s="230">
        <f t="shared" si="78"/>
        <v>-27.704181816710872</v>
      </c>
      <c r="AG157" s="233">
        <f t="shared" si="79"/>
        <v>-5.3575971002508851</v>
      </c>
      <c r="AI157" s="233" t="str">
        <f t="shared" si="80"/>
        <v>0.002-0.0109859169685795i</v>
      </c>
      <c r="AJ157" s="233">
        <f t="shared" si="81"/>
        <v>0.33750000000000002</v>
      </c>
      <c r="AK157" s="233" t="str">
        <f t="shared" si="82"/>
        <v>0.15-10.8431000479879i</v>
      </c>
      <c r="AL157" s="233" t="str">
        <f t="shared" si="83"/>
        <v>0.00233464005904788-0.0108351088249998i</v>
      </c>
      <c r="AM157" s="233" t="str">
        <f t="shared" si="84"/>
        <v>0.359906672500488-0.0493251153721123i</v>
      </c>
      <c r="AN157" s="233" t="str">
        <f t="shared" si="85"/>
        <v>0.005+0.922245479221196i</v>
      </c>
      <c r="AO157" s="233" t="str">
        <f t="shared" si="86"/>
        <v>-0.0610216394196698-0.0316704403332634i</v>
      </c>
      <c r="AP157" s="233">
        <f t="shared" si="93"/>
        <v>-23.254458874058468</v>
      </c>
      <c r="AQ157" s="233">
        <f t="shared" si="94"/>
        <v>-152.57053246731186</v>
      </c>
      <c r="AS157" s="233" t="str">
        <f t="shared" si="87"/>
        <v>0.370666912907531-0.0523795027974548i</v>
      </c>
      <c r="AT157" s="233" t="str">
        <f t="shared" si="88"/>
        <v>-0.0625330562744891-0.0330639710651402i</v>
      </c>
      <c r="AU157" s="233">
        <f t="shared" si="95"/>
        <v>-23.007166081109386</v>
      </c>
      <c r="AV157" s="233">
        <f t="shared" si="96"/>
        <v>-152.1326266457682</v>
      </c>
    </row>
    <row r="158" spans="6:48" x14ac:dyDescent="0.25">
      <c r="F158" s="233">
        <v>156</v>
      </c>
      <c r="G158" s="249">
        <f t="shared" si="65"/>
        <v>163.97411422237383</v>
      </c>
      <c r="H158" s="249">
        <f t="shared" si="66"/>
        <v>141.91645556753301</v>
      </c>
      <c r="I158" s="234">
        <f t="shared" si="67"/>
        <v>0</v>
      </c>
      <c r="J158" s="233">
        <f t="shared" si="89"/>
        <v>0</v>
      </c>
      <c r="K158" s="233">
        <f t="shared" si="90"/>
        <v>1</v>
      </c>
      <c r="L158" s="233">
        <f>10^('Small Signal'!F158/30)</f>
        <v>158489.31924611164</v>
      </c>
      <c r="M158" s="233" t="str">
        <f t="shared" si="68"/>
        <v>995817.762032063i</v>
      </c>
      <c r="N158" s="233">
        <f>IF(D$31=1, IF(AND('Small Signal'!$B$61&gt;=1,FCCM=0),V158+0,S158+0), 0)</f>
        <v>-24.492475644996496</v>
      </c>
      <c r="O158" s="233">
        <f>IF(D$31=1, IF(AND('Small Signal'!$B$61&gt;=1,FCCM=0),W158,T158), 0)</f>
        <v>-154.16142843094744</v>
      </c>
      <c r="P158" s="233">
        <f>IF(AND('Small Signal'!$B$61&gt;=1,FCCM=0),AF158+0,AC158+0)</f>
        <v>-16.447734410118034</v>
      </c>
      <c r="Q158" s="233">
        <f>IF(AND('Small Signal'!$B$61&gt;=1,FCCM=0),AG158,AD158)</f>
        <v>15.560913342679662</v>
      </c>
      <c r="R158" s="233" t="str">
        <f>IMDIV(IMSUM('Small Signal'!$B$2*'Small Signal'!$B$38*'Small Signal'!$B$62,IMPRODUCT(M158,'Small Signal'!$B$2*'Small Signal'!$B$38*'Small Signal'!$B$62*'Small Signal'!$B$14*'Small Signal'!$B$15)),IMSUM(IMPRODUCT('Small Signal'!$B$12*'Small Signal'!$B$14*('Small Signal'!$B$15+'Small Signal'!$B$38),IMPOWER(M158,2)),IMSUM(IMPRODUCT(M158,('Small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-0.0379895687559943-0.020589301777495i</v>
      </c>
      <c r="S158" s="233">
        <f t="shared" si="91"/>
        <v>-24.492475644996496</v>
      </c>
      <c r="T158" s="233">
        <f t="shared" si="92"/>
        <v>-154.16142843094744</v>
      </c>
      <c r="U158" s="233" t="str">
        <f>IMDIV(IMSUM('Small Signal'!$B$74,IMPRODUCT(M158,'Small Signal'!$B$75)),IMSUM(IMPRODUCT('Small Signal'!$B$78,IMPOWER(M158,2)),IMSUM(IMPRODUCT(M158,'Small Signal'!$B$77),'Small Signal'!$B$76)))</f>
        <v>-0.0210183299165399-0.00963087457971439i</v>
      </c>
      <c r="V158" s="233">
        <f t="shared" si="69"/>
        <v>-32.720328409569333</v>
      </c>
      <c r="W158" s="233">
        <f t="shared" si="70"/>
        <v>-155.38212735817478</v>
      </c>
      <c r="X158" s="233" t="str">
        <f>IMPRODUCT(IMDIV(IMSUM(IMPRODUCT(M158,'Small Signal'!$B$57*'Small Signal'!$B$6*'Small Signal'!$B$50*'Small Signal'!$B$7*'Small Signal'!$B$8),'Small Signal'!$B$57*'Small Signal'!$B$6*'Small Signal'!$B$50),IMSUM(IMSUM(IMPRODUCT(M158,('Small Signal'!$B$5+'Small Signal'!$B$6)*('Small Signal'!$B$56*'Small Signal'!$B$57)+'Small Signal'!$B$5*'Small Signal'!$B$57*('Small Signal'!$B$8+'Small Signal'!$B$9)+'Small Signal'!$B$6*'Small Signal'!$B$57*('Small Signal'!$B$8+'Small Signal'!$B$9)+'Small Signal'!$B$7*'Small Signal'!$B$8*('Small Signal'!$B$5+'Small Signal'!$B$6)),'Small Signal'!$B$6+'Small Signal'!$B$5),IMPRODUCT(IMPOWER(M158,2),'Small Signal'!$B$56*'Small Signal'!$B$57*'Small Signal'!$B$8*'Small Signal'!$B$7*('Small Signal'!$B$5+'Small Signal'!$B$6)+('Small Signal'!$B$5+'Small Signal'!$B$6)*('Small Signal'!$B$9*'Small Signal'!$B$8*'Small Signal'!$B$57*'Small Signal'!$B$7)))),-1)</f>
        <v>-1.27874927810516+0.79844127381829i</v>
      </c>
      <c r="Y158" s="233">
        <f t="shared" si="71"/>
        <v>8.0447412348784617</v>
      </c>
      <c r="Z158" s="233">
        <f t="shared" si="72"/>
        <v>169.72234177362708</v>
      </c>
      <c r="AA158" s="233" t="str">
        <f t="shared" si="73"/>
        <v>1.55609037802029+0.619327957204374i</v>
      </c>
      <c r="AB158" s="233" t="str">
        <f t="shared" si="74"/>
        <v>0.14500917661576+0.0403806742849343i</v>
      </c>
      <c r="AC158" s="230">
        <f t="shared" si="75"/>
        <v>-16.447734410118034</v>
      </c>
      <c r="AD158" s="233">
        <f t="shared" si="76"/>
        <v>15.560913342679662</v>
      </c>
      <c r="AE158" s="233" t="str">
        <f t="shared" si="77"/>
        <v>0.0345668619751628-0.00446642819576408i</v>
      </c>
      <c r="AF158" s="230">
        <f t="shared" si="78"/>
        <v>-29.154891651168775</v>
      </c>
      <c r="AG158" s="233">
        <f t="shared" si="79"/>
        <v>-7.3624678874969147</v>
      </c>
      <c r="AI158" s="233" t="str">
        <f t="shared" si="80"/>
        <v>0.002-0.0101742634502693i</v>
      </c>
      <c r="AJ158" s="233">
        <f t="shared" si="81"/>
        <v>0.33750000000000002</v>
      </c>
      <c r="AK158" s="233" t="str">
        <f t="shared" si="82"/>
        <v>0.15-10.0419980254158i</v>
      </c>
      <c r="AL158" s="233" t="str">
        <f t="shared" si="83"/>
        <v>0.0022848414560226-0.0100361357790974i</v>
      </c>
      <c r="AM158" s="233" t="str">
        <f t="shared" si="84"/>
        <v>0.358809127194986-0.0530976165165049i</v>
      </c>
      <c r="AN158" s="233" t="str">
        <f t="shared" si="85"/>
        <v>0.005+0.995817762032063i</v>
      </c>
      <c r="AO158" s="233" t="str">
        <f t="shared" si="86"/>
        <v>-0.0536575779975319-0.0259836650994993i</v>
      </c>
      <c r="AP158" s="233">
        <f t="shared" si="93"/>
        <v>-24.492475644996496</v>
      </c>
      <c r="AQ158" s="233">
        <f t="shared" si="94"/>
        <v>-154.16142843094744</v>
      </c>
      <c r="AS158" s="233" t="str">
        <f t="shared" si="87"/>
        <v>0.369466784715836-0.056374964979612i</v>
      </c>
      <c r="AT158" s="233" t="str">
        <f t="shared" si="88"/>
        <v>-0.0550614650510894-0.0271126484451025i</v>
      </c>
      <c r="AU158" s="233">
        <f t="shared" si="95"/>
        <v>-24.240204468822732</v>
      </c>
      <c r="AV158" s="233">
        <f t="shared" si="96"/>
        <v>-153.78404425609449</v>
      </c>
    </row>
    <row r="159" spans="6:48" x14ac:dyDescent="0.25">
      <c r="F159" s="233">
        <v>157</v>
      </c>
      <c r="G159" s="249">
        <f t="shared" si="65"/>
        <v>161.54575680667608</v>
      </c>
      <c r="H159" s="249">
        <f t="shared" si="66"/>
        <v>139.89654465314237</v>
      </c>
      <c r="I159" s="234">
        <f t="shared" si="67"/>
        <v>0</v>
      </c>
      <c r="J159" s="233">
        <f t="shared" si="89"/>
        <v>0</v>
      </c>
      <c r="K159" s="233">
        <f t="shared" si="90"/>
        <v>1</v>
      </c>
      <c r="L159" s="233">
        <f>10^('Small Signal'!F159/30)</f>
        <v>171132.83041617845</v>
      </c>
      <c r="M159" s="233" t="str">
        <f t="shared" si="68"/>
        <v>1075259.28564699i</v>
      </c>
      <c r="N159" s="233">
        <f>IF(D$31=1, IF(AND('Small Signal'!$B$61&gt;=1,FCCM=0),V159+0,S159+0), 0)</f>
        <v>-25.740302923322204</v>
      </c>
      <c r="O159" s="233">
        <f>IF(D$31=1, IF(AND('Small Signal'!$B$61&gt;=1,FCCM=0),W159,T159), 0)</f>
        <v>-155.63873257155063</v>
      </c>
      <c r="P159" s="233">
        <f>IF(AND('Small Signal'!$B$61&gt;=1,FCCM=0),AF159+0,AC159+0)</f>
        <v>-17.642975686308887</v>
      </c>
      <c r="Q159" s="233">
        <f>IF(AND('Small Signal'!$B$61&gt;=1,FCCM=0),AG159,AD159)</f>
        <v>11.774469720579784</v>
      </c>
      <c r="R159" s="233" t="str">
        <f>IMDIV(IMSUM('Small Signal'!$B$2*'Small Signal'!$B$38*'Small Signal'!$B$62,IMPRODUCT(M159,'Small Signal'!$B$2*'Small Signal'!$B$38*'Small Signal'!$B$62*'Small Signal'!$B$14*'Small Signal'!$B$15)),IMSUM(IMPRODUCT('Small Signal'!$B$12*'Small Signal'!$B$14*('Small Signal'!$B$15+'Small Signal'!$B$38),IMPOWER(M159,2)),IMSUM(IMPRODUCT(M159,('Small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-0.03293192675865-0.0175592767354069i</v>
      </c>
      <c r="S159" s="233">
        <f t="shared" si="91"/>
        <v>-25.740302923322204</v>
      </c>
      <c r="T159" s="233">
        <f t="shared" si="92"/>
        <v>-155.63873257155063</v>
      </c>
      <c r="U159" s="233" t="str">
        <f>IMDIV(IMSUM('Small Signal'!$B$74,IMPRODUCT(M159,'Small Signal'!$B$75)),IMSUM(IMPRODUCT('Small Signal'!$B$78,IMPOWER(M159,2)),IMSUM(IMPRODUCT(M159,'Small Signal'!$B$77),'Small Signal'!$B$76)))</f>
        <v>-0.0181375205880009-0.00826266724521473i</v>
      </c>
      <c r="V159" s="233">
        <f t="shared" si="69"/>
        <v>-34.009455802812603</v>
      </c>
      <c r="W159" s="233">
        <f t="shared" si="70"/>
        <v>-155.50804932604811</v>
      </c>
      <c r="X159" s="233" t="str">
        <f>IMPRODUCT(IMDIV(IMSUM(IMPRODUCT(M159,'Small Signal'!$B$57*'Small Signal'!$B$6*'Small Signal'!$B$50*'Small Signal'!$B$7*'Small Signal'!$B$8),'Small Signal'!$B$57*'Small Signal'!$B$6*'Small Signal'!$B$50),IMSUM(IMSUM(IMPRODUCT(M159,('Small Signal'!$B$5+'Small Signal'!$B$6)*('Small Signal'!$B$56*'Small Signal'!$B$57)+'Small Signal'!$B$5*'Small Signal'!$B$57*('Small Signal'!$B$8+'Small Signal'!$B$9)+'Small Signal'!$B$6*'Small Signal'!$B$57*('Small Signal'!$B$8+'Small Signal'!$B$9)+'Small Signal'!$B$7*'Small Signal'!$B$8*('Small Signal'!$B$5+'Small Signal'!$B$6)),'Small Signal'!$B$6+'Small Signal'!$B$5),IMPRODUCT(IMPOWER(M159,2),'Small Signal'!$B$56*'Small Signal'!$B$57*'Small Signal'!$B$8*'Small Signal'!$B$7*('Small Signal'!$B$5+'Small Signal'!$B$6)+('Small Signal'!$B$5+'Small Signal'!$B$6)*('Small Signal'!$B$9*'Small Signal'!$B$8*'Small Signal'!$B$57*'Small Signal'!$B$7)))),-1)</f>
        <v>-1.22696332144643+0.821559029085223i</v>
      </c>
      <c r="Y159" s="233">
        <f t="shared" si="71"/>
        <v>8.097327237013312</v>
      </c>
      <c r="Z159" s="233">
        <f t="shared" si="72"/>
        <v>167.41320229213042</v>
      </c>
      <c r="AA159" s="233" t="str">
        <f t="shared" si="73"/>
        <v>1.6036494585849+0.622625332338969i</v>
      </c>
      <c r="AB159" s="233" t="str">
        <f t="shared" si="74"/>
        <v>0.128414911981796+0.0267675610094475i</v>
      </c>
      <c r="AC159" s="230">
        <f t="shared" si="75"/>
        <v>-17.642975686308887</v>
      </c>
      <c r="AD159" s="233">
        <f t="shared" si="76"/>
        <v>11.774469720579784</v>
      </c>
      <c r="AE159" s="233" t="str">
        <f t="shared" si="77"/>
        <v>0.0290423413830895-0.00476305415709597i</v>
      </c>
      <c r="AF159" s="230">
        <f t="shared" si="78"/>
        <v>-30.624097593874037</v>
      </c>
      <c r="AG159" s="233">
        <f t="shared" si="79"/>
        <v>-9.3138105643827878</v>
      </c>
      <c r="AI159" s="233" t="str">
        <f t="shared" si="80"/>
        <v>0.002-0.00942257592621068i</v>
      </c>
      <c r="AJ159" s="233">
        <f t="shared" si="81"/>
        <v>0.33750000000000002</v>
      </c>
      <c r="AK159" s="233" t="str">
        <f t="shared" si="82"/>
        <v>0.15-9.30008243916995i</v>
      </c>
      <c r="AL159" s="233" t="str">
        <f t="shared" si="83"/>
        <v>0.00224211738585483-0.00929588937761911i</v>
      </c>
      <c r="AM159" s="233" t="str">
        <f t="shared" si="84"/>
        <v>0.35753790544036-0.0571303611761647i</v>
      </c>
      <c r="AN159" s="233" t="str">
        <f t="shared" si="85"/>
        <v>0.005+1.07525928564699i</v>
      </c>
      <c r="AO159" s="233" t="str">
        <f t="shared" si="86"/>
        <v>-0.0470419651903875-0.0213008489701574i</v>
      </c>
      <c r="AP159" s="233">
        <f t="shared" si="93"/>
        <v>-25.740302923322204</v>
      </c>
      <c r="AQ159" s="233">
        <f t="shared" si="94"/>
        <v>-155.63873257155063</v>
      </c>
      <c r="AS159" s="233" t="str">
        <f t="shared" si="87"/>
        <v>0.368077313565697-0.0606433616836089i</v>
      </c>
      <c r="AT159" s="233" t="str">
        <f t="shared" si="88"/>
        <v>-0.0483298879357736-0.0222056283255024i</v>
      </c>
      <c r="AU159" s="233">
        <f t="shared" si="95"/>
        <v>-25.483873174488892</v>
      </c>
      <c r="AV159" s="233">
        <f t="shared" si="96"/>
        <v>-155.32313277831324</v>
      </c>
    </row>
    <row r="160" spans="6:48" x14ac:dyDescent="0.25">
      <c r="F160" s="233">
        <v>158</v>
      </c>
      <c r="G160" s="249">
        <f t="shared" si="65"/>
        <v>158.96349782543939</v>
      </c>
      <c r="H160" s="249">
        <f t="shared" si="66"/>
        <v>137.81982105517199</v>
      </c>
      <c r="I160" s="234">
        <f t="shared" si="67"/>
        <v>0</v>
      </c>
      <c r="J160" s="233">
        <f t="shared" si="89"/>
        <v>0</v>
      </c>
      <c r="K160" s="233">
        <f t="shared" si="90"/>
        <v>1</v>
      </c>
      <c r="L160" s="233">
        <f>10^('Small Signal'!F160/30)</f>
        <v>184784.97974222922</v>
      </c>
      <c r="M160" s="233" t="str">
        <f t="shared" si="68"/>
        <v>1161038.26970385i</v>
      </c>
      <c r="N160" s="233">
        <f>IF(D$31=1, IF(AND('Small Signal'!$B$61&gt;=1,FCCM=0),V160+0,S160+0), 0)</f>
        <v>-26.996504138718073</v>
      </c>
      <c r="O160" s="233">
        <f>IF(D$31=1, IF(AND('Small Signal'!$B$61&gt;=1,FCCM=0),W160,T160), 0)</f>
        <v>-157.00542852193638</v>
      </c>
      <c r="P160" s="233">
        <f>IF(AND('Small Signal'!$B$61&gt;=1,FCCM=0),AF160+0,AC160+0)</f>
        <v>-18.8781502417547</v>
      </c>
      <c r="Q160" s="233">
        <f>IF(AND('Small Signal'!$B$61&gt;=1,FCCM=0),AG160,AD160)</f>
        <v>7.935406551254137</v>
      </c>
      <c r="R160" s="233" t="str">
        <f>IMDIV(IMSUM('Small Signal'!$B$2*'Small Signal'!$B$38*'Small Signal'!$B$62,IMPRODUCT(M160,'Small Signal'!$B$2*'Small Signal'!$B$38*'Small Signal'!$B$62*'Small Signal'!$B$14*'Small Signal'!$B$15)),IMSUM(IMPRODUCT('Small Signal'!$B$12*'Small Signal'!$B$14*('Small Signal'!$B$15+'Small Signal'!$B$38),IMPOWER(M160,2)),IMSUM(IMPRODUCT(M160,('Small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-0.0285053544302647-0.0150457300005211i</v>
      </c>
      <c r="S160" s="233">
        <f t="shared" si="91"/>
        <v>-26.996504138718073</v>
      </c>
      <c r="T160" s="233">
        <f t="shared" si="92"/>
        <v>-157.00542852193638</v>
      </c>
      <c r="U160" s="233" t="str">
        <f>IMDIV(IMSUM('Small Signal'!$B$74,IMPRODUCT(M160,'Small Signal'!$B$75)),IMSUM(IMPRODUCT('Small Signal'!$B$78,IMPOWER(M160,2)),IMSUM(IMPRODUCT(M160,'Small Signal'!$B$77),'Small Signal'!$B$76)))</f>
        <v>-0.0156380509644329-0.00712663866346848i</v>
      </c>
      <c r="V160" s="233">
        <f t="shared" si="69"/>
        <v>-35.296812342272162</v>
      </c>
      <c r="W160" s="233">
        <f t="shared" si="70"/>
        <v>-155.50009631199345</v>
      </c>
      <c r="X160" s="233" t="str">
        <f>IMPRODUCT(IMDIV(IMSUM(IMPRODUCT(M160,'Small Signal'!$B$57*'Small Signal'!$B$6*'Small Signal'!$B$50*'Small Signal'!$B$7*'Small Signal'!$B$8),'Small Signal'!$B$57*'Small Signal'!$B$6*'Small Signal'!$B$50),IMSUM(IMSUM(IMPRODUCT(M160,('Small Signal'!$B$5+'Small Signal'!$B$6)*('Small Signal'!$B$56*'Small Signal'!$B$57)+'Small Signal'!$B$5*'Small Signal'!$B$57*('Small Signal'!$B$8+'Small Signal'!$B$9)+'Small Signal'!$B$6*'Small Signal'!$B$57*('Small Signal'!$B$8+'Small Signal'!$B$9)+'Small Signal'!$B$7*'Small Signal'!$B$8*('Small Signal'!$B$5+'Small Signal'!$B$6)),'Small Signal'!$B$6+'Small Signal'!$B$5),IMPRODUCT(IMPOWER(M160,2),'Small Signal'!$B$56*'Small Signal'!$B$57*'Small Signal'!$B$8*'Small Signal'!$B$7*('Small Signal'!$B$5+'Small Signal'!$B$6)+('Small Signal'!$B$5+'Small Signal'!$B$6)*('Small Signal'!$B$9*'Small Signal'!$B$8*'Small Signal'!$B$57*'Small Signal'!$B$7)))),-1)</f>
        <v>-1.17164265108105+0.842093162141562i</v>
      </c>
      <c r="Y160" s="233">
        <f t="shared" si="71"/>
        <v>8.1183538969633506</v>
      </c>
      <c r="Z160" s="233">
        <f t="shared" si="72"/>
        <v>164.94083507319053</v>
      </c>
      <c r="AA160" s="233" t="str">
        <f t="shared" si="73"/>
        <v>1.65143452269454+0.622270779598058i</v>
      </c>
      <c r="AB160" s="233" t="str">
        <f t="shared" si="74"/>
        <v>0.11269737285437+0.0157090423819623i</v>
      </c>
      <c r="AC160" s="230">
        <f t="shared" si="75"/>
        <v>-18.8781502417547</v>
      </c>
      <c r="AD160" s="233">
        <f t="shared" si="76"/>
        <v>7.935406551254137</v>
      </c>
      <c r="AE160" s="233" t="str">
        <f t="shared" si="77"/>
        <v>0.0243235011772692-0.00481882196940728i</v>
      </c>
      <c r="AF160" s="230">
        <f t="shared" si="78"/>
        <v>-32.112281705375977</v>
      </c>
      <c r="AG160" s="233">
        <f t="shared" si="79"/>
        <v>-11.205981806665509</v>
      </c>
      <c r="AI160" s="233" t="str">
        <f t="shared" si="80"/>
        <v>0.002-0.00872642403247928i</v>
      </c>
      <c r="AJ160" s="233">
        <f t="shared" si="81"/>
        <v>0.33750000000000002</v>
      </c>
      <c r="AK160" s="233" t="str">
        <f t="shared" si="82"/>
        <v>0.15-8.61298052005705i</v>
      </c>
      <c r="AL160" s="233" t="str">
        <f t="shared" si="83"/>
        <v>0.00220546419017759-0.0086100940174553i</v>
      </c>
      <c r="AM160" s="233" t="str">
        <f t="shared" si="84"/>
        <v>0.356067096218979-0.0614341783576277i</v>
      </c>
      <c r="AN160" s="233" t="str">
        <f t="shared" si="85"/>
        <v>0.005+1.16103826970385i</v>
      </c>
      <c r="AO160" s="233" t="str">
        <f t="shared" si="86"/>
        <v>-0.0411356476692004-0.0174564470152764i</v>
      </c>
      <c r="AP160" s="233">
        <f t="shared" si="93"/>
        <v>-26.996504138718073</v>
      </c>
      <c r="AQ160" s="233">
        <f t="shared" si="94"/>
        <v>-157.00542852193638</v>
      </c>
      <c r="AS160" s="233" t="str">
        <f t="shared" si="87"/>
        <v>0.366470447210465-0.0651953331266005i</v>
      </c>
      <c r="AT160" s="233" t="str">
        <f t="shared" si="88"/>
        <v>-0.0423047834196947-0.0181733569234613i</v>
      </c>
      <c r="AU160" s="233">
        <f t="shared" si="95"/>
        <v>-26.736711857500165</v>
      </c>
      <c r="AV160" s="233">
        <f t="shared" si="96"/>
        <v>-156.75252954426824</v>
      </c>
    </row>
    <row r="161" spans="6:48" x14ac:dyDescent="0.25">
      <c r="F161" s="233">
        <v>159</v>
      </c>
      <c r="G161" s="249">
        <f t="shared" si="65"/>
        <v>156.24791477282685</v>
      </c>
      <c r="H161" s="249">
        <f t="shared" si="66"/>
        <v>135.69586699936508</v>
      </c>
      <c r="I161" s="234">
        <f t="shared" si="67"/>
        <v>0</v>
      </c>
      <c r="J161" s="233">
        <f t="shared" si="89"/>
        <v>0</v>
      </c>
      <c r="K161" s="233">
        <f t="shared" si="90"/>
        <v>1</v>
      </c>
      <c r="L161" s="233">
        <f>10^('Small Signal'!F161/30)</f>
        <v>199526.23149688813</v>
      </c>
      <c r="M161" s="233" t="str">
        <f t="shared" si="68"/>
        <v>1253660.28613816i</v>
      </c>
      <c r="N161" s="233">
        <f>IF(D$31=1, IF(AND('Small Signal'!$B$61&gt;=1,FCCM=0),V161+0,S161+0), 0)</f>
        <v>-28.259729122087553</v>
      </c>
      <c r="O161" s="233">
        <f>IF(D$31=1, IF(AND('Small Signal'!$B$61&gt;=1,FCCM=0),W161,T161), 0)</f>
        <v>-158.2650898578151</v>
      </c>
      <c r="P161" s="233">
        <f>IF(AND('Small Signal'!$B$61&gt;=1,FCCM=0),AF161+0,AC161+0)</f>
        <v>-20.154644690488087</v>
      </c>
      <c r="Q161" s="233">
        <f>IF(AND('Small Signal'!$B$61&gt;=1,FCCM=0),AG161,AD161)</f>
        <v>4.0608988584017069</v>
      </c>
      <c r="R161" s="233" t="str">
        <f>IMDIV(IMSUM('Small Signal'!$B$2*'Small Signal'!$B$38*'Small Signal'!$B$62,IMPRODUCT(M161,'Small Signal'!$B$2*'Small Signal'!$B$38*'Small Signal'!$B$62*'Small Signal'!$B$14*'Small Signal'!$B$15)),IMSUM(IMPRODUCT('Small Signal'!$B$12*'Small Signal'!$B$14*('Small Signal'!$B$15+'Small Signal'!$B$38),IMPOWER(M161,2)),IMSUM(IMPRODUCT(M161,('Small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-0.0246422482057867-0.0129557446526591i</v>
      </c>
      <c r="S161" s="233">
        <f t="shared" si="91"/>
        <v>-28.259729122087553</v>
      </c>
      <c r="T161" s="233">
        <f t="shared" si="92"/>
        <v>-158.2650898578151</v>
      </c>
      <c r="U161" s="233" t="str">
        <f>IMDIV(IMSUM('Small Signal'!$B$74,IMPRODUCT(M161,'Small Signal'!$B$75)),IMSUM(IMPRODUCT('Small Signal'!$B$78,IMPOWER(M161,2)),IMSUM(IMPRODUCT(M161,'Small Signal'!$B$77),'Small Signal'!$B$76)))</f>
        <v>-0.0134730301521839-0.00617991419617983i</v>
      </c>
      <c r="V161" s="233">
        <f t="shared" si="69"/>
        <v>-36.581425046124643</v>
      </c>
      <c r="W161" s="233">
        <f t="shared" si="70"/>
        <v>-155.3596550438883</v>
      </c>
      <c r="X161" s="233" t="str">
        <f>IMPRODUCT(IMDIV(IMSUM(IMPRODUCT(M161,'Small Signal'!$B$57*'Small Signal'!$B$6*'Small Signal'!$B$50*'Small Signal'!$B$7*'Small Signal'!$B$8),'Small Signal'!$B$57*'Small Signal'!$B$6*'Small Signal'!$B$50),IMSUM(IMSUM(IMPRODUCT(M161,('Small Signal'!$B$5+'Small Signal'!$B$6)*('Small Signal'!$B$56*'Small Signal'!$B$57)+'Small Signal'!$B$5*'Small Signal'!$B$57*('Small Signal'!$B$8+'Small Signal'!$B$9)+'Small Signal'!$B$6*'Small Signal'!$B$57*('Small Signal'!$B$8+'Small Signal'!$B$9)+'Small Signal'!$B$7*'Small Signal'!$B$8*('Small Signal'!$B$5+'Small Signal'!$B$6)),'Small Signal'!$B$6+'Small Signal'!$B$5),IMPRODUCT(IMPOWER(M161,2),'Small Signal'!$B$56*'Small Signal'!$B$57*'Small Signal'!$B$8*'Small Signal'!$B$7*('Small Signal'!$B$5+'Small Signal'!$B$6)+('Small Signal'!$B$5+'Small Signal'!$B$6)*('Small Signal'!$B$9*'Small Signal'!$B$8*'Small Signal'!$B$57*'Small Signal'!$B$7)))),-1)</f>
        <v>-1.11312770978885+0.859452766501263i</v>
      </c>
      <c r="Y161" s="233">
        <f t="shared" si="71"/>
        <v>8.1050844315994599</v>
      </c>
      <c r="Z161" s="233">
        <f t="shared" si="72"/>
        <v>162.32598871621681</v>
      </c>
      <c r="AA161" s="233" t="str">
        <f t="shared" si="73"/>
        <v>1.69888568278859+0.618274661212831i</v>
      </c>
      <c r="AB161" s="233" t="str">
        <f t="shared" si="74"/>
        <v>0.0979887077205426+0.00695670581377765i</v>
      </c>
      <c r="AC161" s="230">
        <f t="shared" si="75"/>
        <v>-20.154644690488087</v>
      </c>
      <c r="AD161" s="233">
        <f t="shared" si="76"/>
        <v>4.0608988584017069</v>
      </c>
      <c r="AE161" s="233" t="str">
        <f t="shared" si="77"/>
        <v>0.0203085475498638-0.00470039930156413i</v>
      </c>
      <c r="AF161" s="230">
        <f t="shared" si="78"/>
        <v>-33.619793777266409</v>
      </c>
      <c r="AG161" s="233">
        <f t="shared" si="79"/>
        <v>-13.031606727670411</v>
      </c>
      <c r="AI161" s="233" t="str">
        <f t="shared" si="80"/>
        <v>0.002-0.00808170472607226i</v>
      </c>
      <c r="AJ161" s="233">
        <f t="shared" si="81"/>
        <v>0.33750000000000002</v>
      </c>
      <c r="AK161" s="233" t="str">
        <f t="shared" si="82"/>
        <v>0.15-7.97664256463329i</v>
      </c>
      <c r="AL161" s="233" t="str">
        <f t="shared" si="83"/>
        <v>0.00217402020737185-0.00797477710405699i</v>
      </c>
      <c r="AM161" s="233" t="str">
        <f t="shared" si="84"/>
        <v>0.35436746476122-0.0660184595232242i</v>
      </c>
      <c r="AN161" s="233" t="str">
        <f t="shared" si="85"/>
        <v>0.005+1.25366028613816i</v>
      </c>
      <c r="AO161" s="233" t="str">
        <f t="shared" si="86"/>
        <v>-0.0358910226204332-0.0143081101558552i</v>
      </c>
      <c r="AP161" s="233">
        <f t="shared" si="93"/>
        <v>-28.259729122087553</v>
      </c>
      <c r="AQ161" s="233">
        <f t="shared" si="94"/>
        <v>-158.2650898578151</v>
      </c>
      <c r="AS161" s="233" t="str">
        <f t="shared" si="87"/>
        <v>0.364614603358667-0.0700398073345999i</v>
      </c>
      <c r="AT161" s="233" t="str">
        <f t="shared" si="88"/>
        <v>-0.0369427635869557-0.0148692261781342i</v>
      </c>
      <c r="AU161" s="233">
        <f t="shared" si="95"/>
        <v>-27.997346979725499</v>
      </c>
      <c r="AV161" s="233">
        <f t="shared" si="96"/>
        <v>-158.07552999122194</v>
      </c>
    </row>
    <row r="162" spans="6:48" x14ac:dyDescent="0.25">
      <c r="F162" s="233">
        <v>160</v>
      </c>
      <c r="G162" s="249">
        <f t="shared" si="65"/>
        <v>153.42206125618287</v>
      </c>
      <c r="H162" s="249">
        <f t="shared" si="66"/>
        <v>133.53550233310349</v>
      </c>
      <c r="I162" s="234">
        <f t="shared" si="67"/>
        <v>0</v>
      </c>
      <c r="J162" s="233">
        <f t="shared" si="89"/>
        <v>0</v>
      </c>
      <c r="K162" s="233">
        <f t="shared" si="90"/>
        <v>1</v>
      </c>
      <c r="L162" s="233">
        <f>10^('Small Signal'!F162/30)</f>
        <v>215443.46900318863</v>
      </c>
      <c r="M162" s="233" t="str">
        <f t="shared" si="68"/>
        <v>1353671.23896864i</v>
      </c>
      <c r="N162" s="233">
        <f>IF(D$31=1, IF(AND('Small Signal'!$B$61&gt;=1,FCCM=0),V162+0,S162+0), 0)</f>
        <v>-29.528714064059894</v>
      </c>
      <c r="O162" s="233">
        <f>IF(D$31=1, IF(AND('Small Signal'!$B$61&gt;=1,FCCM=0),W162,T162), 0)</f>
        <v>-159.42178055729116</v>
      </c>
      <c r="P162" s="233">
        <f>IF(AND('Small Signal'!$B$61&gt;=1,FCCM=0),AF162+0,AC162+0)</f>
        <v>-21.473409930492195</v>
      </c>
      <c r="Q162" s="233">
        <f>IF(AND('Small Signal'!$B$61&gt;=1,FCCM=0),AG162,AD162)</f>
        <v>0.1698151088392218</v>
      </c>
      <c r="R162" s="233" t="str">
        <f>IMDIV(IMSUM('Small Signal'!$B$2*'Small Signal'!$B$38*'Small Signal'!$B$62,IMPRODUCT(M162,'Small Signal'!$B$2*'Small Signal'!$B$38*'Small Signal'!$B$62*'Small Signal'!$B$14*'Small Signal'!$B$15)),IMSUM(IMPRODUCT('Small Signal'!$B$12*'Small Signal'!$B$14*('Small Signal'!$B$15+'Small Signal'!$B$38),IMPOWER(M162,2)),IMSUM(IMPRODUCT(M162,('Small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-0.0212791944417119-0.0112128914135246i</v>
      </c>
      <c r="S162" s="233">
        <f t="shared" si="91"/>
        <v>-29.528714064059894</v>
      </c>
      <c r="T162" s="233">
        <f t="shared" si="92"/>
        <v>-159.42178055729116</v>
      </c>
      <c r="U162" s="233" t="str">
        <f>IMDIV(IMSUM('Small Signal'!$B$74,IMPRODUCT(M162,'Small Signal'!$B$75)),IMSUM(IMPRODUCT('Small Signal'!$B$78,IMPOWER(M162,2)),IMSUM(IMPRODUCT(M162,'Small Signal'!$B$77),'Small Signal'!$B$76)))</f>
        <v>-0.0116003586572196-0.00538769030971411i</v>
      </c>
      <c r="V162" s="233">
        <f t="shared" si="69"/>
        <v>-37.86228572650171</v>
      </c>
      <c r="W162" s="233">
        <f t="shared" si="70"/>
        <v>-155.0878791463939</v>
      </c>
      <c r="X162" s="233" t="str">
        <f>IMPRODUCT(IMDIV(IMSUM(IMPRODUCT(M162,'Small Signal'!$B$57*'Small Signal'!$B$6*'Small Signal'!$B$50*'Small Signal'!$B$7*'Small Signal'!$B$8),'Small Signal'!$B$57*'Small Signal'!$B$6*'Small Signal'!$B$50),IMSUM(IMSUM(IMPRODUCT(M162,('Small Signal'!$B$5+'Small Signal'!$B$6)*('Small Signal'!$B$56*'Small Signal'!$B$57)+'Small Signal'!$B$5*'Small Signal'!$B$57*('Small Signal'!$B$8+'Small Signal'!$B$9)+'Small Signal'!$B$6*'Small Signal'!$B$57*('Small Signal'!$B$8+'Small Signal'!$B$9)+'Small Signal'!$B$7*'Small Signal'!$B$8*('Small Signal'!$B$5+'Small Signal'!$B$6)),'Small Signal'!$B$6+'Small Signal'!$B$5),IMPRODUCT(IMPOWER(M162,2),'Small Signal'!$B$56*'Small Signal'!$B$57*'Small Signal'!$B$8*'Small Signal'!$B$7*('Small Signal'!$B$5+'Small Signal'!$B$6)+('Small Signal'!$B$5+'Small Signal'!$B$6)*('Small Signal'!$B$9*'Small Signal'!$B$8*'Small Signal'!$B$57*'Small Signal'!$B$7)))),-1)</f>
        <v>-1.05187812540777+0.873094994337898i</v>
      </c>
      <c r="Y162" s="233">
        <f t="shared" si="71"/>
        <v>8.0553041335677005</v>
      </c>
      <c r="Z162" s="233">
        <f t="shared" si="72"/>
        <v>159.59159566613039</v>
      </c>
      <c r="AA162" s="233" t="str">
        <f t="shared" si="73"/>
        <v>1.74545854111022+0.610752799267023i</v>
      </c>
      <c r="AB162" s="233" t="str">
        <f t="shared" si="74"/>
        <v>0.0843971140028533+0.000250139664515071i</v>
      </c>
      <c r="AC162" s="230">
        <f t="shared" si="75"/>
        <v>-21.473409930492195</v>
      </c>
      <c r="AD162" s="233">
        <f t="shared" si="76"/>
        <v>0.1698151088392218</v>
      </c>
      <c r="AE162" s="233" t="str">
        <f t="shared" si="77"/>
        <v>0.0169061289588681-0.00446102149288305i</v>
      </c>
      <c r="AF162" s="230">
        <f t="shared" si="78"/>
        <v>-35.146791193040578</v>
      </c>
      <c r="AG162" s="233">
        <f t="shared" si="79"/>
        <v>-14.781718186147378</v>
      </c>
      <c r="AI162" s="233" t="str">
        <f t="shared" si="80"/>
        <v>0.002-0.00748461810202243i</v>
      </c>
      <c r="AJ162" s="233">
        <f t="shared" si="81"/>
        <v>0.33750000000000002</v>
      </c>
      <c r="AK162" s="233" t="str">
        <f t="shared" si="82"/>
        <v>0.15-7.38731806669615i</v>
      </c>
      <c r="AL162" s="233" t="str">
        <f t="shared" si="83"/>
        <v>0.00214704578164671-0.00738624930971469i</v>
      </c>
      <c r="AM162" s="233" t="str">
        <f t="shared" si="84"/>
        <v>0.352406213923278-0.0708905646763349i</v>
      </c>
      <c r="AN162" s="233" t="str">
        <f t="shared" si="85"/>
        <v>0.005+1.35367123896864i</v>
      </c>
      <c r="AO162" s="233" t="str">
        <f t="shared" si="86"/>
        <v>-0.0312557401385526-0.0117347019934622i</v>
      </c>
      <c r="AP162" s="233">
        <f t="shared" si="93"/>
        <v>-29.528714064059894</v>
      </c>
      <c r="AQ162" s="233">
        <f t="shared" si="94"/>
        <v>-159.42178055729116</v>
      </c>
      <c r="AS162" s="233" t="str">
        <f t="shared" si="87"/>
        <v>0.362474441938821-0.0751833386070253i</v>
      </c>
      <c r="AT162" s="233" t="str">
        <f t="shared" si="88"/>
        <v>-0.0321944928391261-0.0121678685138244i</v>
      </c>
      <c r="AU162" s="233">
        <f t="shared" si="95"/>
        <v>-29.264493917893247</v>
      </c>
      <c r="AV162" s="233">
        <f t="shared" si="96"/>
        <v>-159.2959769104032</v>
      </c>
    </row>
    <row r="163" spans="6:48" x14ac:dyDescent="0.25">
      <c r="F163" s="233">
        <v>161</v>
      </c>
      <c r="G163" s="249">
        <f t="shared" si="65"/>
        <v>150.51069935780706</v>
      </c>
      <c r="H163" s="249">
        <f t="shared" si="66"/>
        <v>131.35054744308655</v>
      </c>
      <c r="I163" s="234">
        <f t="shared" si="67"/>
        <v>0</v>
      </c>
      <c r="J163" s="233">
        <f t="shared" si="89"/>
        <v>0</v>
      </c>
      <c r="K163" s="233">
        <f t="shared" si="90"/>
        <v>0</v>
      </c>
      <c r="L163" s="233">
        <f>10^('Small Signal'!F163/30)</f>
        <v>232630.50671536254</v>
      </c>
      <c r="M163" s="233" t="str">
        <f t="shared" si="68"/>
        <v>1461660.58179571i</v>
      </c>
      <c r="N163" s="233">
        <f>IF(D$31=1, IF(AND('Small Signal'!$B$61&gt;=1,FCCM=0),V163+0,S163+0), 0)</f>
        <v>-30.802279311675505</v>
      </c>
      <c r="O163" s="233">
        <f>IF(D$31=1, IF(AND('Small Signal'!$B$61&gt;=1,FCCM=0),W163,T163), 0)</f>
        <v>-160.47997559629997</v>
      </c>
      <c r="P163" s="233">
        <f>IF(AND('Small Signal'!$B$61&gt;=1,FCCM=0),AF163+0,AC163+0)</f>
        <v>-22.834913629005342</v>
      </c>
      <c r="Q163" s="233">
        <f>IF(AND('Small Signal'!$B$61&gt;=1,FCCM=0),AG163,AD163)</f>
        <v>-3.7178779320809658</v>
      </c>
      <c r="R163" s="233" t="str">
        <f>IMDIV(IMSUM('Small Signal'!$B$2*'Small Signal'!$B$38*'Small Signal'!$B$62,IMPRODUCT(M163,'Small Signal'!$B$2*'Small Signal'!$B$38*'Small Signal'!$B$62*'Small Signal'!$B$14*'Small Signal'!$B$15)),IMSUM(IMPRODUCT('Small Signal'!$B$12*'Small Signal'!$B$14*('Small Signal'!$B$15+'Small Signal'!$B$38),IMPOWER(M163,2)),IMSUM(IMPRODUCT(M163,('Small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-0.0183576547741132-0.00975451826537434i</v>
      </c>
      <c r="S163" s="233">
        <f t="shared" si="91"/>
        <v>-30.802279311675505</v>
      </c>
      <c r="T163" s="233">
        <f t="shared" si="92"/>
        <v>-160.47997559629997</v>
      </c>
      <c r="U163" s="233" t="str">
        <f>IMDIV(IMSUM('Small Signal'!$B$74,IMPRODUCT(M163,'Small Signal'!$B$75)),IMSUM(IMPRODUCT('Small Signal'!$B$78,IMPOWER(M163,2)),IMSUM(IMPRODUCT(M163,'Small Signal'!$B$77),'Small Signal'!$B$76)))</f>
        <v>-0.00998251919353473-0.00472174929226563i</v>
      </c>
      <c r="V163" s="233">
        <f t="shared" si="69"/>
        <v>-39.138338443777549</v>
      </c>
      <c r="W163" s="233">
        <f t="shared" si="70"/>
        <v>-154.68576768013173</v>
      </c>
      <c r="X163" s="233" t="str">
        <f>IMPRODUCT(IMDIV(IMSUM(IMPRODUCT(M163,'Small Signal'!$B$57*'Small Signal'!$B$6*'Small Signal'!$B$50*'Small Signal'!$B$7*'Small Signal'!$B$8),'Small Signal'!$B$57*'Small Signal'!$B$6*'Small Signal'!$B$50),IMSUM(IMSUM(IMPRODUCT(M163,('Small Signal'!$B$5+'Small Signal'!$B$6)*('Small Signal'!$B$56*'Small Signal'!$B$57)+'Small Signal'!$B$5*'Small Signal'!$B$57*('Small Signal'!$B$8+'Small Signal'!$B$9)+'Small Signal'!$B$6*'Small Signal'!$B$57*('Small Signal'!$B$8+'Small Signal'!$B$9)+'Small Signal'!$B$7*'Small Signal'!$B$8*('Small Signal'!$B$5+'Small Signal'!$B$6)),'Small Signal'!$B$6+'Small Signal'!$B$5),IMPRODUCT(IMPOWER(M163,2),'Small Signal'!$B$56*'Small Signal'!$B$57*'Small Signal'!$B$8*'Small Signal'!$B$7*('Small Signal'!$B$5+'Small Signal'!$B$6)+('Small Signal'!$B$5+'Small Signal'!$B$6)*('Small Signal'!$B$9*'Small Signal'!$B$8*'Small Signal'!$B$57*'Small Signal'!$B$7)))),-1)</f>
        <v>-0.988464100523713+0.882554817851552i</v>
      </c>
      <c r="Y163" s="233">
        <f t="shared" si="71"/>
        <v>7.9673656826701578</v>
      </c>
      <c r="Z163" s="233">
        <f t="shared" si="72"/>
        <v>156.762097664219</v>
      </c>
      <c r="AA163" s="233" t="str">
        <f t="shared" si="73"/>
        <v>1.79064867519663+0.599918404180697i</v>
      </c>
      <c r="AB163" s="233" t="str">
        <f t="shared" si="74"/>
        <v>0.0720011368826706-0.00467866549295113i</v>
      </c>
      <c r="AC163" s="230">
        <f t="shared" si="75"/>
        <v>-22.834913629005342</v>
      </c>
      <c r="AD163" s="233">
        <f t="shared" si="76"/>
        <v>-3.7178779320809658</v>
      </c>
      <c r="AE163" s="233" t="str">
        <f t="shared" si="77"/>
        <v>0.0140345644421742-0.00414284074147184i</v>
      </c>
      <c r="AF163" s="230">
        <f t="shared" si="78"/>
        <v>-36.693181660572051</v>
      </c>
      <c r="AG163" s="233">
        <f t="shared" si="79"/>
        <v>-16.445989501310677</v>
      </c>
      <c r="AI163" s="233" t="str">
        <f t="shared" si="80"/>
        <v>0.002-0.00693164499717478i</v>
      </c>
      <c r="AJ163" s="233">
        <f t="shared" si="81"/>
        <v>0.33750000000000002</v>
      </c>
      <c r="AK163" s="233" t="str">
        <f t="shared" si="82"/>
        <v>0.15-6.84153361221152i</v>
      </c>
      <c r="AL163" s="233" t="str">
        <f t="shared" si="83"/>
        <v>0.00212390605959558-0.00684108575025643i</v>
      </c>
      <c r="AM163" s="233" t="str">
        <f t="shared" si="84"/>
        <v>0.350146798303206-0.076055105126849i</v>
      </c>
      <c r="AN163" s="233" t="str">
        <f t="shared" si="85"/>
        <v>0.005+1.46166058179571i</v>
      </c>
      <c r="AO163" s="233" t="str">
        <f t="shared" si="86"/>
        <v>-0.0271755790861841-0.00963406724239827i</v>
      </c>
      <c r="AP163" s="233">
        <f t="shared" si="93"/>
        <v>-30.802279311675505</v>
      </c>
      <c r="AQ163" s="233">
        <f t="shared" si="94"/>
        <v>-160.47997559629997</v>
      </c>
      <c r="AS163" s="233" t="str">
        <f t="shared" si="87"/>
        <v>0.360010703768329-0.0806293138377569i</v>
      </c>
      <c r="AT163" s="233" t="str">
        <f t="shared" si="88"/>
        <v>-0.0280077733371774-0.00996311351836924i</v>
      </c>
      <c r="AU163" s="233">
        <f t="shared" si="95"/>
        <v>-30.536956372989788</v>
      </c>
      <c r="AV163" s="233">
        <f t="shared" si="96"/>
        <v>-160.41816797676259</v>
      </c>
    </row>
    <row r="164" spans="6:48" x14ac:dyDescent="0.25">
      <c r="F164" s="233">
        <v>162</v>
      </c>
      <c r="G164" s="249">
        <f t="shared" si="65"/>
        <v>147.53948409277373</v>
      </c>
      <c r="H164" s="249">
        <f t="shared" si="66"/>
        <v>129.1535216840567</v>
      </c>
      <c r="I164" s="234">
        <f t="shared" si="67"/>
        <v>0</v>
      </c>
      <c r="J164" s="233">
        <f t="shared" si="89"/>
        <v>0</v>
      </c>
      <c r="K164" s="233">
        <f t="shared" si="90"/>
        <v>0</v>
      </c>
      <c r="L164" s="233">
        <f>10^('Small Signal'!F164/30)</f>
        <v>251188.64315095844</v>
      </c>
      <c r="M164" s="233" t="str">
        <f t="shared" si="68"/>
        <v>1578264.79197648i</v>
      </c>
      <c r="N164" s="233">
        <f>IF(D$31=1, IF(AND('Small Signal'!$B$61&gt;=1,FCCM=0),V164+0,S164+0), 0)</f>
        <v>-32.079326076175406</v>
      </c>
      <c r="O164" s="233">
        <f>IF(D$31=1, IF(AND('Small Signal'!$B$61&gt;=1,FCCM=0),W164,T164), 0)</f>
        <v>-161.44450241377766</v>
      </c>
      <c r="P164" s="233">
        <f>IF(AND('Small Signal'!$B$61&gt;=1,FCCM=0),AF164+0,AC164+0)</f>
        <v>-24.239114518204481</v>
      </c>
      <c r="Q164" s="233">
        <f>IF(AND('Small Signal'!$B$61&gt;=1,FCCM=0),AG164,AD164)</f>
        <v>-7.5817638569010137</v>
      </c>
      <c r="R164" s="233" t="str">
        <f>IMDIV(IMSUM('Small Signal'!$B$2*'Small Signal'!$B$38*'Small Signal'!$B$62,IMPRODUCT(M164,'Small Signal'!$B$2*'Small Signal'!$B$38*'Small Signal'!$B$62*'Small Signal'!$B$14*'Small Signal'!$B$15)),IMSUM(IMPRODUCT('Small Signal'!$B$12*'Small Signal'!$B$14*('Small Signal'!$B$15+'Small Signal'!$B$38),IMPOWER(M164,2)),IMSUM(IMPRODUCT(M164,('Small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-0.0158242684872622-0.00852940618319861i</v>
      </c>
      <c r="S164" s="233">
        <f t="shared" si="91"/>
        <v>-32.079326076175406</v>
      </c>
      <c r="T164" s="233">
        <f t="shared" si="92"/>
        <v>-161.44450241377766</v>
      </c>
      <c r="U164" s="233" t="str">
        <f>IMDIV(IMSUM('Small Signal'!$B$74,IMPRODUCT(M164,'Small Signal'!$B$75)),IMSUM(IMPRODUCT('Small Signal'!$B$78,IMPOWER(M164,2)),IMSUM(IMPRODUCT(M164,'Small Signal'!$B$77),'Small Signal'!$B$76)))</f>
        <v>-0.0085862811989689-0.00415922995380521i</v>
      </c>
      <c r="V164" s="233">
        <f t="shared" si="69"/>
        <v>-40.408468573921212</v>
      </c>
      <c r="W164" s="233">
        <f t="shared" si="70"/>
        <v>-154.15426125617037</v>
      </c>
      <c r="X164" s="233" t="str">
        <f>IMPRODUCT(IMDIV(IMSUM(IMPRODUCT(M164,'Small Signal'!$B$57*'Small Signal'!$B$6*'Small Signal'!$B$50*'Small Signal'!$B$7*'Small Signal'!$B$8),'Small Signal'!$B$57*'Small Signal'!$B$6*'Small Signal'!$B$50),IMSUM(IMSUM(IMPRODUCT(M164,('Small Signal'!$B$5+'Small Signal'!$B$6)*('Small Signal'!$B$56*'Small Signal'!$B$57)+'Small Signal'!$B$5*'Small Signal'!$B$57*('Small Signal'!$B$8+'Small Signal'!$B$9)+'Small Signal'!$B$6*'Small Signal'!$B$57*('Small Signal'!$B$8+'Small Signal'!$B$9)+'Small Signal'!$B$7*'Small Signal'!$B$8*('Small Signal'!$B$5+'Small Signal'!$B$6)),'Small Signal'!$B$6+'Small Signal'!$B$5),IMPRODUCT(IMPOWER(M164,2),'Small Signal'!$B$56*'Small Signal'!$B$57*'Small Signal'!$B$8*'Small Signal'!$B$7*('Small Signal'!$B$5+'Small Signal'!$B$6)+('Small Signal'!$B$5+'Small Signal'!$B$6)*('Small Signal'!$B$9*'Small Signal'!$B$8*'Small Signal'!$B$57*'Small Signal'!$B$7)))),-1)</f>
        <v>-0.923548933651184+0.887472728360268i</v>
      </c>
      <c r="Y164" s="233">
        <f t="shared" si="71"/>
        <v>7.8402115579709211</v>
      </c>
      <c r="Z164" s="233">
        <f t="shared" si="72"/>
        <v>153.86273855687668</v>
      </c>
      <c r="AA164" s="233" t="str">
        <f t="shared" si="73"/>
        <v>1.83401233642009+0.586067689643209i</v>
      </c>
      <c r="AB164" s="233" t="str">
        <f t="shared" si="74"/>
        <v>0.0608458268854927-0.00809885665259258i</v>
      </c>
      <c r="AC164" s="230">
        <f t="shared" si="75"/>
        <v>-24.239114518204481</v>
      </c>
      <c r="AD164" s="233">
        <f t="shared" si="76"/>
        <v>-7.5817638569010137</v>
      </c>
      <c r="AE164" s="233" t="str">
        <f t="shared" si="77"/>
        <v>0.0116210540003182-0.00377883801347054i</v>
      </c>
      <c r="AF164" s="230">
        <f t="shared" si="78"/>
        <v>-38.258572600986412</v>
      </c>
      <c r="AG164" s="233">
        <f t="shared" si="79"/>
        <v>-18.013059579217973</v>
      </c>
      <c r="AI164" s="233" t="str">
        <f t="shared" si="80"/>
        <v>0.002-0.00641952624862381i</v>
      </c>
      <c r="AJ164" s="233">
        <f t="shared" si="81"/>
        <v>0.33750000000000002</v>
      </c>
      <c r="AK164" s="233" t="str">
        <f t="shared" si="82"/>
        <v>0.15-6.33607240739171i</v>
      </c>
      <c r="AL164" s="233" t="str">
        <f t="shared" si="83"/>
        <v>0.00210405619257825-0.00633610812236597i</v>
      </c>
      <c r="AM164" s="233" t="str">
        <f t="shared" si="84"/>
        <v>0.347548822764518-0.0815130918441174i</v>
      </c>
      <c r="AN164" s="233" t="str">
        <f t="shared" si="85"/>
        <v>0.005+1.57826479197648i</v>
      </c>
      <c r="AO164" s="233" t="str">
        <f t="shared" si="86"/>
        <v>-0.0235965929629044-0.00792073266163618i</v>
      </c>
      <c r="AP164" s="233">
        <f t="shared" si="93"/>
        <v>-32.079326076175406</v>
      </c>
      <c r="AQ164" s="233">
        <f t="shared" si="94"/>
        <v>-161.44450241377766</v>
      </c>
      <c r="AS164" s="233" t="str">
        <f t="shared" si="87"/>
        <v>0.357180151712823-0.0863770169179213i</v>
      </c>
      <c r="AT164" s="233" t="str">
        <f t="shared" si="88"/>
        <v>-0.0243298929992499-0.00816580394692143i</v>
      </c>
      <c r="AU164" s="233">
        <f t="shared" si="95"/>
        <v>-31.813624165239958</v>
      </c>
      <c r="AV164" s="233">
        <f t="shared" si="96"/>
        <v>-161.44678302528391</v>
      </c>
    </row>
    <row r="165" spans="6:48" x14ac:dyDescent="0.25">
      <c r="F165" s="233">
        <v>163</v>
      </c>
      <c r="G165" s="249">
        <f t="shared" si="65"/>
        <v>144.53414913675914</v>
      </c>
      <c r="H165" s="249">
        <f t="shared" si="66"/>
        <v>126.95729445220768</v>
      </c>
      <c r="I165" s="234">
        <f t="shared" si="67"/>
        <v>0</v>
      </c>
      <c r="J165" s="233">
        <f t="shared" si="89"/>
        <v>0</v>
      </c>
      <c r="K165" s="233">
        <f t="shared" si="90"/>
        <v>0</v>
      </c>
      <c r="L165" s="233">
        <f>10^('Small Signal'!F165/30)</f>
        <v>271227.25793320336</v>
      </c>
      <c r="M165" s="233" t="str">
        <f t="shared" si="68"/>
        <v>1704171.12195251i</v>
      </c>
      <c r="N165" s="233">
        <f>IF(D$31=1, IF(AND('Small Signal'!$B$61&gt;=1,FCCM=0),V165+0,S165+0), 0)</f>
        <v>-33.35883305696359</v>
      </c>
      <c r="O165" s="233">
        <f>IF(D$31=1, IF(AND('Small Signal'!$B$61&gt;=1,FCCM=0),W165,T165), 0)</f>
        <v>-162.32050236973853</v>
      </c>
      <c r="P165" s="233">
        <f>IF(AND('Small Signal'!$B$61&gt;=1,FCCM=0),AF165+0,AC165+0)</f>
        <v>-25.685459491470265</v>
      </c>
      <c r="Q165" s="233">
        <f>IF(AND('Small Signal'!$B$61&gt;=1,FCCM=0),AG165,AD165)</f>
        <v>-11.401642666657349</v>
      </c>
      <c r="R165" s="233" t="str">
        <f>IMDIV(IMSUM('Small Signal'!$B$2*'Small Signal'!$B$38*'Small Signal'!$B$62,IMPRODUCT(M165,'Small Signal'!$B$2*'Small Signal'!$B$38*'Small Signal'!$B$62*'Small Signal'!$B$14*'Small Signal'!$B$15)),IMSUM(IMPRODUCT('Small Signal'!$B$12*'Small Signal'!$B$14*('Small Signal'!$B$15+'Small Signal'!$B$38),IMPOWER(M165,2)),IMSUM(IMPRODUCT(M165,('Small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-0.0136308836975795-0.00749576922801133i</v>
      </c>
      <c r="S165" s="233">
        <f t="shared" si="91"/>
        <v>-33.35883305696359</v>
      </c>
      <c r="T165" s="233">
        <f t="shared" si="92"/>
        <v>-162.32050236973853</v>
      </c>
      <c r="U165" s="233" t="str">
        <f>IMDIV(IMSUM('Small Signal'!$B$74,IMPRODUCT(M165,'Small Signal'!$B$75)),IMSUM(IMPRODUCT('Small Signal'!$B$78,IMPOWER(M165,2)),IMSUM(IMPRODUCT(M165,'Small Signal'!$B$77),'Small Signal'!$B$76)))</f>
        <v>-0.00738235884589797-0.00368161636773357i</v>
      </c>
      <c r="V165" s="233">
        <f t="shared" si="69"/>
        <v>-41.671493987196371</v>
      </c>
      <c r="W165" s="233">
        <f t="shared" si="70"/>
        <v>-153.49435602057716</v>
      </c>
      <c r="X165" s="233" t="str">
        <f>IMPRODUCT(IMDIV(IMSUM(IMPRODUCT(M165,'Small Signal'!$B$57*'Small Signal'!$B$6*'Small Signal'!$B$50*'Small Signal'!$B$7*'Small Signal'!$B$8),'Small Signal'!$B$57*'Small Signal'!$B$6*'Small Signal'!$B$50),IMSUM(IMSUM(IMPRODUCT(M165,('Small Signal'!$B$5+'Small Signal'!$B$6)*('Small Signal'!$B$56*'Small Signal'!$B$57)+'Small Signal'!$B$5*'Small Signal'!$B$57*('Small Signal'!$B$8+'Small Signal'!$B$9)+'Small Signal'!$B$6*'Small Signal'!$B$57*('Small Signal'!$B$8+'Small Signal'!$B$9)+'Small Signal'!$B$7*'Small Signal'!$B$8*('Small Signal'!$B$5+'Small Signal'!$B$6)),'Small Signal'!$B$6+'Small Signal'!$B$5),IMPRODUCT(IMPOWER(M165,2),'Small Signal'!$B$56*'Small Signal'!$B$57*'Small Signal'!$B$8*'Small Signal'!$B$7*('Small Signal'!$B$5+'Small Signal'!$B$6)+('Small Signal'!$B$5+'Small Signal'!$B$6)*('Small Signal'!$B$9*'Small Signal'!$B$8*'Small Signal'!$B$57*'Small Signal'!$B$7)))),-1)</f>
        <v>-0.857863381278695+0.88761733991413i</v>
      </c>
      <c r="Y165" s="233">
        <f t="shared" si="71"/>
        <v>7.6733735654933266</v>
      </c>
      <c r="Z165" s="233">
        <f t="shared" si="72"/>
        <v>150.91885970308115</v>
      </c>
      <c r="AA165" s="233" t="str">
        <f t="shared" si="73"/>
        <v>1.87518168041916+0.569560928580624i</v>
      </c>
      <c r="AB165" s="233" t="str">
        <f t="shared" si="74"/>
        <v>0.050941384809687-0.0102731048164587i</v>
      </c>
      <c r="AC165" s="230">
        <f t="shared" si="75"/>
        <v>-25.685459491470265</v>
      </c>
      <c r="AD165" s="233">
        <f t="shared" si="76"/>
        <v>-11.401642666657349</v>
      </c>
      <c r="AE165" s="233" t="str">
        <f t="shared" si="77"/>
        <v>0.00960092184826671-0.0033943858552926i</v>
      </c>
      <c r="AF165" s="230">
        <f t="shared" si="78"/>
        <v>-39.842231044594392</v>
      </c>
      <c r="AG165" s="233">
        <f t="shared" si="79"/>
        <v>-19.470941519046999</v>
      </c>
      <c r="AI165" s="233" t="str">
        <f t="shared" si="80"/>
        <v>0.002-0.0059452434845649i</v>
      </c>
      <c r="AJ165" s="233">
        <f t="shared" si="81"/>
        <v>0.33750000000000002</v>
      </c>
      <c r="AK165" s="233" t="str">
        <f t="shared" si="82"/>
        <v>0.15-5.86795531926557i</v>
      </c>
      <c r="AL165" s="233" t="str">
        <f t="shared" si="83"/>
        <v>0.00208702861362976-0.00586836781830982i</v>
      </c>
      <c r="AM165" s="233" t="str">
        <f t="shared" si="84"/>
        <v>0.344568065647469-0.0872609431916717i</v>
      </c>
      <c r="AN165" s="233" t="str">
        <f t="shared" si="85"/>
        <v>0.005+1.70417112195251i</v>
      </c>
      <c r="AO165" s="233" t="str">
        <f t="shared" si="86"/>
        <v>-0.0204666384892411-0.00652366887079144i</v>
      </c>
      <c r="AP165" s="233">
        <f t="shared" si="93"/>
        <v>-33.35883305696359</v>
      </c>
      <c r="AQ165" s="233">
        <f t="shared" si="94"/>
        <v>-162.32050236973853</v>
      </c>
      <c r="AS165" s="233" t="str">
        <f t="shared" si="87"/>
        <v>0.353935659618165-0.0924205477286559i</v>
      </c>
      <c r="AT165" s="233" t="str">
        <f t="shared" si="88"/>
        <v>-0.0211093364491392-0.00670161649726247i</v>
      </c>
      <c r="AU165" s="233">
        <f t="shared" si="95"/>
        <v>-33.093470441582319</v>
      </c>
      <c r="AV165" s="233">
        <f t="shared" si="96"/>
        <v>-162.38683075954762</v>
      </c>
    </row>
    <row r="166" spans="6:48" x14ac:dyDescent="0.25">
      <c r="F166" s="233">
        <v>164</v>
      </c>
      <c r="G166" s="249">
        <f t="shared" si="65"/>
        <v>141.51974085039546</v>
      </c>
      <c r="H166" s="249">
        <f t="shared" si="66"/>
        <v>124.77471184563012</v>
      </c>
      <c r="I166" s="234">
        <f t="shared" si="67"/>
        <v>0</v>
      </c>
      <c r="J166" s="233">
        <f t="shared" si="89"/>
        <v>0</v>
      </c>
      <c r="K166" s="233">
        <f t="shared" si="90"/>
        <v>0</v>
      </c>
      <c r="L166" s="233">
        <f>10^('Small Signal'!F166/30)</f>
        <v>292864.45646252431</v>
      </c>
      <c r="M166" s="233" t="str">
        <f t="shared" si="68"/>
        <v>1840121.64984047i</v>
      </c>
      <c r="N166" s="233">
        <f>IF(D$31=1, IF(AND('Small Signal'!$B$61&gt;=1,FCCM=0),V166+0,S166+0), 0)</f>
        <v>-34.639853894630647</v>
      </c>
      <c r="O166" s="233">
        <f>IF(D$31=1, IF(AND('Small Signal'!$B$61&gt;=1,FCCM=0),W166,T166), 0)</f>
        <v>-163.11340989011742</v>
      </c>
      <c r="P166" s="233">
        <f>IF(AND('Small Signal'!$B$61&gt;=1,FCCM=0),AF166+0,AC166+0)</f>
        <v>-27.172903140547014</v>
      </c>
      <c r="Q166" s="233">
        <f>IF(AND('Small Signal'!$B$61&gt;=1,FCCM=0),AG166,AD166)</f>
        <v>-15.158178490524762</v>
      </c>
      <c r="R166" s="233" t="str">
        <f>IMDIV(IMSUM('Small Signal'!$B$2*'Small Signal'!$B$38*'Small Signal'!$B$62,IMPRODUCT(M166,'Small Signal'!$B$2*'Small Signal'!$B$38*'Small Signal'!$B$62*'Small Signal'!$B$14*'Small Signal'!$B$15)),IMSUM(IMPRODUCT('Small Signal'!$B$12*'Small Signal'!$B$14*('Small Signal'!$B$15+'Small Signal'!$B$38),IMPOWER(M166,2)),IMSUM(IMPRODUCT(M166,('Small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-0.0117344041361608-0.00661956735161927i</v>
      </c>
      <c r="S166" s="233">
        <f t="shared" si="91"/>
        <v>-34.639853894630647</v>
      </c>
      <c r="T166" s="233">
        <f t="shared" si="92"/>
        <v>-163.11340989011742</v>
      </c>
      <c r="U166" s="233" t="str">
        <f>IMDIV(IMSUM('Small Signal'!$B$74,IMPRODUCT(M166,'Small Signal'!$B$75)),IMSUM(IMPRODUCT('Small Signal'!$B$78,IMPOWER(M166,2)),IMSUM(IMPRODUCT(M166,'Small Signal'!$B$77),'Small Signal'!$B$76)))</f>
        <v>-0.00634505052455455-0.00327391015515731i</v>
      </c>
      <c r="V166" s="233">
        <f t="shared" si="69"/>
        <v>-42.926158962411343</v>
      </c>
      <c r="W166" s="233">
        <f t="shared" si="70"/>
        <v>-152.7072352133074</v>
      </c>
      <c r="X166" s="233" t="str">
        <f>IMPRODUCT(IMDIV(IMSUM(IMPRODUCT(M166,'Small Signal'!$B$57*'Small Signal'!$B$6*'Small Signal'!$B$50*'Small Signal'!$B$7*'Small Signal'!$B$8),'Small Signal'!$B$57*'Small Signal'!$B$6*'Small Signal'!$B$50),IMSUM(IMSUM(IMPRODUCT(M166,('Small Signal'!$B$5+'Small Signal'!$B$6)*('Small Signal'!$B$56*'Small Signal'!$B$57)+'Small Signal'!$B$5*'Small Signal'!$B$57*('Small Signal'!$B$8+'Small Signal'!$B$9)+'Small Signal'!$B$6*'Small Signal'!$B$57*('Small Signal'!$B$8+'Small Signal'!$B$9)+'Small Signal'!$B$7*'Small Signal'!$B$8*('Small Signal'!$B$5+'Small Signal'!$B$6)),'Small Signal'!$B$6+'Small Signal'!$B$5),IMPRODUCT(IMPOWER(M166,2),'Small Signal'!$B$56*'Small Signal'!$B$57*'Small Signal'!$B$8*'Small Signal'!$B$7*('Small Signal'!$B$5+'Small Signal'!$B$6)+('Small Signal'!$B$5+'Small Signal'!$B$6)*('Small Signal'!$B$9*'Small Signal'!$B$8*'Small Signal'!$B$57*'Small Signal'!$B$7)))),-1)</f>
        <v>-0.79217373948247+0.882900198141155i</v>
      </c>
      <c r="Y166" s="233">
        <f t="shared" si="71"/>
        <v>7.4669507540836406</v>
      </c>
      <c r="Z166" s="233">
        <f t="shared" si="72"/>
        <v>147.95523139959272</v>
      </c>
      <c r="AA166" s="233" t="str">
        <f t="shared" si="73"/>
        <v>1.913873661473+0.550801099586512i</v>
      </c>
      <c r="AB166" s="233" t="str">
        <f t="shared" si="74"/>
        <v>0.0422644851296148-0.0114498859424074i</v>
      </c>
      <c r="AC166" s="230">
        <f t="shared" si="75"/>
        <v>-27.172903140547014</v>
      </c>
      <c r="AD166" s="233">
        <f t="shared" si="76"/>
        <v>-15.158178490524762</v>
      </c>
      <c r="AE166" s="233" t="str">
        <f t="shared" si="77"/>
        <v>0.00791691832592631-0.00300854071500425i</v>
      </c>
      <c r="AF166" s="230">
        <f t="shared" si="78"/>
        <v>-41.443057504546047</v>
      </c>
      <c r="AG166" s="233">
        <f t="shared" si="79"/>
        <v>-20.807497718409103</v>
      </c>
      <c r="AI166" s="233" t="str">
        <f t="shared" si="80"/>
        <v>0.002-0.00550600133434125i</v>
      </c>
      <c r="AJ166" s="233">
        <f t="shared" si="81"/>
        <v>0.33750000000000002</v>
      </c>
      <c r="AK166" s="233" t="str">
        <f t="shared" si="82"/>
        <v>0.15-5.43442331699481i</v>
      </c>
      <c r="AL166" s="233" t="str">
        <f t="shared" si="83"/>
        <v>0.00207242210181851-0.00543513001579946i</v>
      </c>
      <c r="AM166" s="233" t="str">
        <f t="shared" si="84"/>
        <v>0.34115667614328-0.0932893540303781i</v>
      </c>
      <c r="AN166" s="233" t="str">
        <f t="shared" si="85"/>
        <v>0.005+1.84012164984047i</v>
      </c>
      <c r="AO166" s="233" t="str">
        <f t="shared" si="86"/>
        <v>-0.0177364013174023-0.00538419672563965i</v>
      </c>
      <c r="AP166" s="233">
        <f t="shared" si="93"/>
        <v>-34.639853894630647</v>
      </c>
      <c r="AQ166" s="233">
        <f t="shared" si="94"/>
        <v>-163.11340989011742</v>
      </c>
      <c r="AS166" s="233" t="str">
        <f t="shared" si="87"/>
        <v>0.350226503797462-0.0987476023145347i</v>
      </c>
      <c r="AT166" s="233" t="str">
        <f t="shared" si="88"/>
        <v>-0.0182969673830269-0.0055089865969701i</v>
      </c>
      <c r="AU166" s="233">
        <f t="shared" si="95"/>
        <v>-34.375549226802569</v>
      </c>
      <c r="AV166" s="233">
        <f t="shared" si="96"/>
        <v>-163.2436130302581</v>
      </c>
    </row>
    <row r="167" spans="6:48" x14ac:dyDescent="0.25">
      <c r="F167" s="233">
        <v>165</v>
      </c>
      <c r="G167" s="249">
        <f t="shared" si="65"/>
        <v>138.51994125916917</v>
      </c>
      <c r="H167" s="249">
        <f t="shared" si="66"/>
        <v>122.61822496395622</v>
      </c>
      <c r="I167" s="234">
        <f t="shared" si="67"/>
        <v>0</v>
      </c>
      <c r="J167" s="233">
        <f t="shared" si="89"/>
        <v>0</v>
      </c>
      <c r="K167" s="233">
        <f t="shared" si="90"/>
        <v>0</v>
      </c>
      <c r="L167" s="233">
        <f>10^('Small Signal'!F167/30)</f>
        <v>316227.7660168382</v>
      </c>
      <c r="M167" s="233" t="str">
        <f t="shared" si="68"/>
        <v>1986917.65315922i</v>
      </c>
      <c r="N167" s="233">
        <f>IF(D$31=1, IF(AND('Small Signal'!$B$61&gt;=1,FCCM=0),V167+0,S167+0), 0)</f>
        <v>-35.921516251242537</v>
      </c>
      <c r="O167" s="233">
        <f>IF(D$31=1, IF(AND('Small Signal'!$B$61&gt;=1,FCCM=0),W167,T167), 0)</f>
        <v>-163.8289456681517</v>
      </c>
      <c r="P167" s="233">
        <f>IF(AND('Small Signal'!$B$61&gt;=1,FCCM=0),AF167+0,AC167+0)</f>
        <v>-28.699948119660522</v>
      </c>
      <c r="Q167" s="233">
        <f>IF(AND('Small Signal'!$B$61&gt;=1,FCCM=0),AG167,AD167)</f>
        <v>-18.833495643266822</v>
      </c>
      <c r="R167" s="233" t="str">
        <f>IMDIV(IMSUM('Small Signal'!$B$2*'Small Signal'!$B$38*'Small Signal'!$B$62,IMPRODUCT(M167,'Small Signal'!$B$2*'Small Signal'!$B$38*'Small Signal'!$B$62*'Small Signal'!$B$14*'Small Signal'!$B$15)),IMSUM(IMPRODUCT('Small Signal'!$B$12*'Small Signal'!$B$14*('Small Signal'!$B$15+'Small Signal'!$B$38),IMPOWER(M167,2)),IMSUM(IMPRODUCT(M167,('Small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-0.010096517319277-0.00587309596608459i</v>
      </c>
      <c r="S167" s="233">
        <f t="shared" si="91"/>
        <v>-35.921516251242537</v>
      </c>
      <c r="T167" s="233">
        <f t="shared" si="92"/>
        <v>-163.8289456681517</v>
      </c>
      <c r="U167" s="233" t="str">
        <f>IMDIV(IMSUM('Small Signal'!$B$74,IMPRODUCT(M167,'Small Signal'!$B$75)),IMSUM(IMPRODUCT('Small Signal'!$B$78,IMPOWER(M167,2)),IMSUM(IMPRODUCT(M167,'Small Signal'!$B$77),'Small Signal'!$B$76)))</f>
        <v>-0.00545187887916434-0.00292395581344813i</v>
      </c>
      <c r="V167" s="233">
        <f t="shared" si="69"/>
        <v>-44.171131579263587</v>
      </c>
      <c r="W167" s="233">
        <f t="shared" si="70"/>
        <v>-151.79441703060442</v>
      </c>
      <c r="X167" s="233" t="str">
        <f>IMPRODUCT(IMDIV(IMSUM(IMPRODUCT(M167,'Small Signal'!$B$57*'Small Signal'!$B$6*'Small Signal'!$B$50*'Small Signal'!$B$7*'Small Signal'!$B$8),'Small Signal'!$B$57*'Small Signal'!$B$6*'Small Signal'!$B$50),IMSUM(IMSUM(IMPRODUCT(M167,('Small Signal'!$B$5+'Small Signal'!$B$6)*('Small Signal'!$B$56*'Small Signal'!$B$57)+'Small Signal'!$B$5*'Small Signal'!$B$57*('Small Signal'!$B$8+'Small Signal'!$B$9)+'Small Signal'!$B$6*'Small Signal'!$B$57*('Small Signal'!$B$8+'Small Signal'!$B$9)+'Small Signal'!$B$7*'Small Signal'!$B$8*('Small Signal'!$B$5+'Small Signal'!$B$6)),'Small Signal'!$B$6+'Small Signal'!$B$5),IMPRODUCT(IMPOWER(M167,2),'Small Signal'!$B$56*'Small Signal'!$B$57*'Small Signal'!$B$8*'Small Signal'!$B$7*('Small Signal'!$B$5+'Small Signal'!$B$6)+('Small Signal'!$B$5+'Small Signal'!$B$6)*('Small Signal'!$B$9*'Small Signal'!$B$8*'Small Signal'!$B$57*'Small Signal'!$B$7)))),-1)</f>
        <v>-0.727246498018769+0.87338092413303i</v>
      </c>
      <c r="Y167" s="233">
        <f t="shared" si="71"/>
        <v>7.2215681315820062</v>
      </c>
      <c r="Z167" s="233">
        <f t="shared" si="72"/>
        <v>144.99545002488486</v>
      </c>
      <c r="AA167" s="233" t="str">
        <f t="shared" si="73"/>
        <v>1.94989257205087+0.530212297133209i</v>
      </c>
      <c r="AB167" s="233" t="str">
        <f t="shared" si="74"/>
        <v>0.0347620339115403-0.0118566435209353i</v>
      </c>
      <c r="AC167" s="230">
        <f t="shared" si="75"/>
        <v>-28.699948119660522</v>
      </c>
      <c r="AD167" s="233">
        <f t="shared" si="76"/>
        <v>-18.833495643266822</v>
      </c>
      <c r="AE167" s="233" t="str">
        <f t="shared" si="77"/>
        <v>0.00651858705296823-0.00263513038805413i</v>
      </c>
      <c r="AF167" s="230">
        <f t="shared" si="78"/>
        <v>-43.059576486773025</v>
      </c>
      <c r="AG167" s="233">
        <f t="shared" si="79"/>
        <v>-22.010957567798858</v>
      </c>
      <c r="AI167" s="233" t="str">
        <f t="shared" si="80"/>
        <v>0.002-0.00509921095283557i</v>
      </c>
      <c r="AJ167" s="233">
        <f t="shared" si="81"/>
        <v>0.33750000000000002</v>
      </c>
      <c r="AK167" s="233" t="str">
        <f t="shared" si="82"/>
        <v>0.15-5.0329212104487i</v>
      </c>
      <c r="AL167" s="233" t="str">
        <f t="shared" si="83"/>
        <v>0.0020598923856732-0.00503385872666073i</v>
      </c>
      <c r="AM167" s="233" t="str">
        <f t="shared" si="84"/>
        <v>0.337263604216712-0.0995820406342474i</v>
      </c>
      <c r="AN167" s="233" t="str">
        <f t="shared" si="85"/>
        <v>0.005+1.98691765315922i</v>
      </c>
      <c r="AO167" s="233" t="str">
        <f t="shared" si="86"/>
        <v>-0.0153600257377548-0.00445408641277279i</v>
      </c>
      <c r="AP167" s="233">
        <f t="shared" si="93"/>
        <v>-35.921516251242537</v>
      </c>
      <c r="AQ167" s="233">
        <f t="shared" si="94"/>
        <v>-163.8289456681517</v>
      </c>
      <c r="AS167" s="233" t="str">
        <f t="shared" si="87"/>
        <v>0.345998920551463-0.105338135697355i</v>
      </c>
      <c r="AT167" s="233" t="str">
        <f t="shared" si="88"/>
        <v>-0.0158467876956232-0.00453719843441434i</v>
      </c>
      <c r="AU167" s="233">
        <f t="shared" si="95"/>
        <v>-35.658994126025306</v>
      </c>
      <c r="AV167" s="233">
        <f t="shared" si="96"/>
        <v>-164.02270344249658</v>
      </c>
    </row>
    <row r="168" spans="6:48" x14ac:dyDescent="0.25">
      <c r="F168" s="233">
        <v>166</v>
      </c>
      <c r="G168" s="249">
        <f t="shared" si="65"/>
        <v>135.55651087026115</v>
      </c>
      <c r="H168" s="249">
        <f t="shared" si="66"/>
        <v>120.49954568818637</v>
      </c>
      <c r="I168" s="234">
        <f t="shared" si="67"/>
        <v>0</v>
      </c>
      <c r="J168" s="233">
        <f t="shared" si="89"/>
        <v>0</v>
      </c>
      <c r="K168" s="233">
        <f t="shared" si="90"/>
        <v>0</v>
      </c>
      <c r="L168" s="233">
        <f>10^('Small Signal'!F168/30)</f>
        <v>341454.88738336053</v>
      </c>
      <c r="M168" s="233" t="str">
        <f t="shared" si="68"/>
        <v>2145424.33147179i</v>
      </c>
      <c r="N168" s="233">
        <f>IF(D$31=1, IF(AND('Small Signal'!$B$61&gt;=1,FCCM=0),V168+0,S168+0), 0)</f>
        <v>-37.203023171649228</v>
      </c>
      <c r="O168" s="233">
        <f>IF(D$31=1, IF(AND('Small Signal'!$B$61&gt;=1,FCCM=0),W168,T168), 0)</f>
        <v>-164.47311902120816</v>
      </c>
      <c r="P168" s="233">
        <f>IF(AND('Small Signal'!$B$61&gt;=1,FCCM=0),AF168+0,AC168+0)</f>
        <v>-30.264703620131819</v>
      </c>
      <c r="Q168" s="233">
        <f>IF(AND('Small Signal'!$B$61&gt;=1,FCCM=0),AG168,AD168)</f>
        <v>-22.411693852592521</v>
      </c>
      <c r="R168" s="233" t="str">
        <f>IMDIV(IMSUM('Small Signal'!$B$2*'Small Signal'!$B$38*'Small Signal'!$B$62,IMPRODUCT(M168,'Small Signal'!$B$2*'Small Signal'!$B$38*'Small Signal'!$B$62*'Small Signal'!$B$14*'Small Signal'!$B$15)),IMSUM(IMPRODUCT('Small Signal'!$B$12*'Small Signal'!$B$14*('Small Signal'!$B$15+'Small Signal'!$B$38),IMPOWER(M168,2)),IMSUM(IMPRODUCT(M168,('Small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-0.00868335282794844-0.00523381572516651i</v>
      </c>
      <c r="S168" s="233">
        <f t="shared" si="91"/>
        <v>-37.203023171649228</v>
      </c>
      <c r="T168" s="233">
        <f t="shared" si="92"/>
        <v>-164.47311902120816</v>
      </c>
      <c r="U168" s="233" t="str">
        <f>IMDIV(IMSUM('Small Signal'!$B$74,IMPRODUCT(M168,'Small Signal'!$B$75)),IMSUM(IMPRODUCT('Small Signal'!$B$78,IMPOWER(M168,2)),IMSUM(IMPRODUCT(M168,'Small Signal'!$B$77),'Small Signal'!$B$76)))</f>
        <v>-0.00468324388748808-0.00262189268032628i</v>
      </c>
      <c r="V168" s="233">
        <f t="shared" si="69"/>
        <v>-45.4050054214471</v>
      </c>
      <c r="W168" s="233">
        <f t="shared" si="70"/>
        <v>-150.75791611620281</v>
      </c>
      <c r="X168" s="233" t="str">
        <f>IMPRODUCT(IMDIV(IMSUM(IMPRODUCT(M168,'Small Signal'!$B$57*'Small Signal'!$B$6*'Small Signal'!$B$50*'Small Signal'!$B$7*'Small Signal'!$B$8),'Small Signal'!$B$57*'Small Signal'!$B$6*'Small Signal'!$B$50),IMSUM(IMSUM(IMPRODUCT(M168,('Small Signal'!$B$5+'Small Signal'!$B$6)*('Small Signal'!$B$56*'Small Signal'!$B$57)+'Small Signal'!$B$5*'Small Signal'!$B$57*('Small Signal'!$B$8+'Small Signal'!$B$9)+'Small Signal'!$B$6*'Small Signal'!$B$57*('Small Signal'!$B$8+'Small Signal'!$B$9)+'Small Signal'!$B$7*'Small Signal'!$B$8*('Small Signal'!$B$5+'Small Signal'!$B$6)),'Small Signal'!$B$6+'Small Signal'!$B$5),IMPRODUCT(IMPOWER(M168,2),'Small Signal'!$B$56*'Small Signal'!$B$57*'Small Signal'!$B$8*'Small Signal'!$B$7*('Small Signal'!$B$5+'Small Signal'!$B$6)+('Small Signal'!$B$5+'Small Signal'!$B$6)*('Small Signal'!$B$9*'Small Signal'!$B$8*'Small Signal'!$B$57*'Small Signal'!$B$7)))),-1)</f>
        <v>-0.663812975654997+0.859262019466616i</v>
      </c>
      <c r="Y168" s="233">
        <f t="shared" si="71"/>
        <v>6.9383195515174041</v>
      </c>
      <c r="Z168" s="233">
        <f t="shared" si="72"/>
        <v>142.06142516861559</v>
      </c>
      <c r="AA168" s="233" t="str">
        <f t="shared" si="73"/>
        <v>1.98312693356724+0.508219781597834i</v>
      </c>
      <c r="AB168" s="233" t="str">
        <f t="shared" si="74"/>
        <v>0.0283567735008241-0.0116945899111884i</v>
      </c>
      <c r="AC168" s="230">
        <f t="shared" si="75"/>
        <v>-30.264703620131819</v>
      </c>
      <c r="AD168" s="233">
        <f t="shared" si="76"/>
        <v>-22.411693852592521</v>
      </c>
      <c r="AE168" s="233" t="str">
        <f t="shared" si="77"/>
        <v>0.00536169085999344-0.00228368721844225i</v>
      </c>
      <c r="AF168" s="230">
        <f t="shared" si="78"/>
        <v>-44.689945150992436</v>
      </c>
      <c r="AG168" s="233">
        <f t="shared" si="79"/>
        <v>-23.07044910339815</v>
      </c>
      <c r="AI168" s="233" t="str">
        <f t="shared" si="80"/>
        <v>0.002-0.00472247476210048i</v>
      </c>
      <c r="AJ168" s="233">
        <f t="shared" si="81"/>
        <v>0.33750000000000002</v>
      </c>
      <c r="AK168" s="233" t="str">
        <f t="shared" si="82"/>
        <v>0.15-4.66108259019318i</v>
      </c>
      <c r="AL168" s="233" t="str">
        <f t="shared" si="83"/>
        <v>0.00204914407104856-0.00466220277783218i</v>
      </c>
      <c r="AM168" s="233" t="str">
        <f t="shared" si="84"/>
        <v>0.3328353286586-0.106114393485874i</v>
      </c>
      <c r="AN168" s="233" t="str">
        <f t="shared" si="85"/>
        <v>0.005+2.14542433147179i</v>
      </c>
      <c r="AO168" s="233" t="str">
        <f t="shared" si="86"/>
        <v>-0.0132954426258883-0.00369387088536676i</v>
      </c>
      <c r="AP168" s="233">
        <f t="shared" si="93"/>
        <v>-37.203023171649228</v>
      </c>
      <c r="AQ168" s="233">
        <f t="shared" si="94"/>
        <v>-164.47311902120816</v>
      </c>
      <c r="AS168" s="233" t="str">
        <f t="shared" si="87"/>
        <v>0.341196999349213-0.112162949286525i</v>
      </c>
      <c r="AT168" s="233" t="str">
        <f t="shared" si="88"/>
        <v>-0.0137163688595441-0.0037446721594185i</v>
      </c>
      <c r="AU168" s="233">
        <f t="shared" si="95"/>
        <v>-36.943018832358007</v>
      </c>
      <c r="AV168" s="233">
        <f t="shared" si="96"/>
        <v>-164.72993579258443</v>
      </c>
    </row>
    <row r="169" spans="6:48" x14ac:dyDescent="0.25">
      <c r="F169" s="233">
        <v>167</v>
      </c>
      <c r="G169" s="249">
        <f t="shared" si="65"/>
        <v>132.6488703116467</v>
      </c>
      <c r="H169" s="249">
        <f t="shared" si="66"/>
        <v>118.42935229235167</v>
      </c>
      <c r="I169" s="234">
        <f t="shared" si="67"/>
        <v>0</v>
      </c>
      <c r="J169" s="233">
        <f t="shared" si="89"/>
        <v>0</v>
      </c>
      <c r="K169" s="233">
        <f t="shared" si="90"/>
        <v>0</v>
      </c>
      <c r="L169" s="233">
        <f>10^('Small Signal'!F169/30)</f>
        <v>368694.50645195803</v>
      </c>
      <c r="M169" s="233" t="str">
        <f t="shared" si="68"/>
        <v>2316575.90577677i</v>
      </c>
      <c r="N169" s="233">
        <f>IF(D$31=1, IF(AND('Small Signal'!$B$61&gt;=1,FCCM=0),V169+0,S169+0), 0)</f>
        <v>-38.483657191234329</v>
      </c>
      <c r="O169" s="233">
        <f>IF(D$31=1, IF(AND('Small Signal'!$B$61&gt;=1,FCCM=0),W169,T169), 0)</f>
        <v>-165.05223328324027</v>
      </c>
      <c r="P169" s="233">
        <f>IF(AND('Small Signal'!$B$61&gt;=1,FCCM=0),AF169+0,AC169+0)</f>
        <v>-31.864958341965174</v>
      </c>
      <c r="Q169" s="233">
        <f>IF(AND('Small Signal'!$B$61&gt;=1,FCCM=0),AG169,AD169)</f>
        <v>-25.879259134256376</v>
      </c>
      <c r="R169" s="233" t="str">
        <f>IMDIV(IMSUM('Small Signal'!$B$2*'Small Signal'!$B$38*'Small Signal'!$B$62,IMPRODUCT(M169,'Small Signal'!$B$2*'Small Signal'!$B$38*'Small Signal'!$B$62*'Small Signal'!$B$14*'Small Signal'!$B$15)),IMSUM(IMPRODUCT('Small Signal'!$B$12*'Small Signal'!$B$14*('Small Signal'!$B$15+'Small Signal'!$B$38),IMPOWER(M169,2)),IMSUM(IMPRODUCT(M169,('Small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-0.00746510589469938-0.00468338763764921i</v>
      </c>
      <c r="S169" s="233">
        <f t="shared" si="91"/>
        <v>-38.483657191234329</v>
      </c>
      <c r="T169" s="233">
        <f t="shared" si="92"/>
        <v>-165.05223328324027</v>
      </c>
      <c r="U169" s="233" t="str">
        <f>IMDIV(IMSUM('Small Signal'!$B$74,IMPRODUCT(M169,'Small Signal'!$B$75)),IMSUM(IMPRODUCT('Small Signal'!$B$78,IMPOWER(M169,2)),IMSUM(IMPRODUCT(M169,'Small Signal'!$B$77),'Small Signal'!$B$76)))</f>
        <v>-0.00402209667878923-0.00235971102376454i</v>
      </c>
      <c r="V169" s="233">
        <f t="shared" si="69"/>
        <v>-46.626306457905351</v>
      </c>
      <c r="W169" s="233">
        <f t="shared" si="70"/>
        <v>-149.60041417065773</v>
      </c>
      <c r="X169" s="233" t="str">
        <f>IMPRODUCT(IMDIV(IMSUM(IMPRODUCT(M169,'Small Signal'!$B$57*'Small Signal'!$B$6*'Small Signal'!$B$50*'Small Signal'!$B$7*'Small Signal'!$B$8),'Small Signal'!$B$57*'Small Signal'!$B$6*'Small Signal'!$B$50),IMSUM(IMSUM(IMPRODUCT(M169,('Small Signal'!$B$5+'Small Signal'!$B$6)*('Small Signal'!$B$56*'Small Signal'!$B$57)+'Small Signal'!$B$5*'Small Signal'!$B$57*('Small Signal'!$B$8+'Small Signal'!$B$9)+'Small Signal'!$B$6*'Small Signal'!$B$57*('Small Signal'!$B$8+'Small Signal'!$B$9)+'Small Signal'!$B$7*'Small Signal'!$B$8*('Small Signal'!$B$5+'Small Signal'!$B$6)),'Small Signal'!$B$6+'Small Signal'!$B$5),IMPRODUCT(IMPOWER(M169,2),'Small Signal'!$B$56*'Small Signal'!$B$57*'Small Signal'!$B$8*'Small Signal'!$B$7*('Small Signal'!$B$5+'Small Signal'!$B$6)+('Small Signal'!$B$5+'Small Signal'!$B$6)*('Small Signal'!$B$9*'Small Signal'!$B$8*'Small Signal'!$B$57*'Small Signal'!$B$7)))),-1)</f>
        <v>-0.602537348591691+0.840873991287702i</v>
      </c>
      <c r="Y169" s="233">
        <f t="shared" si="71"/>
        <v>6.6186988492691405</v>
      </c>
      <c r="Z169" s="233">
        <f t="shared" si="72"/>
        <v>139.17297414898388</v>
      </c>
      <c r="AA169" s="233" t="str">
        <f t="shared" si="73"/>
        <v>2.01354193950545+0.485233036833615i</v>
      </c>
      <c r="AB169" s="233" t="str">
        <f t="shared" si="74"/>
        <v>0.0229539509768741-0.0111355731206526i</v>
      </c>
      <c r="AC169" s="230">
        <f t="shared" si="75"/>
        <v>-31.864958341965174</v>
      </c>
      <c r="AD169" s="233">
        <f t="shared" si="76"/>
        <v>-25.879259134256376</v>
      </c>
      <c r="AE169" s="233" t="str">
        <f t="shared" si="77"/>
        <v>0.00440768309545559-0.00196026246393684i</v>
      </c>
      <c r="AF169" s="230">
        <f t="shared" si="78"/>
        <v>-46.33198032743298</v>
      </c>
      <c r="AG169" s="233">
        <f t="shared" si="79"/>
        <v>-23.976514133578902</v>
      </c>
      <c r="AI169" s="233" t="str">
        <f t="shared" si="80"/>
        <v>0.002-0.00437357232029683i</v>
      </c>
      <c r="AJ169" s="233">
        <f t="shared" si="81"/>
        <v>0.33750000000000002</v>
      </c>
      <c r="AK169" s="233" t="str">
        <f t="shared" si="82"/>
        <v>0.15-4.31671588013297i</v>
      </c>
      <c r="AL169" s="233" t="str">
        <f t="shared" si="83"/>
        <v>0.00203992370816832-0.00431798269112138i</v>
      </c>
      <c r="AM169" s="233" t="str">
        <f t="shared" si="84"/>
        <v>0.327816952215172-0.112852093405125i</v>
      </c>
      <c r="AN169" s="233" t="str">
        <f t="shared" si="85"/>
        <v>0.005+2.31657590577677i</v>
      </c>
      <c r="AO169" s="233" t="str">
        <f t="shared" si="86"/>
        <v>-0.0115044751931201-0.00307137660529714i</v>
      </c>
      <c r="AP169" s="233">
        <f t="shared" si="93"/>
        <v>-38.483657191234329</v>
      </c>
      <c r="AQ169" s="233">
        <f t="shared" si="94"/>
        <v>-165.05223328324027</v>
      </c>
      <c r="AS169" s="233" t="str">
        <f t="shared" si="87"/>
        <v>0.335763982408149-0.119182271361628i</v>
      </c>
      <c r="AT169" s="233" t="str">
        <f t="shared" si="88"/>
        <v>-0.0118670378975795-0.00309745890970346i</v>
      </c>
      <c r="AU169" s="233">
        <f t="shared" si="95"/>
        <v>-38.226919899449044</v>
      </c>
      <c r="AV169" s="233">
        <f t="shared" si="96"/>
        <v>-165.37139669362753</v>
      </c>
    </row>
    <row r="170" spans="6:48" x14ac:dyDescent="0.25">
      <c r="F170" s="233">
        <v>168</v>
      </c>
      <c r="G170" s="249">
        <f t="shared" si="65"/>
        <v>129.81382730918222</v>
      </c>
      <c r="H170" s="249">
        <f t="shared" si="66"/>
        <v>116.41706116644838</v>
      </c>
      <c r="I170" s="234">
        <f t="shared" si="67"/>
        <v>0</v>
      </c>
      <c r="J170" s="233">
        <f t="shared" si="89"/>
        <v>0</v>
      </c>
      <c r="K170" s="233">
        <f t="shared" si="90"/>
        <v>0</v>
      </c>
      <c r="L170" s="233">
        <f>10^('Small Signal'!F170/30)</f>
        <v>398107.17055349716</v>
      </c>
      <c r="M170" s="233" t="str">
        <f t="shared" si="68"/>
        <v>2501381.12470457i</v>
      </c>
      <c r="N170" s="233">
        <f>IF(D$31=1, IF(AND('Small Signal'!$B$61&gt;=1,FCCM=0),V170+0,S170+0), 0)</f>
        <v>-39.762787406453661</v>
      </c>
      <c r="O170" s="233">
        <f>IF(D$31=1, IF(AND('Small Signal'!$B$61&gt;=1,FCCM=0),W170,T170), 0)</f>
        <v>-165.57288702006082</v>
      </c>
      <c r="P170" s="233">
        <f>IF(AND('Small Signal'!$B$61&gt;=1,FCCM=0),AF170+0,AC170+0)</f>
        <v>-33.498263704308293</v>
      </c>
      <c r="Q170" s="233">
        <f>IF(AND('Small Signal'!$B$61&gt;=1,FCCM=0),AG170,AD170)</f>
        <v>-29.225353529343199</v>
      </c>
      <c r="R170" s="233" t="str">
        <f>IMDIV(IMSUM('Small Signal'!$B$2*'Small Signal'!$B$38*'Small Signal'!$B$62,IMPRODUCT(M170,'Small Signal'!$B$2*'Small Signal'!$B$38*'Small Signal'!$B$62*'Small Signal'!$B$14*'Small Signal'!$B$15)),IMSUM(IMPRODUCT('Small Signal'!$B$12*'Small Signal'!$B$14*('Small Signal'!$B$15+'Small Signal'!$B$38),IMPOWER(M170,2)),IMSUM(IMPRODUCT(M170,('Small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-0.00641565101734482-0.00420688158013622i</v>
      </c>
      <c r="S170" s="233">
        <f t="shared" si="91"/>
        <v>-39.762787406453661</v>
      </c>
      <c r="T170" s="233">
        <f t="shared" si="92"/>
        <v>-165.57288702006082</v>
      </c>
      <c r="U170" s="233" t="str">
        <f>IMDIV(IMSUM('Small Signal'!$B$74,IMPRODUCT(M170,'Small Signal'!$B$75)),IMSUM(IMPRODUCT('Small Signal'!$B$78,IMPOWER(M170,2)),IMSUM(IMPRODUCT(M170,'Small Signal'!$B$77),'Small Signal'!$B$76)))</f>
        <v>-0.00345363836109271-0.00213089330612168i</v>
      </c>
      <c r="V170" s="233">
        <f t="shared" si="69"/>
        <v>-47.833505916511008</v>
      </c>
      <c r="W170" s="233">
        <f t="shared" si="70"/>
        <v>-148.32543296549926</v>
      </c>
      <c r="X170" s="233" t="str">
        <f>IMPRODUCT(IMDIV(IMSUM(IMPRODUCT(M170,'Small Signal'!$B$57*'Small Signal'!$B$6*'Small Signal'!$B$50*'Small Signal'!$B$7*'Small Signal'!$B$8),'Small Signal'!$B$57*'Small Signal'!$B$6*'Small Signal'!$B$50),IMSUM(IMSUM(IMPRODUCT(M170,('Small Signal'!$B$5+'Small Signal'!$B$6)*('Small Signal'!$B$56*'Small Signal'!$B$57)+'Small Signal'!$B$5*'Small Signal'!$B$57*('Small Signal'!$B$8+'Small Signal'!$B$9)+'Small Signal'!$B$6*'Small Signal'!$B$57*('Small Signal'!$B$8+'Small Signal'!$B$9)+'Small Signal'!$B$7*'Small Signal'!$B$8*('Small Signal'!$B$5+'Small Signal'!$B$6)),'Small Signal'!$B$6+'Small Signal'!$B$5),IMPRODUCT(IMPOWER(M170,2),'Small Signal'!$B$56*'Small Signal'!$B$57*'Small Signal'!$B$8*'Small Signal'!$B$7*('Small Signal'!$B$5+'Small Signal'!$B$6)+('Small Signal'!$B$5+'Small Signal'!$B$6)*('Small Signal'!$B$9*'Small Signal'!$B$8*'Small Signal'!$B$57*'Small Signal'!$B$7)))),-1)</f>
        <v>-0.543990933401245+0.818652655488312i</v>
      </c>
      <c r="Y170" s="233">
        <f t="shared" si="71"/>
        <v>6.264523702145361</v>
      </c>
      <c r="Z170" s="233">
        <f t="shared" si="72"/>
        <v>136.34753349071772</v>
      </c>
      <c r="AA170" s="233" t="str">
        <f t="shared" si="73"/>
        <v>2.04116888204748+0.461632614290796i</v>
      </c>
      <c r="AB170" s="233" t="str">
        <f t="shared" si="74"/>
        <v>0.0184482354458532-0.0103210861582008i</v>
      </c>
      <c r="AC170" s="230">
        <f t="shared" si="75"/>
        <v>-33.498263704308293</v>
      </c>
      <c r="AD170" s="233">
        <f t="shared" si="76"/>
        <v>-29.225353529343199</v>
      </c>
      <c r="AE170" s="233" t="str">
        <f t="shared" si="77"/>
        <v>0.00362320941929995-0.00166814357682925i</v>
      </c>
      <c r="AF170" s="230">
        <f t="shared" si="78"/>
        <v>-47.983202804737147</v>
      </c>
      <c r="AG170" s="233">
        <f t="shared" si="79"/>
        <v>-24.72157743670002</v>
      </c>
      <c r="AI170" s="233" t="str">
        <f t="shared" si="80"/>
        <v>0.002-0.0040504472346526i</v>
      </c>
      <c r="AJ170" s="233">
        <f t="shared" si="81"/>
        <v>0.33750000000000002</v>
      </c>
      <c r="AK170" s="233" t="str">
        <f t="shared" si="82"/>
        <v>0.15-3.99779142060212i</v>
      </c>
      <c r="AL170" s="233" t="str">
        <f t="shared" si="83"/>
        <v>0.00203201383807624-0.00399917842341031i</v>
      </c>
      <c r="AM170" s="233" t="str">
        <f t="shared" si="84"/>
        <v>0.322153729414197-0.119749775544939i</v>
      </c>
      <c r="AN170" s="233" t="str">
        <f t="shared" si="85"/>
        <v>0.005+2.50138112470457i</v>
      </c>
      <c r="AO170" s="233" t="str">
        <f t="shared" si="86"/>
        <v>-0.0099527873631141-0.00256046232126519i</v>
      </c>
      <c r="AP170" s="233">
        <f t="shared" si="93"/>
        <v>-39.762787406453661</v>
      </c>
      <c r="AQ170" s="233">
        <f t="shared" si="94"/>
        <v>-165.57288702006082</v>
      </c>
      <c r="AS170" s="233" t="str">
        <f t="shared" si="87"/>
        <v>0.329644034249949-0.126344431160543i</v>
      </c>
      <c r="AT170" s="233" t="str">
        <f t="shared" si="88"/>
        <v>-0.010263886198969-0.00256793984244591i</v>
      </c>
      <c r="AU170" s="233">
        <f t="shared" si="95"/>
        <v>-39.510081992010072</v>
      </c>
      <c r="AV170" s="233">
        <f t="shared" si="96"/>
        <v>-165.95341578424225</v>
      </c>
    </row>
    <row r="171" spans="6:48" x14ac:dyDescent="0.25">
      <c r="F171" s="233">
        <v>169</v>
      </c>
      <c r="G171" s="249">
        <f t="shared" si="65"/>
        <v>127.06544398855556</v>
      </c>
      <c r="H171" s="249">
        <f t="shared" si="66"/>
        <v>114.47067342499713</v>
      </c>
      <c r="I171" s="234">
        <f t="shared" si="67"/>
        <v>0</v>
      </c>
      <c r="J171" s="233">
        <f t="shared" si="89"/>
        <v>0</v>
      </c>
      <c r="K171" s="233">
        <f t="shared" si="90"/>
        <v>0</v>
      </c>
      <c r="L171" s="233">
        <f>10^('Small Signal'!F171/30)</f>
        <v>429866.2347082285</v>
      </c>
      <c r="M171" s="233" t="str">
        <f t="shared" si="68"/>
        <v>2700929.20997135i</v>
      </c>
      <c r="N171" s="233">
        <f>IF(D$31=1, IF(AND('Small Signal'!$B$61&gt;=1,FCCM=0),V171+0,S171+0), 0)</f>
        <v>-41.039879400752177</v>
      </c>
      <c r="O171" s="233">
        <f>IF(D$31=1, IF(AND('Small Signal'!$B$61&gt;=1,FCCM=0),W171,T171), 0)</f>
        <v>-166.04196305031556</v>
      </c>
      <c r="P171" s="233">
        <f>IF(AND('Small Signal'!$B$61&gt;=1,FCCM=0),AF171+0,AC171+0)</f>
        <v>-35.162022672735425</v>
      </c>
      <c r="Q171" s="233">
        <f>IF(AND('Small Signal'!$B$61&gt;=1,FCCM=0),AG171,AD171)</f>
        <v>-32.441974245843184</v>
      </c>
      <c r="R171" s="233" t="str">
        <f>IMDIV(IMSUM('Small Signal'!$B$2*'Small Signal'!$B$38*'Small Signal'!$B$62,IMPRODUCT(M171,'Small Signal'!$B$2*'Small Signal'!$B$38*'Small Signal'!$B$62*'Small Signal'!$B$14*'Small Signal'!$B$15)),IMSUM(IMPRODUCT('Small Signal'!$B$12*'Small Signal'!$B$14*('Small Signal'!$B$15+'Small Signal'!$B$38),IMPOWER(M171,2)),IMSUM(IMPRODUCT(M171,('Small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-0.00551216236295161-0.00379212981566292i</v>
      </c>
      <c r="S171" s="233">
        <f t="shared" si="91"/>
        <v>-41.039879400752177</v>
      </c>
      <c r="T171" s="233">
        <f t="shared" si="92"/>
        <v>-166.04196305031556</v>
      </c>
      <c r="U171" s="233" t="str">
        <f>IMDIV(IMSUM('Small Signal'!$B$74,IMPRODUCT(M171,'Small Signal'!$B$75)),IMSUM(IMPRODUCT('Small Signal'!$B$78,IMPOWER(M171,2)),IMSUM(IMPRODUCT(M171,'Small Signal'!$B$77),'Small Signal'!$B$76)))</f>
        <v>-0.00296504573714022-0.00193012482195626i</v>
      </c>
      <c r="V171" s="233">
        <f t="shared" si="69"/>
        <v>-49.02503978953655</v>
      </c>
      <c r="W171" s="233">
        <f t="shared" si="70"/>
        <v>-146.93750064312374</v>
      </c>
      <c r="X171" s="233" t="str">
        <f>IMPRODUCT(IMDIV(IMSUM(IMPRODUCT(M171,'Small Signal'!$B$57*'Small Signal'!$B$6*'Small Signal'!$B$50*'Small Signal'!$B$7*'Small Signal'!$B$8),'Small Signal'!$B$57*'Small Signal'!$B$6*'Small Signal'!$B$50),IMSUM(IMSUM(IMPRODUCT(M171,('Small Signal'!$B$5+'Small Signal'!$B$6)*('Small Signal'!$B$56*'Small Signal'!$B$57)+'Small Signal'!$B$5*'Small Signal'!$B$57*('Small Signal'!$B$8+'Small Signal'!$B$9)+'Small Signal'!$B$6*'Small Signal'!$B$57*('Small Signal'!$B$8+'Small Signal'!$B$9)+'Small Signal'!$B$7*'Small Signal'!$B$8*('Small Signal'!$B$5+'Small Signal'!$B$6)),'Small Signal'!$B$6+'Small Signal'!$B$5),IMPRODUCT(IMPOWER(M171,2),'Small Signal'!$B$56*'Small Signal'!$B$57*'Small Signal'!$B$8*'Small Signal'!$B$7*('Small Signal'!$B$5+'Small Signal'!$B$6)+('Small Signal'!$B$5+'Small Signal'!$B$6)*('Small Signal'!$B$9*'Small Signal'!$B$8*'Small Signal'!$B$57*'Small Signal'!$B$7)))),-1)</f>
        <v>-0.488634615103406+0.793111309930312i</v>
      </c>
      <c r="Y171" s="233">
        <f t="shared" si="71"/>
        <v>5.8778567280167549</v>
      </c>
      <c r="Z171" s="233">
        <f t="shared" si="72"/>
        <v>133.59998880447233</v>
      </c>
      <c r="AA171" s="233" t="str">
        <f t="shared" si="73"/>
        <v>2.06609298398958+0.437760988474331i</v>
      </c>
      <c r="AB171" s="233" t="str">
        <f t="shared" si="74"/>
        <v>0.0147301763512703-0.00936319842478354i</v>
      </c>
      <c r="AC171" s="230">
        <f t="shared" si="75"/>
        <v>-35.162022672735425</v>
      </c>
      <c r="AD171" s="233">
        <f t="shared" si="76"/>
        <v>-32.441974245843184</v>
      </c>
      <c r="AE171" s="233" t="str">
        <f t="shared" si="77"/>
        <v>0.00297962780840225-0.00140848550910844i</v>
      </c>
      <c r="AF171" s="230">
        <f t="shared" si="78"/>
        <v>-49.640896695320791</v>
      </c>
      <c r="AG171" s="233">
        <f t="shared" si="79"/>
        <v>-25.300344153767842</v>
      </c>
      <c r="AI171" s="233" t="str">
        <f t="shared" si="80"/>
        <v>0.002-0.00375119504130925i</v>
      </c>
      <c r="AJ171" s="233">
        <f t="shared" si="81"/>
        <v>0.33750000000000002</v>
      </c>
      <c r="AK171" s="233" t="str">
        <f t="shared" si="82"/>
        <v>0.15-3.70242950577223i</v>
      </c>
      <c r="AL171" s="233" t="str">
        <f t="shared" si="83"/>
        <v>0.00202522788081811-0.00370391792608362i</v>
      </c>
      <c r="AM171" s="233" t="str">
        <f t="shared" si="84"/>
        <v>0.315793079188816-0.126749859325412i</v>
      </c>
      <c r="AN171" s="233" t="str">
        <f t="shared" si="85"/>
        <v>0.005+2.70092920997135i</v>
      </c>
      <c r="AO171" s="233" t="str">
        <f t="shared" si="86"/>
        <v>-0.00860972598305759-0.00213994930879447i</v>
      </c>
      <c r="AP171" s="233">
        <f t="shared" si="93"/>
        <v>-41.039879400752177</v>
      </c>
      <c r="AQ171" s="233">
        <f t="shared" si="94"/>
        <v>-166.04196305031556</v>
      </c>
      <c r="AS171" s="233" t="str">
        <f t="shared" si="87"/>
        <v>0.322784525586272-0.133584762783726i</v>
      </c>
      <c r="AT171" s="233" t="str">
        <f t="shared" si="88"/>
        <v>-0.00887565590258236-0.00213371624986292i</v>
      </c>
      <c r="AU171" s="233">
        <f t="shared" si="95"/>
        <v>-40.791985517977366</v>
      </c>
      <c r="AV171" s="233">
        <f t="shared" si="96"/>
        <v>-166.48254626832028</v>
      </c>
    </row>
    <row r="172" spans="6:48" x14ac:dyDescent="0.25">
      <c r="F172" s="233">
        <v>170</v>
      </c>
      <c r="G172" s="249">
        <f t="shared" si="65"/>
        <v>124.41503011847618</v>
      </c>
      <c r="H172" s="249">
        <f t="shared" si="66"/>
        <v>112.5966975345477</v>
      </c>
      <c r="I172" s="234">
        <f t="shared" si="67"/>
        <v>0</v>
      </c>
      <c r="J172" s="233">
        <f t="shared" si="89"/>
        <v>0</v>
      </c>
      <c r="K172" s="233">
        <f t="shared" si="90"/>
        <v>0</v>
      </c>
      <c r="L172" s="233">
        <f>10^('Small Signal'!F172/30)</f>
        <v>464158.88336127886</v>
      </c>
      <c r="M172" s="233" t="str">
        <f t="shared" si="68"/>
        <v>2916396.27613247i</v>
      </c>
      <c r="N172" s="233">
        <f>IF(D$31=1, IF(AND('Small Signal'!$B$61&gt;=1,FCCM=0),V172+0,S172+0), 0)</f>
        <v>-42.314507516818907</v>
      </c>
      <c r="O172" s="233">
        <f>IF(D$31=1, IF(AND('Small Signal'!$B$61&gt;=1,FCCM=0),W172,T172), 0)</f>
        <v>-166.46659699149464</v>
      </c>
      <c r="P172" s="233">
        <f>IF(AND('Small Signal'!$B$61&gt;=1,FCCM=0),AF172+0,AC172+0)</f>
        <v>-36.853579496598954</v>
      </c>
      <c r="Q172" s="233">
        <f>IF(AND('Small Signal'!$B$61&gt;=1,FCCM=0),AG172,AD172)</f>
        <v>-35.523980129392179</v>
      </c>
      <c r="R172" s="233" t="str">
        <f>IMDIV(IMSUM('Small Signal'!$B$2*'Small Signal'!$B$38*'Small Signal'!$B$62,IMPRODUCT(M172,'Small Signal'!$B$2*'Small Signal'!$B$38*'Small Signal'!$B$62*'Small Signal'!$B$14*'Small Signal'!$B$15)),IMSUM(IMPRODUCT('Small Signal'!$B$12*'Small Signal'!$B$14*('Small Signal'!$B$15+'Small Signal'!$B$38),IMPOWER(M172,2)),IMSUM(IMPRODUCT(M172,('Small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-0.00473475179891485-0.00342920080928859i</v>
      </c>
      <c r="S172" s="233">
        <f t="shared" si="91"/>
        <v>-42.314507516818907</v>
      </c>
      <c r="T172" s="233">
        <f t="shared" si="92"/>
        <v>-166.46659699149464</v>
      </c>
      <c r="U172" s="233" t="str">
        <f>IMDIV(IMSUM('Small Signal'!$B$74,IMPRODUCT(M172,'Small Signal'!$B$75)),IMSUM(IMPRODUCT('Small Signal'!$B$78,IMPOWER(M172,2)),IMSUM(IMPRODUCT(M172,'Small Signal'!$B$77),'Small Signal'!$B$76)))</f>
        <v>-0.00254522416359323-0.00175306063955936i</v>
      </c>
      <c r="V172" s="233">
        <f t="shared" si="69"/>
        <v>-50.199335284701078</v>
      </c>
      <c r="W172" s="233">
        <f t="shared" si="70"/>
        <v>-145.44229985861858</v>
      </c>
      <c r="X172" s="233" t="str">
        <f>IMPRODUCT(IMDIV(IMSUM(IMPRODUCT(M172,'Small Signal'!$B$57*'Small Signal'!$B$6*'Small Signal'!$B$50*'Small Signal'!$B$7*'Small Signal'!$B$8),'Small Signal'!$B$57*'Small Signal'!$B$6*'Small Signal'!$B$50),IMSUM(IMSUM(IMPRODUCT(M172,('Small Signal'!$B$5+'Small Signal'!$B$6)*('Small Signal'!$B$56*'Small Signal'!$B$57)+'Small Signal'!$B$5*'Small Signal'!$B$57*('Small Signal'!$B$8+'Small Signal'!$B$9)+'Small Signal'!$B$6*'Small Signal'!$B$57*('Small Signal'!$B$8+'Small Signal'!$B$9)+'Small Signal'!$B$7*'Small Signal'!$B$8*('Small Signal'!$B$5+'Small Signal'!$B$6)),'Small Signal'!$B$6+'Small Signal'!$B$5),IMPRODUCT(IMPOWER(M172,2),'Small Signal'!$B$56*'Small Signal'!$B$57*'Small Signal'!$B$8*'Small Signal'!$B$7*('Small Signal'!$B$5+'Small Signal'!$B$6)+('Small Signal'!$B$5+'Small Signal'!$B$6)*('Small Signal'!$B$9*'Small Signal'!$B$8*'Small Signal'!$B$57*'Small Signal'!$B$7)))),-1)</f>
        <v>-0.436810142445252+0.764810809096036i</v>
      </c>
      <c r="Y172" s="233">
        <f t="shared" si="71"/>
        <v>5.4609280202199484</v>
      </c>
      <c r="Z172" s="233">
        <f t="shared" si="72"/>
        <v>130.94261686210243</v>
      </c>
      <c r="AA172" s="233" t="str">
        <f t="shared" si="73"/>
        <v>2.08844087346101+0.413917206105987i</v>
      </c>
      <c r="AB172" s="233" t="str">
        <f t="shared" si="74"/>
        <v>0.0116916915248118-0.00834698774398305i</v>
      </c>
      <c r="AC172" s="230">
        <f t="shared" si="75"/>
        <v>-36.853579496598954</v>
      </c>
      <c r="AD172" s="233">
        <f t="shared" si="76"/>
        <v>-35.523980129392179</v>
      </c>
      <c r="AE172" s="233" t="str">
        <f t="shared" si="77"/>
        <v>0.00245253945559006-0.00118086028420743i</v>
      </c>
      <c r="AF172" s="230">
        <f t="shared" si="78"/>
        <v>-51.302180848458825</v>
      </c>
      <c r="AG172" s="233">
        <f t="shared" si="79"/>
        <v>-25.710104624991587</v>
      </c>
      <c r="AI172" s="233" t="str">
        <f t="shared" si="80"/>
        <v>0.002-0.00347405198062035i</v>
      </c>
      <c r="AJ172" s="233">
        <f t="shared" si="81"/>
        <v>0.33750000000000002</v>
      </c>
      <c r="AK172" s="233" t="str">
        <f t="shared" si="82"/>
        <v>0.15-3.42888930487229i</v>
      </c>
      <c r="AL172" s="233" t="str">
        <f t="shared" si="83"/>
        <v>0.00201940574679215-0.00343046648091913i</v>
      </c>
      <c r="AM172" s="233" t="str">
        <f t="shared" si="84"/>
        <v>0.308687106924509-0.13378169739379i</v>
      </c>
      <c r="AN172" s="233" t="str">
        <f t="shared" si="85"/>
        <v>0.005+2.91639627613247i</v>
      </c>
      <c r="AO172" s="233" t="str">
        <f t="shared" si="86"/>
        <v>-0.00744809618023764-0.0017927227898845i</v>
      </c>
      <c r="AP172" s="233">
        <f t="shared" si="93"/>
        <v>-42.314507516818907</v>
      </c>
      <c r="AQ172" s="233">
        <f t="shared" si="94"/>
        <v>-166.46659699149464</v>
      </c>
      <c r="AS172" s="233" t="str">
        <f t="shared" si="87"/>
        <v>0.315138840813439-0.14082491047379i</v>
      </c>
      <c r="AT172" s="233" t="str">
        <f t="shared" si="88"/>
        <v>-0.00767454642848664-0.00177667276576165i</v>
      </c>
      <c r="AU172" s="233">
        <f t="shared" si="95"/>
        <v>-42.072216173886261</v>
      </c>
      <c r="AV172" s="233">
        <f t="shared" si="96"/>
        <v>-166.96552842277941</v>
      </c>
    </row>
    <row r="173" spans="6:48" x14ac:dyDescent="0.25">
      <c r="F173" s="233">
        <v>171</v>
      </c>
      <c r="G173" s="249">
        <f t="shared" si="65"/>
        <v>121.87124143978838</v>
      </c>
      <c r="H173" s="249">
        <f t="shared" si="66"/>
        <v>110.80014245143734</v>
      </c>
      <c r="I173" s="234">
        <f t="shared" si="67"/>
        <v>0</v>
      </c>
      <c r="J173" s="233">
        <f t="shared" si="89"/>
        <v>0</v>
      </c>
      <c r="K173" s="233">
        <f t="shared" si="90"/>
        <v>0</v>
      </c>
      <c r="L173" s="233">
        <f>10^('Small Signal'!F173/30)</f>
        <v>501187.23362727347</v>
      </c>
      <c r="M173" s="233" t="str">
        <f t="shared" si="68"/>
        <v>3149052.26247287i</v>
      </c>
      <c r="N173" s="233">
        <f>IF(D$31=1, IF(AND('Small Signal'!$B$61&gt;=1,FCCM=0),V173+0,S173+0), 0)</f>
        <v>-43.586368502883992</v>
      </c>
      <c r="O173" s="233">
        <f>IF(D$31=1, IF(AND('Small Signal'!$B$61&gt;=1,FCCM=0),W173,T173), 0)</f>
        <v>-166.85411764159974</v>
      </c>
      <c r="P173" s="233">
        <f>IF(AND('Small Signal'!$B$61&gt;=1,FCCM=0),AF173+0,AC173+0)</f>
        <v>-38.570305812688225</v>
      </c>
      <c r="Q173" s="233">
        <f>IF(AND('Small Signal'!$B$61&gt;=1,FCCM=0),AG173,AD173)</f>
        <v>-38.468990373778155</v>
      </c>
      <c r="R173" s="233" t="str">
        <f>IMDIV(IMSUM('Small Signal'!$B$2*'Small Signal'!$B$38*'Small Signal'!$B$62,IMPRODUCT(M173,'Small Signal'!$B$2*'Small Signal'!$B$38*'Small Signal'!$B$62*'Small Signal'!$B$14*'Small Signal'!$B$15)),IMSUM(IMPRODUCT('Small Signal'!$B$12*'Small Signal'!$B$14*('Small Signal'!$B$15+'Small Signal'!$B$38),IMPOWER(M173,2)),IMSUM(IMPRODUCT(M173,('Small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-0.0040661310602021-0.00310997218971296i</v>
      </c>
      <c r="S173" s="233">
        <f t="shared" si="91"/>
        <v>-43.586368502883992</v>
      </c>
      <c r="T173" s="233">
        <f t="shared" si="92"/>
        <v>-166.85411764159974</v>
      </c>
      <c r="U173" s="233" t="str">
        <f>IMDIV(IMSUM('Small Signal'!$B$74,IMPRODUCT(M173,'Small Signal'!$B$75)),IMSUM(IMPRODUCT('Small Signal'!$B$78,IMPOWER(M173,2)),IMSUM(IMPRODUCT(M173,'Small Signal'!$B$77),'Small Signal'!$B$76)))</f>
        <v>-0.0021845867442137-0.00159613810414695i</v>
      </c>
      <c r="V173" s="233">
        <f t="shared" si="69"/>
        <v>-51.354844045270902</v>
      </c>
      <c r="W173" s="233">
        <f t="shared" si="70"/>
        <v>-143.84678448386461</v>
      </c>
      <c r="X173" s="233" t="str">
        <f>IMPRODUCT(IMDIV(IMSUM(IMPRODUCT(M173,'Small Signal'!$B$57*'Small Signal'!$B$6*'Small Signal'!$B$50*'Small Signal'!$B$7*'Small Signal'!$B$8),'Small Signal'!$B$57*'Small Signal'!$B$6*'Small Signal'!$B$50),IMSUM(IMSUM(IMPRODUCT(M173,('Small Signal'!$B$5+'Small Signal'!$B$6)*('Small Signal'!$B$56*'Small Signal'!$B$57)+'Small Signal'!$B$5*'Small Signal'!$B$57*('Small Signal'!$B$8+'Small Signal'!$B$9)+'Small Signal'!$B$6*'Small Signal'!$B$57*('Small Signal'!$B$8+'Small Signal'!$B$9)+'Small Signal'!$B$7*'Small Signal'!$B$8*('Small Signal'!$B$5+'Small Signal'!$B$6)),'Small Signal'!$B$6+'Small Signal'!$B$5),IMPRODUCT(IMPOWER(M173,2),'Small Signal'!$B$56*'Small Signal'!$B$57*'Small Signal'!$B$8*'Small Signal'!$B$7*('Small Signal'!$B$5+'Small Signal'!$B$6)+('Small Signal'!$B$5+'Small Signal'!$B$6)*('Small Signal'!$B$9*'Small Signal'!$B$8*'Small Signal'!$B$57*'Small Signal'!$B$7)))),-1)</f>
        <v>-0.388739888534365+0.734330414545915i</v>
      </c>
      <c r="Y173" s="233">
        <f t="shared" si="71"/>
        <v>5.0160626901957714</v>
      </c>
      <c r="Z173" s="233">
        <f t="shared" si="72"/>
        <v>128.38512726782162</v>
      </c>
      <c r="AA173" s="233" t="str">
        <f t="shared" si="73"/>
        <v>2.10836865708406+0.390354814850723i</v>
      </c>
      <c r="AB173" s="233" t="str">
        <f t="shared" si="74"/>
        <v>0.00923030266563059-0.00733396132250391i</v>
      </c>
      <c r="AC173" s="230">
        <f t="shared" si="75"/>
        <v>-38.570305812688225</v>
      </c>
      <c r="AD173" s="233">
        <f t="shared" si="76"/>
        <v>-38.468990373778155</v>
      </c>
      <c r="AE173" s="233" t="str">
        <f t="shared" si="77"/>
        <v>0.00202132876313005-0.000983725940798419i</v>
      </c>
      <c r="AF173" s="230">
        <f t="shared" si="78"/>
        <v>-52.964088733656425</v>
      </c>
      <c r="AG173" s="233">
        <f t="shared" si="79"/>
        <v>-25.950931754678372</v>
      </c>
      <c r="AI173" s="233" t="str">
        <f t="shared" si="80"/>
        <v>0.002-0.00321738460174544i</v>
      </c>
      <c r="AJ173" s="233">
        <f t="shared" si="81"/>
        <v>0.33750000000000002</v>
      </c>
      <c r="AK173" s="233" t="str">
        <f t="shared" si="82"/>
        <v>0.15-3.17555860192274i</v>
      </c>
      <c r="AL173" s="233" t="str">
        <f t="shared" si="83"/>
        <v>0.00201441006921998-0.00317721676919053i</v>
      </c>
      <c r="AM173" s="233" t="str">
        <f t="shared" si="84"/>
        <v>0.300795615864739-0.140761227948691i</v>
      </c>
      <c r="AN173" s="233" t="str">
        <f t="shared" si="85"/>
        <v>0.005+3.14905226247287i</v>
      </c>
      <c r="AO173" s="233" t="str">
        <f t="shared" si="86"/>
        <v>-0.00644389918775526-0.00150498303429753i</v>
      </c>
      <c r="AP173" s="233">
        <f t="shared" si="93"/>
        <v>-43.586368502883992</v>
      </c>
      <c r="AQ173" s="233">
        <f t="shared" si="94"/>
        <v>-166.85411764159974</v>
      </c>
      <c r="AS173" s="233" t="str">
        <f t="shared" si="87"/>
        <v>0.306669664641183-0.147972735413356i</v>
      </c>
      <c r="AT173" s="233" t="str">
        <f t="shared" si="88"/>
        <v>-0.00663597334497218-0.00148219346837805i</v>
      </c>
      <c r="AU173" s="233">
        <f t="shared" si="95"/>
        <v>-43.35047551789404</v>
      </c>
      <c r="AV173" s="233">
        <f t="shared" si="96"/>
        <v>-167.40922940229859</v>
      </c>
    </row>
    <row r="174" spans="6:48" x14ac:dyDescent="0.25">
      <c r="F174" s="233">
        <v>172</v>
      </c>
      <c r="G174" s="249">
        <f t="shared" si="65"/>
        <v>119.44025885826497</v>
      </c>
      <c r="H174" s="249">
        <f t="shared" si="66"/>
        <v>109.08457087546194</v>
      </c>
      <c r="I174" s="234">
        <f t="shared" si="67"/>
        <v>0</v>
      </c>
      <c r="J174" s="233">
        <f t="shared" si="89"/>
        <v>0</v>
      </c>
      <c r="K174" s="233">
        <f t="shared" si="90"/>
        <v>0</v>
      </c>
      <c r="L174" s="233">
        <f>10^('Small Signal'!F174/30)</f>
        <v>541169.52654646419</v>
      </c>
      <c r="M174" s="233" t="str">
        <f t="shared" si="68"/>
        <v>3400268.41789008i</v>
      </c>
      <c r="N174" s="233">
        <f>IF(D$31=1, IF(AND('Small Signal'!$B$61&gt;=1,FCCM=0),V174+0,S174+0), 0)</f>
        <v>-44.855295079478807</v>
      </c>
      <c r="O174" s="233">
        <f>IF(D$31=1, IF(AND('Small Signal'!$B$61&gt;=1,FCCM=0),W174,T174), 0)</f>
        <v>-167.21195326698802</v>
      </c>
      <c r="P174" s="233">
        <f>IF(AND('Small Signal'!$B$61&gt;=1,FCCM=0),AF174+0,AC174+0)</f>
        <v>-40.309678934010044</v>
      </c>
      <c r="Q174" s="233">
        <f>IF(AND('Small Signal'!$B$61&gt;=1,FCCM=0),AG174,AD174)</f>
        <v>-41.277166704521555</v>
      </c>
      <c r="R174" s="233" t="str">
        <f>IMDIV(IMSUM('Small Signal'!$B$2*'Small Signal'!$B$38*'Small Signal'!$B$62,IMPRODUCT(M174,'Small Signal'!$B$2*'Small Signal'!$B$38*'Small Signal'!$B$62*'Small Signal'!$B$14*'Small Signal'!$B$15)),IMSUM(IMPRODUCT('Small Signal'!$B$12*'Small Signal'!$B$14*('Small Signal'!$B$15+'Small Signal'!$B$38),IMPOWER(M174,2)),IMSUM(IMPRODUCT(M174,('Small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-0.00349130146790204-0.00282778498359017i</v>
      </c>
      <c r="S174" s="233">
        <f t="shared" si="91"/>
        <v>-44.855295079478807</v>
      </c>
      <c r="T174" s="233">
        <f t="shared" si="92"/>
        <v>-167.21195326698802</v>
      </c>
      <c r="U174" s="233" t="str">
        <f>IMDIV(IMSUM('Small Signal'!$B$74,IMPRODUCT(M174,'Small Signal'!$B$75)),IMSUM(IMPRODUCT('Small Signal'!$B$78,IMPOWER(M174,2)),IMSUM(IMPRODUCT(M174,'Small Signal'!$B$77),'Small Signal'!$B$76)))</f>
        <v>-0.00187485838838709-0.00145642612034332i</v>
      </c>
      <c r="V174" s="233">
        <f t="shared" si="69"/>
        <v>-52.490081319771555</v>
      </c>
      <c r="W174" s="233">
        <f t="shared" si="70"/>
        <v>-142.15925074747554</v>
      </c>
      <c r="X174" s="233" t="str">
        <f>IMPRODUCT(IMDIV(IMSUM(IMPRODUCT(M174,'Small Signal'!$B$57*'Small Signal'!$B$6*'Small Signal'!$B$50*'Small Signal'!$B$7*'Small Signal'!$B$8),'Small Signal'!$B$57*'Small Signal'!$B$6*'Small Signal'!$B$50),IMSUM(IMSUM(IMPRODUCT(M174,('Small Signal'!$B$5+'Small Signal'!$B$6)*('Small Signal'!$B$56*'Small Signal'!$B$57)+'Small Signal'!$B$5*'Small Signal'!$B$57*('Small Signal'!$B$8+'Small Signal'!$B$9)+'Small Signal'!$B$6*'Small Signal'!$B$57*('Small Signal'!$B$8+'Small Signal'!$B$9)+'Small Signal'!$B$7*'Small Signal'!$B$8*('Small Signal'!$B$5+'Small Signal'!$B$6)),'Small Signal'!$B$6+'Small Signal'!$B$5),IMPRODUCT(IMPOWER(M174,2),'Small Signal'!$B$56*'Small Signal'!$B$57*'Small Signal'!$B$8*'Small Signal'!$B$7*('Small Signal'!$B$5+'Small Signal'!$B$6)+('Small Signal'!$B$5+'Small Signal'!$B$6)*('Small Signal'!$B$9*'Small Signal'!$B$8*'Small Signal'!$B$57*'Small Signal'!$B$7)))),-1)</f>
        <v>-0.344533790953697+0.702241749767023i</v>
      </c>
      <c r="Y174" s="233">
        <f t="shared" si="71"/>
        <v>4.5456161454687685</v>
      </c>
      <c r="Z174" s="233">
        <f t="shared" si="72"/>
        <v>125.93478656246648</v>
      </c>
      <c r="AA174" s="233" t="str">
        <f t="shared" si="73"/>
        <v>2.12605123752074+0.367282404784537i</v>
      </c>
      <c r="AB174" s="233" t="str">
        <f t="shared" si="74"/>
        <v>0.00725204844073718-0.00636596141404772i</v>
      </c>
      <c r="AC174" s="230">
        <f t="shared" si="75"/>
        <v>-40.309678934010044</v>
      </c>
      <c r="AD174" s="233">
        <f t="shared" si="76"/>
        <v>-41.277166704521555</v>
      </c>
      <c r="AE174" s="233" t="str">
        <f t="shared" si="77"/>
        <v>0.00166871529520863-0.000814815822740462i</v>
      </c>
      <c r="AF174" s="230">
        <f t="shared" si="78"/>
        <v>-54.623652911880171</v>
      </c>
      <c r="AG174" s="233">
        <f t="shared" si="79"/>
        <v>-26.025761880459772</v>
      </c>
      <c r="AI174" s="233" t="str">
        <f t="shared" si="80"/>
        <v>0.002-0.00297968013526965i</v>
      </c>
      <c r="AJ174" s="233">
        <f t="shared" si="81"/>
        <v>0.33750000000000002</v>
      </c>
      <c r="AK174" s="233" t="str">
        <f t="shared" si="82"/>
        <v>0.15-2.94094429351115i</v>
      </c>
      <c r="AL174" s="233" t="str">
        <f t="shared" si="83"/>
        <v>0.00201012296994653-0.00294267963102175i</v>
      </c>
      <c r="AM174" s="233" t="str">
        <f t="shared" si="84"/>
        <v>0.292089524378209-0.147591334503492i</v>
      </c>
      <c r="AN174" s="233" t="str">
        <f t="shared" si="85"/>
        <v>0.005+3.40026841789008i</v>
      </c>
      <c r="AO174" s="233" t="str">
        <f t="shared" si="86"/>
        <v>-0.005576053838844-0.00126562506389256i</v>
      </c>
      <c r="AP174" s="233">
        <f t="shared" si="93"/>
        <v>-44.855295079478807</v>
      </c>
      <c r="AQ174" s="233">
        <f t="shared" si="94"/>
        <v>-167.21195326698802</v>
      </c>
      <c r="AS174" s="233" t="str">
        <f t="shared" si="87"/>
        <v>0.297352630534949-0.154923037046937i</v>
      </c>
      <c r="AT174" s="233" t="str">
        <f t="shared" si="88"/>
        <v>-0.0057383031727263-0.00123851042613801i</v>
      </c>
      <c r="AU174" s="233">
        <f t="shared" si="95"/>
        <v>-44.626591264772003</v>
      </c>
      <c r="AV174" s="233">
        <f t="shared" si="96"/>
        <v>-167.82055442146495</v>
      </c>
    </row>
    <row r="175" spans="6:48" x14ac:dyDescent="0.25">
      <c r="F175" s="233">
        <v>173</v>
      </c>
      <c r="G175" s="249">
        <f t="shared" si="65"/>
        <v>117.12602375096712</v>
      </c>
      <c r="H175" s="249">
        <f t="shared" si="66"/>
        <v>107.45219939780316</v>
      </c>
      <c r="I175" s="234">
        <f t="shared" si="67"/>
        <v>0</v>
      </c>
      <c r="J175" s="233">
        <f t="shared" si="89"/>
        <v>0</v>
      </c>
      <c r="K175" s="233">
        <f t="shared" si="90"/>
        <v>0</v>
      </c>
      <c r="L175" s="233">
        <f>10^('Small Signal'!F175/30)</f>
        <v>584341.41337351827</v>
      </c>
      <c r="M175" s="233" t="str">
        <f t="shared" si="68"/>
        <v>3671525.38288504i</v>
      </c>
      <c r="N175" s="233">
        <f>IF(D$31=1, IF(AND('Small Signal'!$B$61&gt;=1,FCCM=0),V175+0,S175+0), 0)</f>
        <v>-46.121267548142626</v>
      </c>
      <c r="O175" s="233">
        <f>IF(D$31=1, IF(AND('Small Signal'!$B$61&gt;=1,FCCM=0),W175,T175), 0)</f>
        <v>-167.54750100837938</v>
      </c>
      <c r="P175" s="233">
        <f>IF(AND('Small Signal'!$B$61&gt;=1,FCCM=0),AF175+0,AC175+0)</f>
        <v>-42.069348662223931</v>
      </c>
      <c r="Q175" s="233">
        <f>IF(AND('Small Signal'!$B$61&gt;=1,FCCM=0),AG175,AD175)</f>
        <v>-43.950895865132168</v>
      </c>
      <c r="R175" s="233" t="str">
        <f>IMDIV(IMSUM('Small Signal'!$B$2*'Small Signal'!$B$38*'Small Signal'!$B$62,IMPRODUCT(M175,'Small Signal'!$B$2*'Small Signal'!$B$38*'Small Signal'!$B$62*'Small Signal'!$B$14*'Small Signal'!$B$15)),IMSUM(IMPRODUCT('Small Signal'!$B$12*'Small Signal'!$B$14*('Small Signal'!$B$15+'Small Signal'!$B$38),IMPOWER(M175,2)),IMSUM(IMPRODUCT(M175,('Small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-0.00299727245665041-0.00257716417344981i</v>
      </c>
      <c r="S175" s="233">
        <f t="shared" si="91"/>
        <v>-46.121267548142626</v>
      </c>
      <c r="T175" s="233">
        <f t="shared" si="92"/>
        <v>-167.54750100837938</v>
      </c>
      <c r="U175" s="233" t="str">
        <f>IMDIV(IMSUM('Small Signal'!$B$74,IMPRODUCT(M175,'Small Signal'!$B$75)),IMSUM(IMPRODUCT('Small Signal'!$B$78,IMPOWER(M175,2)),IMSUM(IMPRODUCT(M175,'Small Signal'!$B$77),'Small Signal'!$B$76)))</f>
        <v>-0.00160890289369796-0.00133150406494914i</v>
      </c>
      <c r="V175" s="233">
        <f t="shared" si="69"/>
        <v>-53.603669514809773</v>
      </c>
      <c r="W175" s="233">
        <f t="shared" si="70"/>
        <v>-140.38934934181938</v>
      </c>
      <c r="X175" s="233" t="str">
        <f>IMPRODUCT(IMDIV(IMSUM(IMPRODUCT(M175,'Small Signal'!$B$57*'Small Signal'!$B$6*'Small Signal'!$B$50*'Small Signal'!$B$7*'Small Signal'!$B$8),'Small Signal'!$B$57*'Small Signal'!$B$6*'Small Signal'!$B$50),IMSUM(IMSUM(IMPRODUCT(M175,('Small Signal'!$B$5+'Small Signal'!$B$6)*('Small Signal'!$B$56*'Small Signal'!$B$57)+'Small Signal'!$B$5*'Small Signal'!$B$57*('Small Signal'!$B$8+'Small Signal'!$B$9)+'Small Signal'!$B$6*'Small Signal'!$B$57*('Small Signal'!$B$8+'Small Signal'!$B$9)+'Small Signal'!$B$7*'Small Signal'!$B$8*('Small Signal'!$B$5+'Small Signal'!$B$6)),'Small Signal'!$B$6+'Small Signal'!$B$5),IMPRODUCT(IMPOWER(M175,2),'Small Signal'!$B$56*'Small Signal'!$B$57*'Small Signal'!$B$8*'Small Signal'!$B$7*('Small Signal'!$B$5+'Small Signal'!$B$6)+('Small Signal'!$B$5+'Small Signal'!$B$6)*('Small Signal'!$B$9*'Small Signal'!$B$8*'Small Signal'!$B$57*'Small Signal'!$B$7)))),-1)</f>
        <v>-0.304201648535913+0.669087422967685i</v>
      </c>
      <c r="Y175" s="233">
        <f t="shared" si="71"/>
        <v>4.0519188859186954</v>
      </c>
      <c r="Z175" s="233">
        <f t="shared" si="72"/>
        <v>123.59660514324723</v>
      </c>
      <c r="AA175" s="233" t="str">
        <f t="shared" si="73"/>
        <v>2.14167323484944+0.344866061640476i</v>
      </c>
      <c r="AB175" s="233" t="str">
        <f t="shared" si="74"/>
        <v>0.00567316978263031-0.00546912792757974i</v>
      </c>
      <c r="AC175" s="230">
        <f t="shared" si="75"/>
        <v>-42.069348662223931</v>
      </c>
      <c r="AD175" s="233">
        <f t="shared" si="76"/>
        <v>-43.950895865132168</v>
      </c>
      <c r="AE175" s="233" t="str">
        <f t="shared" si="77"/>
        <v>0.00138032353608494-0.000671450959359821i</v>
      </c>
      <c r="AF175" s="230">
        <f t="shared" si="78"/>
        <v>-56.277990081183987</v>
      </c>
      <c r="AG175" s="233">
        <f t="shared" si="79"/>
        <v>-25.940355799187003</v>
      </c>
      <c r="AI175" s="233" t="str">
        <f t="shared" si="80"/>
        <v>0.002-0.00275953757710657i</v>
      </c>
      <c r="AJ175" s="233">
        <f t="shared" si="81"/>
        <v>0.33750000000000002</v>
      </c>
      <c r="AK175" s="233" t="str">
        <f t="shared" si="82"/>
        <v>0.15-2.72366358860418i</v>
      </c>
      <c r="AL175" s="233" t="str">
        <f t="shared" si="83"/>
        <v>0.0020064432830683-0.00272547547288875i</v>
      </c>
      <c r="AM175" s="233" t="str">
        <f t="shared" si="84"/>
        <v>0.282554525236989-0.154163115524853i</v>
      </c>
      <c r="AN175" s="233" t="str">
        <f t="shared" si="85"/>
        <v>0.005+3.67152538288504i</v>
      </c>
      <c r="AO175" s="233" t="str">
        <f t="shared" si="86"/>
        <v>-0.0048261164919943-0.00106572730344761i</v>
      </c>
      <c r="AP175" s="233">
        <f t="shared" si="93"/>
        <v>-46.121267548142626</v>
      </c>
      <c r="AQ175" s="233">
        <f t="shared" si="94"/>
        <v>-167.54750100837938</v>
      </c>
      <c r="AS175" s="233" t="str">
        <f t="shared" si="87"/>
        <v>0.287180125473808-0.161559288367986i</v>
      </c>
      <c r="AT175" s="233" t="str">
        <f t="shared" si="88"/>
        <v>-0.00496258084276762-0.00103616521357352i</v>
      </c>
      <c r="AU175" s="233">
        <f t="shared" si="95"/>
        <v>-45.900525642681551</v>
      </c>
      <c r="AV175" s="233">
        <f t="shared" si="96"/>
        <v>-168.20632735825686</v>
      </c>
    </row>
    <row r="176" spans="6:48" x14ac:dyDescent="0.25">
      <c r="F176" s="233">
        <v>174</v>
      </c>
      <c r="G176" s="249">
        <f t="shared" si="65"/>
        <v>114.93050635585925</v>
      </c>
      <c r="H176" s="249">
        <f t="shared" si="66"/>
        <v>105.90403144863141</v>
      </c>
      <c r="I176" s="234">
        <f t="shared" si="67"/>
        <v>0</v>
      </c>
      <c r="J176" s="233">
        <f t="shared" si="89"/>
        <v>0</v>
      </c>
      <c r="K176" s="233">
        <f t="shared" si="90"/>
        <v>0</v>
      </c>
      <c r="L176" s="233">
        <f>10^('Small Signal'!F176/30)</f>
        <v>630957.34448019415</v>
      </c>
      <c r="M176" s="233" t="str">
        <f t="shared" si="68"/>
        <v>3964421.916295i</v>
      </c>
      <c r="N176" s="233">
        <f>IF(D$31=1, IF(AND('Small Signal'!$B$61&gt;=1,FCCM=0),V176+0,S176+0), 0)</f>
        <v>-47.384421294917523</v>
      </c>
      <c r="O176" s="233">
        <f>IF(D$31=1, IF(AND('Small Signal'!$B$61&gt;=1,FCCM=0),W176,T176), 0)</f>
        <v>-167.86796112656887</v>
      </c>
      <c r="P176" s="233">
        <f>IF(AND('Small Signal'!$B$61&gt;=1,FCCM=0),AF176+0,AC176+0)</f>
        <v>-43.847189621805157</v>
      </c>
      <c r="Q176" s="233">
        <f>IF(AND('Small Signal'!$B$61&gt;=1,FCCM=0),AG176,AD176)</f>
        <v>-46.494394149048297</v>
      </c>
      <c r="R176" s="233" t="str">
        <f>IMDIV(IMSUM('Small Signal'!$B$2*'Small Signal'!$B$38*'Small Signal'!$B$62,IMPRODUCT(M176,'Small Signal'!$B$2*'Small Signal'!$B$38*'Small Signal'!$B$62*'Small Signal'!$B$14*'Small Signal'!$B$15)),IMSUM(IMPRODUCT('Small Signal'!$B$12*'Small Signal'!$B$14*('Small Signal'!$B$15+'Small Signal'!$B$38),IMPOWER(M176,2)),IMSUM(IMPRODUCT(M176,('Small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-0.00257280871004282-0.00235359317937661i</v>
      </c>
      <c r="S176" s="233">
        <f t="shared" si="91"/>
        <v>-47.384421294917523</v>
      </c>
      <c r="T176" s="233">
        <f t="shared" si="92"/>
        <v>-167.86796112656887</v>
      </c>
      <c r="U176" s="233" t="str">
        <f>IMDIV(IMSUM('Small Signal'!$B$74,IMPRODUCT(M176,'Small Signal'!$B$75)),IMSUM(IMPRODUCT('Small Signal'!$B$78,IMPOWER(M176,2)),IMSUM(IMPRODUCT(M176,'Small Signal'!$B$77),'Small Signal'!$B$76)))</f>
        <v>-0.00138057103783702-0.00121936453153227i</v>
      </c>
      <c r="V176" s="233">
        <f t="shared" si="69"/>
        <v>-54.694383802739338</v>
      </c>
      <c r="W176" s="233">
        <f t="shared" si="70"/>
        <v>-138.54802759811713</v>
      </c>
      <c r="X176" s="233" t="str">
        <f>IMPRODUCT(IMDIV(IMSUM(IMPRODUCT(M176,'Small Signal'!$B$57*'Small Signal'!$B$6*'Small Signal'!$B$50*'Small Signal'!$B$7*'Small Signal'!$B$8),'Small Signal'!$B$57*'Small Signal'!$B$6*'Small Signal'!$B$50),IMSUM(IMSUM(IMPRODUCT(M176,('Small Signal'!$B$5+'Small Signal'!$B$6)*('Small Signal'!$B$56*'Small Signal'!$B$57)+'Small Signal'!$B$5*'Small Signal'!$B$57*('Small Signal'!$B$8+'Small Signal'!$B$9)+'Small Signal'!$B$6*'Small Signal'!$B$57*('Small Signal'!$B$8+'Small Signal'!$B$9)+'Small Signal'!$B$7*'Small Signal'!$B$8*('Small Signal'!$B$5+'Small Signal'!$B$6)),'Small Signal'!$B$6+'Small Signal'!$B$5),IMPRODUCT(IMPOWER(M176,2),'Small Signal'!$B$56*'Small Signal'!$B$57*'Small Signal'!$B$8*'Small Signal'!$B$7*('Small Signal'!$B$5+'Small Signal'!$B$6)+('Small Signal'!$B$5+'Small Signal'!$B$6)*('Small Signal'!$B$9*'Small Signal'!$B$8*'Small Signal'!$B$57*'Small Signal'!$B$7)))),-1)</f>
        <v>-0.267668774525477+0.635365073380162i</v>
      </c>
      <c r="Y176" s="233">
        <f t="shared" si="71"/>
        <v>3.5372316731123723</v>
      </c>
      <c r="Z176" s="233">
        <f t="shared" si="72"/>
        <v>121.37356697752057</v>
      </c>
      <c r="AA176" s="233" t="str">
        <f t="shared" si="73"/>
        <v>2.15542163729967+0.323233080100055i</v>
      </c>
      <c r="AB176" s="233" t="str">
        <f t="shared" si="74"/>
        <v>0.00442076566964345-0.00465760226088945i</v>
      </c>
      <c r="AC176" s="230">
        <f t="shared" si="75"/>
        <v>-43.847189621805157</v>
      </c>
      <c r="AD176" s="233">
        <f t="shared" si="76"/>
        <v>-46.494394149048297</v>
      </c>
      <c r="AE176" s="233" t="str">
        <f t="shared" si="77"/>
        <v>0.00114427739289737-0.00055078080890677i</v>
      </c>
      <c r="AF176" s="230">
        <f t="shared" si="78"/>
        <v>-57.924382675425022</v>
      </c>
      <c r="AG176" s="233">
        <f t="shared" si="79"/>
        <v>-25.703142138360619</v>
      </c>
      <c r="AI176" s="233" t="str">
        <f t="shared" si="80"/>
        <v>0.002-0.00255565943113355i</v>
      </c>
      <c r="AJ176" s="233">
        <f t="shared" si="81"/>
        <v>0.33750000000000002</v>
      </c>
      <c r="AK176" s="233" t="str">
        <f t="shared" si="82"/>
        <v>0.15-2.52243585852881i</v>
      </c>
      <c r="AL176" s="233" t="str">
        <f t="shared" si="83"/>
        <v>0.00200328417148103-0.00252432628242734i</v>
      </c>
      <c r="AM176" s="233" t="str">
        <f t="shared" si="84"/>
        <v>0.272194732658296-0.160358232782482i</v>
      </c>
      <c r="AN176" s="233" t="str">
        <f t="shared" si="85"/>
        <v>0.005+3.964421916295i</v>
      </c>
      <c r="AO176" s="233" t="str">
        <f t="shared" si="86"/>
        <v>-0.00417800917142893-0.000898131498894327i</v>
      </c>
      <c r="AP176" s="233">
        <f t="shared" si="93"/>
        <v>-47.384421294917523</v>
      </c>
      <c r="AQ176" s="233">
        <f t="shared" si="94"/>
        <v>-167.86796112656887</v>
      </c>
      <c r="AS176" s="233" t="str">
        <f t="shared" si="87"/>
        <v>0.276164951587408-0.1677565340911i</v>
      </c>
      <c r="AT176" s="233" t="str">
        <f t="shared" si="88"/>
        <v>-0.00429226114947787-0.000867565633286504i</v>
      </c>
      <c r="AU176" s="233">
        <f t="shared" si="95"/>
        <v>-47.172379951657071</v>
      </c>
      <c r="AV176" s="233">
        <f t="shared" si="96"/>
        <v>-168.57314293593944</v>
      </c>
    </row>
    <row r="177" spans="6:48" x14ac:dyDescent="0.25">
      <c r="F177" s="233">
        <v>175</v>
      </c>
      <c r="G177" s="249">
        <f t="shared" si="65"/>
        <v>112.85398744051223</v>
      </c>
      <c r="H177" s="249">
        <f t="shared" si="66"/>
        <v>104.44000965006249</v>
      </c>
      <c r="I177" s="234">
        <f t="shared" si="67"/>
        <v>0</v>
      </c>
      <c r="J177" s="233">
        <f t="shared" si="89"/>
        <v>0</v>
      </c>
      <c r="K177" s="233">
        <f t="shared" si="90"/>
        <v>0</v>
      </c>
      <c r="L177" s="233">
        <f>10^('Small Signal'!F177/30)</f>
        <v>681292.06905796123</v>
      </c>
      <c r="M177" s="233" t="str">
        <f t="shared" si="68"/>
        <v>4280684.31820296i</v>
      </c>
      <c r="N177" s="233">
        <f>IF(D$31=1, IF(AND('Small Signal'!$B$61&gt;=1,FCCM=0),V177+0,S177+0), 0)</f>
        <v>-48.645048037560592</v>
      </c>
      <c r="O177" s="233">
        <f>IF(D$31=1, IF(AND('Small Signal'!$B$61&gt;=1,FCCM=0),W177,T177), 0)</f>
        <v>-168.1801433307256</v>
      </c>
      <c r="P177" s="233">
        <f>IF(AND('Small Signal'!$B$61&gt;=1,FCCM=0),AF177+0,AC177+0)</f>
        <v>-45.641336925932393</v>
      </c>
      <c r="Q177" s="233">
        <f>IF(AND('Small Signal'!$B$61&gt;=1,FCCM=0),AG177,AD177)</f>
        <v>-48.913259928471504</v>
      </c>
      <c r="R177" s="233" t="str">
        <f>IMDIV(IMSUM('Small Signal'!$B$2*'Small Signal'!$B$38*'Small Signal'!$B$62,IMPRODUCT(M177,'Small Signal'!$B$2*'Small Signal'!$B$38*'Small Signal'!$B$62*'Small Signal'!$B$14*'Small Signal'!$B$15)),IMSUM(IMPRODUCT('Small Signal'!$B$12*'Small Signal'!$B$14*('Small Signal'!$B$15+'Small Signal'!$B$38),IMPOWER(M177,2)),IMSUM(IMPRODUCT(M177,('Small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-0.00220820475833297-0.00215333204859449i</v>
      </c>
      <c r="S177" s="233">
        <f t="shared" si="91"/>
        <v>-48.645048037560592</v>
      </c>
      <c r="T177" s="233">
        <f t="shared" si="92"/>
        <v>-168.1801433307256</v>
      </c>
      <c r="U177" s="233" t="str">
        <f>IMDIV(IMSUM('Small Signal'!$B$74,IMPRODUCT(M177,'Small Signal'!$B$75)),IMSUM(IMPRODUCT('Small Signal'!$B$78,IMPOWER(M177,2)),IMSUM(IMPRODUCT(M177,'Small Signal'!$B$77),'Small Signal'!$B$76)))</f>
        <v>-0.00118456762666375-0.0011183352178686i</v>
      </c>
      <c r="V177" s="233">
        <f t="shared" si="69"/>
        <v>-55.761196804025452</v>
      </c>
      <c r="W177" s="233">
        <f t="shared" si="70"/>
        <v>-136.64739546243109</v>
      </c>
      <c r="X177" s="233" t="str">
        <f>IMPRODUCT(IMDIV(IMSUM(IMPRODUCT(M177,'Small Signal'!$B$57*'Small Signal'!$B$6*'Small Signal'!$B$50*'Small Signal'!$B$7*'Small Signal'!$B$8),'Small Signal'!$B$57*'Small Signal'!$B$6*'Small Signal'!$B$50),IMSUM(IMSUM(IMPRODUCT(M177,('Small Signal'!$B$5+'Small Signal'!$B$6)*('Small Signal'!$B$56*'Small Signal'!$B$57)+'Small Signal'!$B$5*'Small Signal'!$B$57*('Small Signal'!$B$8+'Small Signal'!$B$9)+'Small Signal'!$B$6*'Small Signal'!$B$57*('Small Signal'!$B$8+'Small Signal'!$B$9)+'Small Signal'!$B$7*'Small Signal'!$B$8*('Small Signal'!$B$5+'Small Signal'!$B$6)),'Small Signal'!$B$6+'Small Signal'!$B$5),IMPRODUCT(IMPOWER(M177,2),'Small Signal'!$B$56*'Small Signal'!$B$57*'Small Signal'!$B$8*'Small Signal'!$B$7*('Small Signal'!$B$5+'Small Signal'!$B$6)+('Small Signal'!$B$5+'Small Signal'!$B$6)*('Small Signal'!$B$9*'Small Signal'!$B$8*'Small Signal'!$B$57*'Small Signal'!$B$7)))),-1)</f>
        <v>-0.234793126907096+0.601516885586847i</v>
      </c>
      <c r="Y177" s="233">
        <f t="shared" si="71"/>
        <v>3.0037111116281956</v>
      </c>
      <c r="Z177" s="233">
        <f t="shared" si="72"/>
        <v>119.26688340225412</v>
      </c>
      <c r="AA177" s="233" t="str">
        <f t="shared" si="73"/>
        <v>2.16748013626179+0.302476383086481i</v>
      </c>
      <c r="AB177" s="233" t="str">
        <f t="shared" si="74"/>
        <v>0.00343266370380527-0.00393677509788591i</v>
      </c>
      <c r="AC177" s="230">
        <f t="shared" si="75"/>
        <v>-45.641336925932393</v>
      </c>
      <c r="AD177" s="233">
        <f t="shared" si="76"/>
        <v>-48.913259928471504</v>
      </c>
      <c r="AE177" s="233" t="str">
        <f t="shared" si="77"/>
        <v>0.000950825854391708-0.000449960006824085i</v>
      </c>
      <c r="AF177" s="230">
        <f t="shared" si="78"/>
        <v>-59.560353104963866</v>
      </c>
      <c r="AG177" s="233">
        <f t="shared" si="79"/>
        <v>-25.324950888787857</v>
      </c>
      <c r="AI177" s="233" t="str">
        <f t="shared" si="80"/>
        <v>0.002-0.00236684406189176i</v>
      </c>
      <c r="AJ177" s="233">
        <f t="shared" si="81"/>
        <v>0.33750000000000002</v>
      </c>
      <c r="AK177" s="233" t="str">
        <f t="shared" si="82"/>
        <v>0.15-2.33607508908716i</v>
      </c>
      <c r="AL177" s="233" t="str">
        <f t="shared" si="83"/>
        <v>0.00200057108055616-0.00233804821124573i</v>
      </c>
      <c r="AM177" s="233" t="str">
        <f t="shared" si="84"/>
        <v>0.261035975537821-0.166052433001003i</v>
      </c>
      <c r="AN177" s="233" t="str">
        <f t="shared" si="85"/>
        <v>0.005+4.28068431820296i</v>
      </c>
      <c r="AO177" s="233" t="str">
        <f t="shared" si="86"/>
        <v>-0.00361776195749056-0.000757098451643517i</v>
      </c>
      <c r="AP177" s="233">
        <f t="shared" si="93"/>
        <v>-48.645048037560592</v>
      </c>
      <c r="AQ177" s="233">
        <f t="shared" si="94"/>
        <v>-168.1801433307256</v>
      </c>
      <c r="AS177" s="233" t="str">
        <f t="shared" si="87"/>
        <v>0.264343461673067-0.173385506003544i</v>
      </c>
      <c r="AT177" s="233" t="str">
        <f t="shared" si="88"/>
        <v>-0.00371295145880417-0.000726621956987483i</v>
      </c>
      <c r="AU177" s="233">
        <f t="shared" si="95"/>
        <v>-48.442393510930344</v>
      </c>
      <c r="AV177" s="233">
        <f t="shared" si="96"/>
        <v>-168.9271975291351</v>
      </c>
    </row>
    <row r="178" spans="6:48" x14ac:dyDescent="0.25">
      <c r="F178" s="233">
        <v>176</v>
      </c>
      <c r="G178" s="249">
        <f t="shared" si="65"/>
        <v>110.89533744449633</v>
      </c>
      <c r="H178" s="249">
        <f t="shared" si="66"/>
        <v>103.05917594581035</v>
      </c>
      <c r="I178" s="234">
        <f t="shared" si="67"/>
        <v>0</v>
      </c>
      <c r="J178" s="233">
        <f t="shared" si="89"/>
        <v>0</v>
      </c>
      <c r="K178" s="233">
        <f t="shared" si="90"/>
        <v>0</v>
      </c>
      <c r="L178" s="233">
        <f>10^('Small Signal'!F178/30)</f>
        <v>735642.25445964152</v>
      </c>
      <c r="M178" s="233" t="str">
        <f t="shared" si="68"/>
        <v>4622176.60456129i</v>
      </c>
      <c r="N178" s="233">
        <f>IF(D$31=1, IF(AND('Small Signal'!$B$61&gt;=1,FCCM=0),V178+0,S178+0), 0)</f>
        <v>-49.903589013827869</v>
      </c>
      <c r="O178" s="233">
        <f>IF(D$31=1, IF(AND('Small Signal'!$B$61&gt;=1,FCCM=0),W178,T178), 0)</f>
        <v>-168.4902582110748</v>
      </c>
      <c r="P178" s="233">
        <f>IF(AND('Small Signal'!$B$61&gt;=1,FCCM=0),AF178+0,AC178+0)</f>
        <v>-47.450203974588383</v>
      </c>
      <c r="Q178" s="233">
        <f>IF(AND('Small Signal'!$B$61&gt;=1,FCCM=0),AG178,AD178)</f>
        <v>-51.214003380297179</v>
      </c>
      <c r="R178" s="233" t="str">
        <f>IMDIV(IMSUM('Small Signal'!$B$2*'Small Signal'!$B$38*'Small Signal'!$B$62,IMPRODUCT(M178,'Small Signal'!$B$2*'Small Signal'!$B$38*'Small Signal'!$B$62*'Small Signal'!$B$14*'Small Signal'!$B$15)),IMSUM(IMPRODUCT('Small Signal'!$B$12*'Small Signal'!$B$14*('Small Signal'!$B$15+'Small Signal'!$B$38),IMPOWER(M178,2)),IMSUM(IMPRODUCT(M178,('Small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-0.0018950853190161-0.00197327098317259i</v>
      </c>
      <c r="S178" s="233">
        <f t="shared" si="91"/>
        <v>-49.903589013827869</v>
      </c>
      <c r="T178" s="233">
        <f t="shared" si="92"/>
        <v>-168.4902582110748</v>
      </c>
      <c r="U178" s="233" t="str">
        <f>IMDIV(IMSUM('Small Signal'!$B$74,IMPRODUCT(M178,'Small Signal'!$B$75)),IMSUM(IMPRODUCT('Small Signal'!$B$78,IMPOWER(M178,2)),IMSUM(IMPRODUCT(M178,'Small Signal'!$B$77),'Small Signal'!$B$76)))</f>
        <v>-0.00101633549515884-0.00102701617390124i</v>
      </c>
      <c r="V178" s="233">
        <f t="shared" si="69"/>
        <v>-56.803318962675007</v>
      </c>
      <c r="W178" s="233">
        <f t="shared" si="70"/>
        <v>-134.70051545686371</v>
      </c>
      <c r="X178" s="233" t="str">
        <f>IMPRODUCT(IMDIV(IMSUM(IMPRODUCT(M178,'Small Signal'!$B$57*'Small Signal'!$B$6*'Small Signal'!$B$50*'Small Signal'!$B$7*'Small Signal'!$B$8),'Small Signal'!$B$57*'Small Signal'!$B$6*'Small Signal'!$B$50),IMSUM(IMSUM(IMPRODUCT(M178,('Small Signal'!$B$5+'Small Signal'!$B$6)*('Small Signal'!$B$56*'Small Signal'!$B$57)+'Small Signal'!$B$5*'Small Signal'!$B$57*('Small Signal'!$B$8+'Small Signal'!$B$9)+'Small Signal'!$B$6*'Small Signal'!$B$57*('Small Signal'!$B$8+'Small Signal'!$B$9)+'Small Signal'!$B$7*'Small Signal'!$B$8*('Small Signal'!$B$5+'Small Signal'!$B$6)),'Small Signal'!$B$6+'Small Signal'!$B$5),IMPRODUCT(IMPOWER(M178,2),'Small Signal'!$B$56*'Small Signal'!$B$57*'Small Signal'!$B$8*'Small Signal'!$B$7*('Small Signal'!$B$5+'Small Signal'!$B$6)+('Small Signal'!$B$5+'Small Signal'!$B$6)*('Small Signal'!$B$9*'Small Signal'!$B$8*'Small Signal'!$B$57*'Small Signal'!$B$7)))),-1)</f>
        <v>-0.205382356471971+0.567924084799727i</v>
      </c>
      <c r="Y178" s="233">
        <f t="shared" si="71"/>
        <v>2.4533850392394649</v>
      </c>
      <c r="Z178" s="233">
        <f t="shared" si="72"/>
        <v>117.27625483077759</v>
      </c>
      <c r="AA178" s="233" t="str">
        <f t="shared" si="73"/>
        <v>2.17802499075081+0.282659210436901i</v>
      </c>
      <c r="AB178" s="233" t="str">
        <f t="shared" si="74"/>
        <v>0.00265675058065154-0.00330598557917423i</v>
      </c>
      <c r="AC178" s="230">
        <f t="shared" si="75"/>
        <v>-47.450203974588383</v>
      </c>
      <c r="AD178" s="233">
        <f t="shared" si="76"/>
        <v>-51.214003380297179</v>
      </c>
      <c r="AE178" s="233" t="str">
        <f t="shared" si="77"/>
        <v>0.000792004599599209-0.000366270404006897i</v>
      </c>
      <c r="AF178" s="230">
        <f t="shared" si="78"/>
        <v>-61.18372699968333</v>
      </c>
      <c r="AG178" s="233">
        <f t="shared" si="79"/>
        <v>-24.818650756300364</v>
      </c>
      <c r="AI178" s="233" t="str">
        <f t="shared" si="80"/>
        <v>0.002-0.00219197861227838i</v>
      </c>
      <c r="AJ178" s="233">
        <f t="shared" si="81"/>
        <v>0.33750000000000002</v>
      </c>
      <c r="AK178" s="233" t="str">
        <f t="shared" si="82"/>
        <v>0.15-2.16348289031876i</v>
      </c>
      <c r="AL178" s="233" t="str">
        <f t="shared" si="83"/>
        <v>0.0019982399810036-0.00216554468816047i</v>
      </c>
      <c r="AM178" s="233" t="str">
        <f t="shared" si="84"/>
        <v>0.249128330173923-0.171120219441941i</v>
      </c>
      <c r="AN178" s="233" t="str">
        <f t="shared" si="85"/>
        <v>0.005+4.62217660456129i</v>
      </c>
      <c r="AO178" s="233" t="str">
        <f t="shared" si="86"/>
        <v>-0.00313327292727606-0.000638026391320714i</v>
      </c>
      <c r="AP178" s="233">
        <f t="shared" si="93"/>
        <v>-49.903589013827869</v>
      </c>
      <c r="AQ178" s="233">
        <f t="shared" si="94"/>
        <v>-168.4902582110748</v>
      </c>
      <c r="AS178" s="233" t="str">
        <f t="shared" si="87"/>
        <v>0.251777734027906-0.178317871381609i</v>
      </c>
      <c r="AT178" s="233" t="str">
        <f t="shared" si="88"/>
        <v>-0.0032121699343872-0.000608449195689595i</v>
      </c>
      <c r="AU178" s="233">
        <f t="shared" si="95"/>
        <v>-49.710935545439419</v>
      </c>
      <c r="AV178" s="233">
        <f t="shared" si="96"/>
        <v>-169.27411058492618</v>
      </c>
    </row>
    <row r="179" spans="6:48" x14ac:dyDescent="0.25">
      <c r="F179" s="233">
        <v>177</v>
      </c>
      <c r="G179" s="249">
        <f t="shared" si="65"/>
        <v>109.05228144495231</v>
      </c>
      <c r="H179" s="249">
        <f t="shared" si="66"/>
        <v>101.75983020383275</v>
      </c>
      <c r="I179" s="234">
        <f t="shared" si="67"/>
        <v>0</v>
      </c>
      <c r="J179" s="233">
        <f t="shared" si="89"/>
        <v>0</v>
      </c>
      <c r="K179" s="233">
        <f t="shared" si="90"/>
        <v>0</v>
      </c>
      <c r="L179" s="233">
        <f>10^('Small Signal'!F179/30)</f>
        <v>794328.23472428333</v>
      </c>
      <c r="M179" s="233" t="str">
        <f t="shared" si="68"/>
        <v>4990911.49349752i</v>
      </c>
      <c r="N179" s="233">
        <f>IF(D$31=1, IF(AND('Small Signal'!$B$61&gt;=1,FCCM=0),V179+0,S179+0), 0)</f>
        <v>-51.160619040273929</v>
      </c>
      <c r="O179" s="233">
        <f>IF(D$31=1, IF(AND('Small Signal'!$B$61&gt;=1,FCCM=0),W179,T179), 0)</f>
        <v>-168.80371174458907</v>
      </c>
      <c r="P179" s="233">
        <f>IF(AND('Small Signal'!$B$61&gt;=1,FCCM=0),AF179+0,AC179+0)</f>
        <v>-49.272482361387759</v>
      </c>
      <c r="Q179" s="233">
        <f>IF(AND('Small Signal'!$B$61&gt;=1,FCCM=0),AG179,AD179)</f>
        <v>-53.403584353577095</v>
      </c>
      <c r="R179" s="233" t="str">
        <f>IMDIV(IMSUM('Small Signal'!$B$2*'Small Signal'!$B$38*'Small Signal'!$B$62,IMPRODUCT(M179,'Small Signal'!$B$2*'Small Signal'!$B$38*'Small Signal'!$B$62*'Small Signal'!$B$14*'Small Signal'!$B$15)),IMSUM(IMPRODUCT('Small Signal'!$B$12*'Small Signal'!$B$14*('Small Signal'!$B$15+'Small Signal'!$B$38),IMPOWER(M179,2)),IMSUM(IMPRODUCT(M179,('Small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-0.001626229350351-0.00181081238002081i</v>
      </c>
      <c r="S179" s="233">
        <f t="shared" si="91"/>
        <v>-51.160619040273929</v>
      </c>
      <c r="T179" s="233">
        <f t="shared" si="92"/>
        <v>-168.80371174458907</v>
      </c>
      <c r="U179" s="233" t="str">
        <f>IMDIV(IMSUM('Small Signal'!$B$74,IMPRODUCT(M179,'Small Signal'!$B$75)),IMSUM(IMPRODUCT('Small Signal'!$B$78,IMPOWER(M179,2)),IMSUM(IMPRODUCT(M179,'Small Signal'!$B$77),'Small Signal'!$B$76)))</f>
        <v>-0.000871954562907026-0.000944229365537443i</v>
      </c>
      <c r="V179" s="233">
        <f t="shared" si="69"/>
        <v>-57.820231206831075</v>
      </c>
      <c r="W179" s="233">
        <f t="shared" si="70"/>
        <v>-132.72112438367387</v>
      </c>
      <c r="X179" s="233" t="str">
        <f>IMPRODUCT(IMDIV(IMSUM(IMPRODUCT(M179,'Small Signal'!$B$57*'Small Signal'!$B$6*'Small Signal'!$B$50*'Small Signal'!$B$7*'Small Signal'!$B$8),'Small Signal'!$B$57*'Small Signal'!$B$6*'Small Signal'!$B$50),IMSUM(IMSUM(IMPRODUCT(M179,('Small Signal'!$B$5+'Small Signal'!$B$6)*('Small Signal'!$B$56*'Small Signal'!$B$57)+'Small Signal'!$B$5*'Small Signal'!$B$57*('Small Signal'!$B$8+'Small Signal'!$B$9)+'Small Signal'!$B$6*'Small Signal'!$B$57*('Small Signal'!$B$8+'Small Signal'!$B$9)+'Small Signal'!$B$7*'Small Signal'!$B$8*('Small Signal'!$B$5+'Small Signal'!$B$6)),'Small Signal'!$B$6+'Small Signal'!$B$5),IMPRODUCT(IMPOWER(M179,2),'Small Signal'!$B$56*'Small Signal'!$B$57*'Small Signal'!$B$8*'Small Signal'!$B$7*('Small Signal'!$B$5+'Small Signal'!$B$6)+('Small Signal'!$B$5+'Small Signal'!$B$6)*('Small Signal'!$B$9*'Small Signal'!$B$8*'Small Signal'!$B$57*'Small Signal'!$B$7)))),-1)</f>
        <v>-0.179209626735058+0.53490559921263i</v>
      </c>
      <c r="Y179" s="233">
        <f t="shared" si="71"/>
        <v>1.8881366788861635</v>
      </c>
      <c r="Z179" s="233">
        <f t="shared" si="72"/>
        <v>115.40012739101195</v>
      </c>
      <c r="AA179" s="233" t="str">
        <f t="shared" si="73"/>
        <v>2.18722220780979+0.263819757149126i</v>
      </c>
      <c r="AB179" s="233" t="str">
        <f t="shared" si="74"/>
        <v>0.00204997888464257-0.00276065969939417i</v>
      </c>
      <c r="AC179" s="230">
        <f t="shared" si="75"/>
        <v>-49.272482361387759</v>
      </c>
      <c r="AD179" s="233">
        <f t="shared" si="76"/>
        <v>-53.403584353577095</v>
      </c>
      <c r="AE179" s="233" t="str">
        <f t="shared" si="77"/>
        <v>0.000661336226315466-0.000297198385807724i</v>
      </c>
      <c r="AF179" s="230">
        <f t="shared" si="78"/>
        <v>-62.792682315585175</v>
      </c>
      <c r="AG179" s="233">
        <f t="shared" si="79"/>
        <v>-24.198709853667157</v>
      </c>
      <c r="AI179" s="233" t="str">
        <f t="shared" si="80"/>
        <v>0.002-0.00203003244448876i</v>
      </c>
      <c r="AJ179" s="233">
        <f t="shared" si="81"/>
        <v>0.33750000000000002</v>
      </c>
      <c r="AK179" s="233" t="str">
        <f t="shared" si="82"/>
        <v>0.15-2.00364202271041i</v>
      </c>
      <c r="AL179" s="233" t="str">
        <f t="shared" si="83"/>
        <v>0.0019962358597284-0.00200580002710014i</v>
      </c>
      <c r="AM179" s="233" t="str">
        <f t="shared" si="84"/>
        <v>0.236547465454998-0.175440494908243i</v>
      </c>
      <c r="AN179" s="233" t="str">
        <f t="shared" si="85"/>
        <v>0.005+4.99091149349752i</v>
      </c>
      <c r="AO179" s="233" t="str">
        <f t="shared" si="86"/>
        <v>-0.00271408704321706-0.000537220990610114i</v>
      </c>
      <c r="AP179" s="233">
        <f t="shared" si="93"/>
        <v>-51.160619040273929</v>
      </c>
      <c r="AQ179" s="233">
        <f t="shared" si="94"/>
        <v>-168.80371174458907</v>
      </c>
      <c r="AS179" s="233" t="str">
        <f t="shared" si="87"/>
        <v>0.238556355840964-0.182432359807692i</v>
      </c>
      <c r="AT179" s="233" t="str">
        <f t="shared" si="88"/>
        <v>-0.00277912143891538-0.000509124054102728i</v>
      </c>
      <c r="AU179" s="233">
        <f t="shared" si="95"/>
        <v>-50.978489255143195</v>
      </c>
      <c r="AV179" s="233">
        <f t="shared" si="96"/>
        <v>-169.61875266433995</v>
      </c>
    </row>
    <row r="180" spans="6:48" x14ac:dyDescent="0.25">
      <c r="F180" s="233">
        <v>178</v>
      </c>
      <c r="G180" s="249">
        <f t="shared" si="65"/>
        <v>107.32164216026358</v>
      </c>
      <c r="H180" s="249">
        <f t="shared" si="66"/>
        <v>100.53968045159854</v>
      </c>
      <c r="I180" s="234">
        <f t="shared" si="67"/>
        <v>0</v>
      </c>
      <c r="J180" s="233">
        <f t="shared" si="89"/>
        <v>0</v>
      </c>
      <c r="K180" s="233">
        <f t="shared" si="90"/>
        <v>0</v>
      </c>
      <c r="L180" s="233">
        <f>10^('Small Signal'!F180/30)</f>
        <v>857695.89859089628</v>
      </c>
      <c r="M180" s="233" t="str">
        <f t="shared" si="68"/>
        <v>5389062.26805451i</v>
      </c>
      <c r="N180" s="233">
        <f>IF(D$31=1, IF(AND('Small Signal'!$B$61&gt;=1,FCCM=0),V180+0,S180+0), 0)</f>
        <v>-52.416821431576594</v>
      </c>
      <c r="O180" s="233">
        <f>IF(D$31=1, IF(AND('Small Signal'!$B$61&gt;=1,FCCM=0),W180,T180), 0)</f>
        <v>-169.12492374090112</v>
      </c>
      <c r="P180" s="233">
        <f>IF(AND('Small Signal'!$B$61&gt;=1,FCCM=0),AF180+0,AC180+0)</f>
        <v>-51.107125179095753</v>
      </c>
      <c r="Q180" s="233">
        <f>IF(AND('Small Signal'!$B$61&gt;=1,FCCM=0),AG180,AD180)</f>
        <v>-55.488988834764129</v>
      </c>
      <c r="R180" s="233" t="str">
        <f>IMDIV(IMSUM('Small Signal'!$B$2*'Small Signal'!$B$38*'Small Signal'!$B$62,IMPRODUCT(M180,'Small Signal'!$B$2*'Small Signal'!$B$38*'Small Signal'!$B$62*'Small Signal'!$B$14*'Small Signal'!$B$15)),IMSUM(IMPRODUCT('Small Signal'!$B$12*'Small Signal'!$B$14*('Small Signal'!$B$15+'Small Signal'!$B$38),IMPOWER(M180,2)),IMSUM(IMPRODUCT(M180,('Small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-0.00139541565981968-0.00166377583766773i</v>
      </c>
      <c r="S180" s="233">
        <f t="shared" si="91"/>
        <v>-52.416821431576594</v>
      </c>
      <c r="T180" s="233">
        <f t="shared" si="92"/>
        <v>-169.12492374090112</v>
      </c>
      <c r="U180" s="233" t="str">
        <f>IMDIV(IMSUM('Small Signal'!$B$74,IMPRODUCT(M180,'Small Signal'!$B$75)),IMSUM(IMPRODUCT('Small Signal'!$B$78,IMPOWER(M180,2)),IMSUM(IMPRODUCT(M180,'Small Signal'!$B$77),'Small Signal'!$B$76)))</f>
        <v>-0.000748054182121464-0.000868978107594152i</v>
      </c>
      <c r="V180" s="233">
        <f t="shared" si="69"/>
        <v>-58.811706907862849</v>
      </c>
      <c r="W180" s="233">
        <f t="shared" si="70"/>
        <v>-130.72330213117201</v>
      </c>
      <c r="X180" s="233" t="str">
        <f>IMPRODUCT(IMDIV(IMSUM(IMPRODUCT(M180,'Small Signal'!$B$57*'Small Signal'!$B$6*'Small Signal'!$B$50*'Small Signal'!$B$7*'Small Signal'!$B$8),'Small Signal'!$B$57*'Small Signal'!$B$6*'Small Signal'!$B$50),IMSUM(IMSUM(IMPRODUCT(M180,('Small Signal'!$B$5+'Small Signal'!$B$6)*('Small Signal'!$B$56*'Small Signal'!$B$57)+'Small Signal'!$B$5*'Small Signal'!$B$57*('Small Signal'!$B$8+'Small Signal'!$B$9)+'Small Signal'!$B$6*'Small Signal'!$B$57*('Small Signal'!$B$8+'Small Signal'!$B$9)+'Small Signal'!$B$7*'Small Signal'!$B$8*('Small Signal'!$B$5+'Small Signal'!$B$6)),'Small Signal'!$B$6+'Small Signal'!$B$5),IMPRODUCT(IMPOWER(M180,2),'Small Signal'!$B$56*'Small Signal'!$B$57*'Small Signal'!$B$8*'Small Signal'!$B$7*('Small Signal'!$B$5+'Small Signal'!$B$6)+('Small Signal'!$B$5+'Small Signal'!$B$6)*('Small Signal'!$B$9*'Small Signal'!$B$8*'Small Signal'!$B$57*'Small Signal'!$B$7)))),-1)</f>
        <v>-0.15602748016436+0.502719935616952i</v>
      </c>
      <c r="Y180" s="233">
        <f t="shared" si="71"/>
        <v>1.3096962524808458</v>
      </c>
      <c r="Z180" s="233">
        <f t="shared" si="72"/>
        <v>113.63593490613691</v>
      </c>
      <c r="AA180" s="233" t="str">
        <f t="shared" si="73"/>
        <v>2.19522580506909+0.245975545369671i</v>
      </c>
      <c r="AB180" s="233" t="str">
        <f t="shared" si="74"/>
        <v>0.00157722329435271-0.00229392958045666i</v>
      </c>
      <c r="AC180" s="230">
        <f t="shared" si="75"/>
        <v>-51.107125179095753</v>
      </c>
      <c r="AD180" s="233">
        <f t="shared" si="76"/>
        <v>-55.488988834764129</v>
      </c>
      <c r="AE180" s="233" t="str">
        <f t="shared" si="77"/>
        <v>0.000553569627365096-0.000240477285828184i</v>
      </c>
      <c r="AF180" s="230">
        <f t="shared" si="78"/>
        <v>-64.38578195021303</v>
      </c>
      <c r="AG180" s="233">
        <f t="shared" si="79"/>
        <v>-23.480704553627216</v>
      </c>
      <c r="AI180" s="233" t="str">
        <f t="shared" si="80"/>
        <v>0.002-0.00188005106555012i</v>
      </c>
      <c r="AJ180" s="233">
        <f t="shared" si="81"/>
        <v>0.33750000000000002</v>
      </c>
      <c r="AK180" s="233" t="str">
        <f t="shared" si="82"/>
        <v>0.15-1.85561040169797i</v>
      </c>
      <c r="AL180" s="233" t="str">
        <f t="shared" si="83"/>
        <v>0.00199451142329479-0.00185787349579243i</v>
      </c>
      <c r="AM180" s="233" t="str">
        <f t="shared" si="84"/>
        <v>0.223394418797549-0.178902824300065i</v>
      </c>
      <c r="AN180" s="233" t="str">
        <f t="shared" si="85"/>
        <v>0.005+5.38906226805451i</v>
      </c>
      <c r="AO180" s="233" t="str">
        <f t="shared" si="86"/>
        <v>-0.00235119415648845-0.000451708018124268i</v>
      </c>
      <c r="AP180" s="233">
        <f t="shared" si="93"/>
        <v>-52.416821431576594</v>
      </c>
      <c r="AQ180" s="233">
        <f t="shared" si="94"/>
        <v>-169.12492374090112</v>
      </c>
      <c r="AS180" s="233" t="str">
        <f t="shared" si="87"/>
        <v>0.224793462299857-0.185621335809437i</v>
      </c>
      <c r="AT180" s="233" t="str">
        <f t="shared" si="88"/>
        <v>-0.00240449188036531-0.000425487196868409i</v>
      </c>
      <c r="AU180" s="233">
        <f t="shared" si="95"/>
        <v>-52.245628269199891</v>
      </c>
      <c r="AV180" s="233">
        <f t="shared" si="96"/>
        <v>-169.96509814538399</v>
      </c>
    </row>
    <row r="181" spans="6:48" x14ac:dyDescent="0.25">
      <c r="F181" s="233">
        <v>179</v>
      </c>
      <c r="G181" s="249">
        <f t="shared" si="65"/>
        <v>105.69955651421643</v>
      </c>
      <c r="H181" s="249">
        <f t="shared" si="66"/>
        <v>99.395980206503481</v>
      </c>
      <c r="I181" s="234">
        <f t="shared" si="67"/>
        <v>0</v>
      </c>
      <c r="J181" s="233">
        <f t="shared" si="89"/>
        <v>0</v>
      </c>
      <c r="K181" s="233">
        <f t="shared" si="90"/>
        <v>0</v>
      </c>
      <c r="L181" s="233">
        <f>10^('Small Signal'!F181/30)</f>
        <v>926118.72812879446</v>
      </c>
      <c r="M181" s="233" t="str">
        <f t="shared" si="68"/>
        <v>5818975.58528269i</v>
      </c>
      <c r="N181" s="233">
        <f>IF(D$31=1, IF(AND('Small Signal'!$B$61&gt;=1,FCCM=0),V181+0,S181+0), 0)</f>
        <v>-53.672955007770412</v>
      </c>
      <c r="O181" s="233">
        <f>IF(D$31=1, IF(AND('Small Signal'!$B$61&gt;=1,FCCM=0),W181,T181), 0)</f>
        <v>-169.45719093312084</v>
      </c>
      <c r="P181" s="233">
        <f>IF(AND('Small Signal'!$B$61&gt;=1,FCCM=0),AF181+0,AC181+0)</f>
        <v>-52.953316341380926</v>
      </c>
      <c r="Q181" s="233">
        <f>IF(AND('Small Signal'!$B$61&gt;=1,FCCM=0),AG181,AD181)</f>
        <v>-57.476871106872395</v>
      </c>
      <c r="R181" s="233" t="str">
        <f>IMDIV(IMSUM('Small Signal'!$B$2*'Small Signal'!$B$38*'Small Signal'!$B$62,IMPRODUCT(M181,'Small Signal'!$B$2*'Small Signal'!$B$38*'Small Signal'!$B$62*'Small Signal'!$B$14*'Small Signal'!$B$15)),IMSUM(IMPRODUCT('Small Signal'!$B$12*'Small Signal'!$B$14*('Small Signal'!$B$15+'Small Signal'!$B$38),IMPOWER(M181,2)),IMSUM(IMPRODUCT(M181,('Small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-0.00119728790449873-0.00153032163872161i</v>
      </c>
      <c r="S181" s="233">
        <f t="shared" si="91"/>
        <v>-53.672955007770412</v>
      </c>
      <c r="T181" s="233">
        <f t="shared" si="92"/>
        <v>-169.45719093312084</v>
      </c>
      <c r="U181" s="233" t="str">
        <f>IMDIV(IMSUM('Small Signal'!$B$74,IMPRODUCT(M181,'Small Signal'!$B$75)),IMSUM(IMPRODUCT('Small Signal'!$B$78,IMPOWER(M181,2)),IMSUM(IMPRODUCT(M181,'Small Signal'!$B$77),'Small Signal'!$B$76)))</f>
        <v>-0.000641737167766613-0.000800414402519638i</v>
      </c>
      <c r="V181" s="233">
        <f t="shared" si="69"/>
        <v>-59.777821009464382</v>
      </c>
      <c r="W181" s="233">
        <f t="shared" si="70"/>
        <v>-128.72110927761034</v>
      </c>
      <c r="X181" s="233" t="str">
        <f>IMPRODUCT(IMDIV(IMSUM(IMPRODUCT(M181,'Small Signal'!$B$57*'Small Signal'!$B$6*'Small Signal'!$B$50*'Small Signal'!$B$7*'Small Signal'!$B$8),'Small Signal'!$B$57*'Small Signal'!$B$6*'Small Signal'!$B$50),IMSUM(IMSUM(IMPRODUCT(M181,('Small Signal'!$B$5+'Small Signal'!$B$6)*('Small Signal'!$B$56*'Small Signal'!$B$57)+'Small Signal'!$B$5*'Small Signal'!$B$57*('Small Signal'!$B$8+'Small Signal'!$B$9)+'Small Signal'!$B$6*'Small Signal'!$B$57*('Small Signal'!$B$8+'Small Signal'!$B$9)+'Small Signal'!$B$7*'Small Signal'!$B$8*('Small Signal'!$B$5+'Small Signal'!$B$6)),'Small Signal'!$B$6+'Small Signal'!$B$5),IMPRODUCT(IMPOWER(M181,2),'Small Signal'!$B$56*'Small Signal'!$B$57*'Small Signal'!$B$8*'Small Signal'!$B$7*('Small Signal'!$B$5+'Small Signal'!$B$6)+('Small Signal'!$B$5+'Small Signal'!$B$6)*('Small Signal'!$B$9*'Small Signal'!$B$8*'Small Signal'!$B$57*'Small Signal'!$B$7)))),-1)</f>
        <v>-0.135579394038744+0.471569319185606i</v>
      </c>
      <c r="Y181" s="233">
        <f t="shared" si="71"/>
        <v>0.71963866638948648</v>
      </c>
      <c r="Z181" s="233">
        <f t="shared" si="72"/>
        <v>111.98031982624839</v>
      </c>
      <c r="AA181" s="233" t="str">
        <f t="shared" si="73"/>
        <v>2.20217692748613+0.229127399664049i</v>
      </c>
      <c r="AB181" s="233" t="str">
        <f t="shared" si="74"/>
        <v>0.00121011257012008-0.00189780522364514i</v>
      </c>
      <c r="AC181" s="230">
        <f t="shared" si="75"/>
        <v>-52.953316341380926</v>
      </c>
      <c r="AD181" s="233">
        <f t="shared" si="76"/>
        <v>-57.476871106872395</v>
      </c>
      <c r="AE181" s="233" t="str">
        <f t="shared" si="77"/>
        <v>0.000464457211200477-0.000194103859626305i</v>
      </c>
      <c r="AF181" s="230">
        <f t="shared" si="78"/>
        <v>-65.961988578304727</v>
      </c>
      <c r="AG181" s="233">
        <f t="shared" si="79"/>
        <v>-22.680805196911177</v>
      </c>
      <c r="AI181" s="233" t="str">
        <f t="shared" si="80"/>
        <v>0.002-0.00174115050164446i</v>
      </c>
      <c r="AJ181" s="233">
        <f t="shared" si="81"/>
        <v>0.33750000000000002</v>
      </c>
      <c r="AK181" s="233" t="str">
        <f t="shared" si="82"/>
        <v>0.15-1.71851554512308i</v>
      </c>
      <c r="AL181" s="233" t="str">
        <f t="shared" si="83"/>
        <v>0.00199302598360337-0.00172089381322607i</v>
      </c>
      <c r="AM181" s="233" t="str">
        <f t="shared" si="84"/>
        <v>0.209793543852581-0.181413804244298i</v>
      </c>
      <c r="AN181" s="233" t="str">
        <f t="shared" si="85"/>
        <v>0.005+5.81897558528269i</v>
      </c>
      <c r="AO181" s="233" t="str">
        <f t="shared" si="86"/>
        <v>-0.00203684558867355-0.000379081358563359i</v>
      </c>
      <c r="AP181" s="233">
        <f t="shared" si="93"/>
        <v>-53.672955007770412</v>
      </c>
      <c r="AQ181" s="233">
        <f t="shared" si="94"/>
        <v>-169.45719093312084</v>
      </c>
      <c r="AS181" s="233" t="str">
        <f t="shared" si="87"/>
        <v>0.210625836784683-0.187797235216926i</v>
      </c>
      <c r="AT181" s="233" t="str">
        <f t="shared" si="88"/>
        <v>-0.00208026094141708-0.000354983172131771i</v>
      </c>
      <c r="AU181" s="233">
        <f t="shared" si="95"/>
        <v>-53.512986762762239</v>
      </c>
      <c r="AV181" s="233">
        <f t="shared" si="96"/>
        <v>-170.31611987926939</v>
      </c>
    </row>
    <row r="182" spans="6:48" x14ac:dyDescent="0.25">
      <c r="F182" s="233">
        <v>180</v>
      </c>
      <c r="G182" s="249">
        <f t="shared" si="65"/>
        <v>104.18166391585579</v>
      </c>
      <c r="H182" s="249">
        <f t="shared" si="66"/>
        <v>98.325650330426839</v>
      </c>
      <c r="I182" s="234">
        <f t="shared" si="67"/>
        <v>0</v>
      </c>
      <c r="J182" s="233">
        <f t="shared" si="89"/>
        <v>0</v>
      </c>
      <c r="K182" s="233">
        <f t="shared" si="90"/>
        <v>0</v>
      </c>
      <c r="L182" s="233">
        <f>10^('Small Signal'!F182/30)</f>
        <v>1000000</v>
      </c>
      <c r="M182" s="233" t="str">
        <f t="shared" si="68"/>
        <v>6283185.30717959i</v>
      </c>
      <c r="N182" s="233">
        <f>IF(D$31=1, IF(AND('Small Signal'!$B$61&gt;=1,FCCM=0),V182+0,S182+0), 0)</f>
        <v>-54.929815604174479</v>
      </c>
      <c r="O182" s="233">
        <f>IF(D$31=1, IF(AND('Small Signal'!$B$61&gt;=1,FCCM=0),W182,T182), 0)</f>
        <v>-169.80261174112474</v>
      </c>
      <c r="P182" s="233">
        <f>IF(AND('Small Signal'!$B$61&gt;=1,FCCM=0),AF182+0,AC182+0)</f>
        <v>-54.810429692153626</v>
      </c>
      <c r="Q182" s="233">
        <f>IF(AND('Small Signal'!$B$61&gt;=1,FCCM=0),AG182,AD182)</f>
        <v>-59.373282252025206</v>
      </c>
      <c r="R182" s="233" t="str">
        <f>IMDIV(IMSUM('Small Signal'!$B$2*'Small Signal'!$B$38*'Small Signal'!$B$62,IMPRODUCT(M182,'Small Signal'!$B$2*'Small Signal'!$B$38*'Small Signal'!$B$62*'Small Signal'!$B$14*'Small Signal'!$B$15)),IMSUM(IMPRODUCT('Small Signal'!$B$12*'Small Signal'!$B$14*('Small Signal'!$B$15+'Small Signal'!$B$38),IMPOWER(M182,2)),IMSUM(IMPRODUCT(M182,('Small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-0.00102723689506688-0.00140888908037335i</v>
      </c>
      <c r="S182" s="233">
        <f t="shared" si="91"/>
        <v>-54.929815604174479</v>
      </c>
      <c r="T182" s="233">
        <f t="shared" si="92"/>
        <v>-169.80261174112474</v>
      </c>
      <c r="U182" s="233" t="str">
        <f>IMDIV(IMSUM('Small Signal'!$B$74,IMPRODUCT(M182,'Small Signal'!$B$75)),IMSUM(IMPRODUCT('Small Signal'!$B$78,IMPOWER(M182,2)),IMSUM(IMPRODUCT(M182,'Small Signal'!$B$77),'Small Signal'!$B$76)))</f>
        <v>-0.000550514055042549-0.000737812611172476i</v>
      </c>
      <c r="V182" s="233">
        <f t="shared" si="69"/>
        <v>-60.718945389128997</v>
      </c>
      <c r="W182" s="233">
        <f t="shared" si="70"/>
        <v>-126.72821907481256</v>
      </c>
      <c r="X182" s="233" t="str">
        <f>IMPRODUCT(IMDIV(IMSUM(IMPRODUCT(M182,'Small Signal'!$B$57*'Small Signal'!$B$6*'Small Signal'!$B$50*'Small Signal'!$B$7*'Small Signal'!$B$8),'Small Signal'!$B$57*'Small Signal'!$B$6*'Small Signal'!$B$50),IMSUM(IMSUM(IMPRODUCT(M182,('Small Signal'!$B$5+'Small Signal'!$B$6)*('Small Signal'!$B$56*'Small Signal'!$B$57)+'Small Signal'!$B$5*'Small Signal'!$B$57*('Small Signal'!$B$8+'Small Signal'!$B$9)+'Small Signal'!$B$6*'Small Signal'!$B$57*('Small Signal'!$B$8+'Small Signal'!$B$9)+'Small Signal'!$B$7*'Small Signal'!$B$8*('Small Signal'!$B$5+'Small Signal'!$B$6)),'Small Signal'!$B$6+'Small Signal'!$B$5),IMPRODUCT(IMPOWER(M182,2),'Small Signal'!$B$56*'Small Signal'!$B$57*'Small Signal'!$B$8*'Small Signal'!$B$7*('Small Signal'!$B$5+'Small Signal'!$B$6)+('Small Signal'!$B$5+'Small Signal'!$B$6)*('Small Signal'!$B$9*'Small Signal'!$B$8*'Small Signal'!$B$57*'Small Signal'!$B$7)))),-1)</f>
        <v>-0.11760895715258+0.441605248058931i</v>
      </c>
      <c r="Y182" s="233">
        <f t="shared" si="71"/>
        <v>0.11938591202084847</v>
      </c>
      <c r="Z182" s="233">
        <f t="shared" si="72"/>
        <v>110.42932948909956</v>
      </c>
      <c r="AA182" s="233" t="str">
        <f t="shared" si="73"/>
        <v>2.208203611742+0.213262960665222i</v>
      </c>
      <c r="AB182" s="233" t="str">
        <f t="shared" si="74"/>
        <v>0.000925920903798689-0.00156398178950871i</v>
      </c>
      <c r="AC182" s="230">
        <f t="shared" si="75"/>
        <v>-54.810429692153626</v>
      </c>
      <c r="AD182" s="233">
        <f t="shared" si="76"/>
        <v>-59.373282252025206</v>
      </c>
      <c r="AE182" s="233" t="str">
        <f t="shared" si="77"/>
        <v>0.000390567305089221-0.000156336524062976i</v>
      </c>
      <c r="AF182" s="230">
        <f t="shared" si="78"/>
        <v>-67.520661689731</v>
      </c>
      <c r="AG182" s="233">
        <f t="shared" si="79"/>
        <v>-21.815268914580304</v>
      </c>
      <c r="AI182" s="233" t="str">
        <f t="shared" si="80"/>
        <v>0.002-0.00161251208806378i</v>
      </c>
      <c r="AJ182" s="233">
        <f t="shared" si="81"/>
        <v>0.33750000000000002</v>
      </c>
      <c r="AK182" s="233" t="str">
        <f t="shared" si="82"/>
        <v>0.15-1.59154943091895i</v>
      </c>
      <c r="AL182" s="233" t="str">
        <f t="shared" si="83"/>
        <v>0.0019917444996821-0.0015940540457261i</v>
      </c>
      <c r="AM182" s="233" t="str">
        <f t="shared" si="84"/>
        <v>0.195888566568393-0.182902917498668i</v>
      </c>
      <c r="AN182" s="233" t="str">
        <f t="shared" si="85"/>
        <v>0.005+6.28318530717959i</v>
      </c>
      <c r="AO182" s="233" t="str">
        <f t="shared" si="86"/>
        <v>-0.00176438844104866-0.00031738055785611i</v>
      </c>
      <c r="AP182" s="233">
        <f t="shared" si="93"/>
        <v>-54.929815604174479</v>
      </c>
      <c r="AQ182" s="233">
        <f t="shared" si="94"/>
        <v>-169.80261174112474</v>
      </c>
      <c r="AS182" s="233" t="str">
        <f t="shared" si="87"/>
        <v>0.196208103131394-0.188898201551255i</v>
      </c>
      <c r="AT182" s="233" t="str">
        <f t="shared" si="88"/>
        <v>-0.00179953270134075-0.000295531752567359i</v>
      </c>
      <c r="AU182" s="233">
        <f t="shared" si="95"/>
        <v>-54.781225500880417</v>
      </c>
      <c r="AV182" s="233">
        <f t="shared" si="96"/>
        <v>-170.67373929510953</v>
      </c>
    </row>
    <row r="183" spans="6:48" x14ac:dyDescent="0.25">
      <c r="F183" s="233">
        <v>181</v>
      </c>
      <c r="G183" s="249">
        <f t="shared" si="65"/>
        <v>102.76326636393892</v>
      </c>
      <c r="H183" s="249">
        <f t="shared" si="66"/>
        <v>97.325384393488235</v>
      </c>
      <c r="I183" s="234">
        <f t="shared" si="67"/>
        <v>0</v>
      </c>
      <c r="J183" s="233">
        <f t="shared" si="89"/>
        <v>0</v>
      </c>
      <c r="K183" s="233">
        <f t="shared" si="90"/>
        <v>0</v>
      </c>
      <c r="L183" s="233">
        <f>10^('Small Signal'!F183/30)</f>
        <v>1079775.1623277115</v>
      </c>
      <c r="M183" s="233" t="str">
        <f t="shared" si="68"/>
        <v>6784427.43499493i</v>
      </c>
      <c r="N183" s="233">
        <f>IF(D$31=1, IF(AND('Small Signal'!$B$61&gt;=1,FCCM=0),V183+0,S183+0), 0)</f>
        <v>-56.18819538725937</v>
      </c>
      <c r="O183" s="233">
        <f>IF(D$31=1, IF(AND('Small Signal'!$B$61&gt;=1,FCCM=0),W183,T183), 0)</f>
        <v>-170.16208289328139</v>
      </c>
      <c r="P183" s="233">
        <f>IF(AND('Small Signal'!$B$61&gt;=1,FCCM=0),AF183+0,AC183+0)</f>
        <v>-56.677982445371981</v>
      </c>
      <c r="Q183" s="233">
        <f>IF(AND('Small Signal'!$B$61&gt;=1,FCCM=0),AG183,AD183)</f>
        <v>-61.18349657883369</v>
      </c>
      <c r="R183" s="233" t="str">
        <f>IMDIV(IMSUM('Small Signal'!$B$2*'Small Signal'!$B$38*'Small Signal'!$B$62,IMPRODUCT(M183,'Small Signal'!$B$2*'Small Signal'!$B$38*'Small Signal'!$B$62*'Small Signal'!$B$14*'Small Signal'!$B$15)),IMSUM(IMPRODUCT('Small Signal'!$B$12*'Small Signal'!$B$14*('Small Signal'!$B$15+'Small Signal'!$B$38),IMPOWER(M183,2)),IMSUM(IMPRODUCT(M183,('Small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-0.000881298238702064-0.00129814672910468i</v>
      </c>
      <c r="S183" s="233">
        <f t="shared" si="91"/>
        <v>-56.18819538725937</v>
      </c>
      <c r="T183" s="233">
        <f t="shared" si="92"/>
        <v>-170.16208289328139</v>
      </c>
      <c r="U183" s="233" t="str">
        <f>IMDIV(IMSUM('Small Signal'!$B$74,IMPRODUCT(M183,'Small Signal'!$B$75)),IMSUM(IMPRODUCT('Small Signal'!$B$78,IMPOWER(M183,2)),IMSUM(IMPRODUCT(M183,'Small Signal'!$B$77),'Small Signal'!$B$76)))</f>
        <v>-0.000472246282149466-0.000680548195423291i</v>
      </c>
      <c r="V183" s="233">
        <f t="shared" si="69"/>
        <v>-61.635730856000059</v>
      </c>
      <c r="W183" s="233">
        <f t="shared" si="70"/>
        <v>-124.75757005704814</v>
      </c>
      <c r="X183" s="233" t="str">
        <f>IMPRODUCT(IMDIV(IMSUM(IMPRODUCT(M183,'Small Signal'!$B$57*'Small Signal'!$B$6*'Small Signal'!$B$50*'Small Signal'!$B$7*'Small Signal'!$B$8),'Small Signal'!$B$57*'Small Signal'!$B$6*'Small Signal'!$B$50),IMSUM(IMSUM(IMPRODUCT(M183,('Small Signal'!$B$5+'Small Signal'!$B$6)*('Small Signal'!$B$56*'Small Signal'!$B$57)+'Small Signal'!$B$5*'Small Signal'!$B$57*('Small Signal'!$B$8+'Small Signal'!$B$9)+'Small Signal'!$B$6*'Small Signal'!$B$57*('Small Signal'!$B$8+'Small Signal'!$B$9)+'Small Signal'!$B$7*'Small Signal'!$B$8*('Small Signal'!$B$5+'Small Signal'!$B$6)),'Small Signal'!$B$6+'Small Signal'!$B$5),IMPRODUCT(IMPOWER(M183,2),'Small Signal'!$B$56*'Small Signal'!$B$57*'Small Signal'!$B$8*'Small Signal'!$B$7*('Small Signal'!$B$5+'Small Signal'!$B$6)+('Small Signal'!$B$5+'Small Signal'!$B$6)*('Small Signal'!$B$9*'Small Signal'!$B$8*'Small Signal'!$B$57*'Small Signal'!$B$7)))),-1)</f>
        <v>-0.101866798969209+0.412934762779185i</v>
      </c>
      <c r="Y183" s="233">
        <f t="shared" si="71"/>
        <v>-0.48978705811261847</v>
      </c>
      <c r="Z183" s="233">
        <f t="shared" si="72"/>
        <v>108.97858631444772</v>
      </c>
      <c r="AA183" s="233" t="str">
        <f t="shared" si="73"/>
        <v>2.21342102092097+0.198359719442454i</v>
      </c>
      <c r="AB183" s="233" t="str">
        <f t="shared" si="74"/>
        <v>0.000706567049393709-0.00128436424151484i</v>
      </c>
      <c r="AC183" s="230">
        <f t="shared" si="75"/>
        <v>-56.677982445371981</v>
      </c>
      <c r="AD183" s="233">
        <f t="shared" si="76"/>
        <v>-61.18349657883369</v>
      </c>
      <c r="AE183" s="233" t="str">
        <f t="shared" si="77"/>
        <v>0.000329128224724595-0.000125681640280699i</v>
      </c>
      <c r="AF183" s="230">
        <f t="shared" si="78"/>
        <v>-69.0615381383856</v>
      </c>
      <c r="AG183" s="233">
        <f t="shared" si="79"/>
        <v>-20.899968495782154</v>
      </c>
      <c r="AI183" s="233" t="str">
        <f t="shared" si="80"/>
        <v>0.002-0.00149337764408993i</v>
      </c>
      <c r="AJ183" s="233">
        <f t="shared" si="81"/>
        <v>0.33750000000000002</v>
      </c>
      <c r="AK183" s="233" t="str">
        <f t="shared" si="82"/>
        <v>0.15-1.47396373471676i</v>
      </c>
      <c r="AL183" s="233" t="str">
        <f t="shared" si="83"/>
        <v>0.00199063675318881-0.00147660687327452i</v>
      </c>
      <c r="AM183" s="233" t="str">
        <f t="shared" si="84"/>
        <v>0.181836929608943-0.183327226256781i</v>
      </c>
      <c r="AN183" s="233" t="str">
        <f t="shared" si="85"/>
        <v>0.005+6.78442743499493i</v>
      </c>
      <c r="AO183" s="233" t="str">
        <f t="shared" si="86"/>
        <v>-0.00152811672119637-0.000264993155998451i</v>
      </c>
      <c r="AP183" s="233">
        <f t="shared" si="93"/>
        <v>-56.18819538725937</v>
      </c>
      <c r="AQ183" s="233">
        <f t="shared" si="94"/>
        <v>-170.16208289328139</v>
      </c>
      <c r="AS183" s="233" t="str">
        <f t="shared" si="87"/>
        <v>0.181706299956216-0.188892277208719i</v>
      </c>
      <c r="AT183" s="233" t="str">
        <f t="shared" si="88"/>
        <v>-0.00155638348738165-0.000245425552445653i</v>
      </c>
      <c r="AU183" s="233">
        <f t="shared" si="95"/>
        <v>-56.050996758403073</v>
      </c>
      <c r="AV183" s="233">
        <f t="shared" si="96"/>
        <v>-171.03883906885127</v>
      </c>
    </row>
    <row r="184" spans="6:48" x14ac:dyDescent="0.25">
      <c r="F184" s="233">
        <v>182</v>
      </c>
      <c r="G184" s="249">
        <f t="shared" si="65"/>
        <v>101.4394618259392</v>
      </c>
      <c r="H184" s="249">
        <f t="shared" si="66"/>
        <v>96.391737676650536</v>
      </c>
      <c r="I184" s="234">
        <f t="shared" si="67"/>
        <v>0</v>
      </c>
      <c r="J184" s="233">
        <f t="shared" si="89"/>
        <v>0</v>
      </c>
      <c r="K184" s="233">
        <f t="shared" si="90"/>
        <v>0</v>
      </c>
      <c r="L184" s="233">
        <f>10^('Small Signal'!F184/30)</f>
        <v>1165914.4011798317</v>
      </c>
      <c r="M184" s="233" t="str">
        <f t="shared" si="68"/>
        <v>7325656.2349222i</v>
      </c>
      <c r="N184" s="233">
        <f>IF(D$31=1, IF(AND('Small Signal'!$B$61&gt;=1,FCCM=0),V184+0,S184+0), 0)</f>
        <v>-57.448843668156655</v>
      </c>
      <c r="O184" s="233">
        <f>IF(D$31=1, IF(AND('Small Signal'!$B$61&gt;=1,FCCM=0),W184,T184), 0)</f>
        <v>-170.5353692493392</v>
      </c>
      <c r="P184" s="233">
        <f>IF(AND('Small Signal'!$B$61&gt;=1,FCCM=0),AF184+0,AC184+0)</f>
        <v>-58.555587722435682</v>
      </c>
      <c r="Q184" s="233">
        <f>IF(AND('Small Signal'!$B$61&gt;=1,FCCM=0),AG184,AD184)</f>
        <v>-62.911937048213325</v>
      </c>
      <c r="R184" s="233" t="str">
        <f>IMDIV(IMSUM('Small Signal'!$B$2*'Small Signal'!$B$38*'Small Signal'!$B$62,IMPRODUCT(M184,'Small Signal'!$B$2*'Small Signal'!$B$38*'Small Signal'!$B$62*'Small Signal'!$B$14*'Small Signal'!$B$15)),IMSUM(IMPRODUCT('Small Signal'!$B$12*'Small Signal'!$B$14*('Small Signal'!$B$15+'Small Signal'!$B$38),IMPOWER(M184,2)),IMSUM(IMPRODUCT(M184,('Small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-0.000756063506579044-0.00119695224722636i</v>
      </c>
      <c r="S184" s="233">
        <f t="shared" si="91"/>
        <v>-57.448843668156655</v>
      </c>
      <c r="T184" s="233">
        <f t="shared" si="92"/>
        <v>-170.5353692493392</v>
      </c>
      <c r="U184" s="233" t="str">
        <f>IMDIV(IMSUM('Small Signal'!$B$74,IMPRODUCT(M184,'Small Signal'!$B$75)),IMSUM(IMPRODUCT('Small Signal'!$B$78,IMPOWER(M184,2)),IMSUM(IMPRODUCT(M184,'Small Signal'!$B$77),'Small Signal'!$B$76)))</f>
        <v>-0.00040509714135477-0.000628080524109111i</v>
      </c>
      <c r="V184" s="233">
        <f t="shared" si="69"/>
        <v>-62.529077462932122</v>
      </c>
      <c r="W184" s="233">
        <f t="shared" si="70"/>
        <v>-122.8210628284931</v>
      </c>
      <c r="X184" s="233" t="str">
        <f>IMPRODUCT(IMDIV(IMSUM(IMPRODUCT(M184,'Small Signal'!$B$57*'Small Signal'!$B$6*'Small Signal'!$B$50*'Small Signal'!$B$7*'Small Signal'!$B$8),'Small Signal'!$B$57*'Small Signal'!$B$6*'Small Signal'!$B$50),IMSUM(IMSUM(IMPRODUCT(M184,('Small Signal'!$B$5+'Small Signal'!$B$6)*('Small Signal'!$B$56*'Small Signal'!$B$57)+'Small Signal'!$B$5*'Small Signal'!$B$57*('Small Signal'!$B$8+'Small Signal'!$B$9)+'Small Signal'!$B$6*'Small Signal'!$B$57*('Small Signal'!$B$8+'Small Signal'!$B$9)+'Small Signal'!$B$7*'Small Signal'!$B$8*('Small Signal'!$B$5+'Small Signal'!$B$6)),'Small Signal'!$B$6+'Small Signal'!$B$5),IMPRODUCT(IMPOWER(M184,2),'Small Signal'!$B$56*'Small Signal'!$B$57*'Small Signal'!$B$8*'Small Signal'!$B$7*('Small Signal'!$B$5+'Small Signal'!$B$6)+('Small Signal'!$B$5+'Small Signal'!$B$6)*('Small Signal'!$B$9*'Small Signal'!$B$8*'Small Signal'!$B$57*'Small Signal'!$B$7)))),-1)</f>
        <v>-0.0881155239742692+0.385626894637404i</v>
      </c>
      <c r="Y184" s="233">
        <f t="shared" si="71"/>
        <v>-1.1067440542790195</v>
      </c>
      <c r="Z184" s="233">
        <f t="shared" si="72"/>
        <v>107.62343220112585</v>
      </c>
      <c r="AA184" s="233" t="str">
        <f t="shared" si="73"/>
        <v>2.21793200343987+0.184387586728754i</v>
      </c>
      <c r="AB184" s="233" t="str">
        <f t="shared" si="74"/>
        <v>0.000537743226152123-0.00105138249115378i</v>
      </c>
      <c r="AC184" s="230">
        <f t="shared" si="75"/>
        <v>-58.555587722435682</v>
      </c>
      <c r="AD184" s="233">
        <f t="shared" si="76"/>
        <v>-62.911937048213325</v>
      </c>
      <c r="AE184" s="233" t="str">
        <f t="shared" si="77"/>
        <v>0.000277900088965384-0.000100872708167222i</v>
      </c>
      <c r="AF184" s="230">
        <f t="shared" si="78"/>
        <v>-70.58469870744841</v>
      </c>
      <c r="AG184" s="233">
        <f t="shared" si="79"/>
        <v>-19.949981955901759</v>
      </c>
      <c r="AI184" s="233" t="str">
        <f t="shared" si="80"/>
        <v>0.002-0.00138304500436055i</v>
      </c>
      <c r="AJ184" s="233">
        <f t="shared" si="81"/>
        <v>0.33750000000000002</v>
      </c>
      <c r="AK184" s="233" t="str">
        <f t="shared" si="82"/>
        <v>0.15-1.36506541930386i</v>
      </c>
      <c r="AL184" s="233" t="str">
        <f t="shared" si="83"/>
        <v>0.00198967663840917-0.00136786019943321i</v>
      </c>
      <c r="AM184" s="233" t="str">
        <f t="shared" si="84"/>
        <v>0.167802853097904-0.1826743421906i</v>
      </c>
      <c r="AN184" s="233" t="str">
        <f t="shared" si="85"/>
        <v>0.005+7.3256562349222i</v>
      </c>
      <c r="AO184" s="233" t="str">
        <f t="shared" si="86"/>
        <v>-0.00132313844416461-0.000220577866726664i</v>
      </c>
      <c r="AP184" s="233">
        <f t="shared" si="93"/>
        <v>-57.448843668156655</v>
      </c>
      <c r="AQ184" s="233">
        <f t="shared" si="94"/>
        <v>-170.5353692493392</v>
      </c>
      <c r="AS184" s="233" t="str">
        <f t="shared" si="87"/>
        <v>0.167290369631094-0.187779635346654i</v>
      </c>
      <c r="AT184" s="233" t="str">
        <f t="shared" si="88"/>
        <v>-0.00134572624728104-0.000203249585884467i</v>
      </c>
      <c r="AU184" s="233">
        <f t="shared" si="95"/>
        <v>-57.322911288545157</v>
      </c>
      <c r="AV184" s="233">
        <f t="shared" si="96"/>
        <v>-171.41133765473828</v>
      </c>
    </row>
    <row r="185" spans="6:48" x14ac:dyDescent="0.25">
      <c r="F185" s="233">
        <v>183</v>
      </c>
      <c r="G185" s="249">
        <f t="shared" si="65"/>
        <v>100.20525317238551</v>
      </c>
      <c r="H185" s="249">
        <f t="shared" si="66"/>
        <v>95.521200719213141</v>
      </c>
      <c r="I185" s="234">
        <f t="shared" si="67"/>
        <v>0</v>
      </c>
      <c r="J185" s="233">
        <f t="shared" si="89"/>
        <v>0</v>
      </c>
      <c r="K185" s="233">
        <f t="shared" si="90"/>
        <v>0</v>
      </c>
      <c r="L185" s="233">
        <f>10^('Small Signal'!F185/30)</f>
        <v>1258925.4117941677</v>
      </c>
      <c r="M185" s="233" t="str">
        <f t="shared" si="68"/>
        <v>7910061.65022012i</v>
      </c>
      <c r="N185" s="233">
        <f>IF(D$31=1, IF(AND('Small Signal'!$B$61&gt;=1,FCCM=0),V185+0,S185+0), 0)</f>
        <v>-58.712432702989261</v>
      </c>
      <c r="O185" s="233">
        <f>IF(D$31=1, IF(AND('Small Signal'!$B$61&gt;=1,FCCM=0),W185,T185), 0)</f>
        <v>-170.92123903082833</v>
      </c>
      <c r="P185" s="233">
        <f>IF(AND('Small Signal'!$B$61&gt;=1,FCCM=0),AF185+0,AC185+0)</f>
        <v>-60.442910568861727</v>
      </c>
      <c r="Q185" s="233">
        <f>IF(AND('Small Signal'!$B$61&gt;=1,FCCM=0),AG185,AD185)</f>
        <v>-64.562190486612124</v>
      </c>
      <c r="R185" s="233" t="str">
        <f>IMDIV(IMSUM('Small Signal'!$B$2*'Small Signal'!$B$38*'Small Signal'!$B$62,IMPRODUCT(M185,'Small Signal'!$B$2*'Small Signal'!$B$38*'Small Signal'!$B$62*'Small Signal'!$B$14*'Small Signal'!$B$15)),IMSUM(IMPRODUCT('Small Signal'!$B$12*'Small Signal'!$B$14*('Small Signal'!$B$15+'Small Signal'!$B$38),IMPOWER(M185,2)),IMSUM(IMPRODUCT(M185,('Small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-0.000648603273977328-0.00110431990139011i</v>
      </c>
      <c r="S185" s="233">
        <f t="shared" si="91"/>
        <v>-58.712432702989261</v>
      </c>
      <c r="T185" s="233">
        <f t="shared" si="92"/>
        <v>-170.92123903082833</v>
      </c>
      <c r="U185" s="233" t="str">
        <f>IMDIV(IMSUM('Small Signal'!$B$74,IMPRODUCT(M185,'Small Signal'!$B$75)),IMSUM(IMPRODUCT('Small Signal'!$B$78,IMPOWER(M185,2)),IMSUM(IMPRODUCT(M185,'Small Signal'!$B$77),'Small Signal'!$B$76)))</f>
        <v>-0.000347489476338128-0.000579938935772069i</v>
      </c>
      <c r="V185" s="233">
        <f t="shared" si="69"/>
        <v>-63.400095814583423</v>
      </c>
      <c r="W185" s="233">
        <f t="shared" si="70"/>
        <v>-120.92931907523769</v>
      </c>
      <c r="X185" s="233" t="str">
        <f>IMPRODUCT(IMDIV(IMSUM(IMPRODUCT(M185,'Small Signal'!$B$57*'Small Signal'!$B$6*'Small Signal'!$B$50*'Small Signal'!$B$7*'Small Signal'!$B$8),'Small Signal'!$B$57*'Small Signal'!$B$6*'Small Signal'!$B$50),IMSUM(IMSUM(IMPRODUCT(M185,('Small Signal'!$B$5+'Small Signal'!$B$6)*('Small Signal'!$B$56*'Small Signal'!$B$57)+'Small Signal'!$B$5*'Small Signal'!$B$57*('Small Signal'!$B$8+'Small Signal'!$B$9)+'Small Signal'!$B$6*'Small Signal'!$B$57*('Small Signal'!$B$8+'Small Signal'!$B$9)+'Small Signal'!$B$7*'Small Signal'!$B$8*('Small Signal'!$B$5+'Small Signal'!$B$6)),'Small Signal'!$B$6+'Small Signal'!$B$5),IMPRODUCT(IMPOWER(M185,2),'Small Signal'!$B$56*'Small Signal'!$B$57*'Small Signal'!$B$8*'Small Signal'!$B$7*('Small Signal'!$B$5+'Small Signal'!$B$6)+('Small Signal'!$B$5+'Small Signal'!$B$6)*('Small Signal'!$B$9*'Small Signal'!$B$8*'Small Signal'!$B$57*'Small Signal'!$B$7)))),-1)</f>
        <v>-0.0761329615994004+0.35971891224175i</v>
      </c>
      <c r="Y185" s="233">
        <f t="shared" si="71"/>
        <v>-1.7304778658724587</v>
      </c>
      <c r="Z185" s="233">
        <f t="shared" si="72"/>
        <v>106.35904854421626</v>
      </c>
      <c r="AA185" s="233" t="str">
        <f t="shared" si="73"/>
        <v>2.22182786025591+0.17131103075349i</v>
      </c>
      <c r="AB185" s="233" t="str">
        <f t="shared" si="74"/>
        <v>0.000408177571717456-0.000858157990011262i</v>
      </c>
      <c r="AC185" s="230">
        <f t="shared" si="75"/>
        <v>-60.442910568861727</v>
      </c>
      <c r="AD185" s="233">
        <f t="shared" si="76"/>
        <v>-64.562190486612124</v>
      </c>
      <c r="AE185" s="233" t="str">
        <f t="shared" si="77"/>
        <v>0.000235070406100813-0.0000808460677166747i</v>
      </c>
      <c r="AF185" s="230">
        <f t="shared" si="78"/>
        <v>-72.090524089171183</v>
      </c>
      <c r="AG185" s="233">
        <f t="shared" si="79"/>
        <v>-18.97926078181068</v>
      </c>
      <c r="AI185" s="233" t="str">
        <f t="shared" si="80"/>
        <v>0.002-0.00128086388038327i</v>
      </c>
      <c r="AJ185" s="233">
        <f t="shared" si="81"/>
        <v>0.33750000000000002</v>
      </c>
      <c r="AK185" s="233" t="str">
        <f t="shared" si="82"/>
        <v>0.15-1.26421264993829i</v>
      </c>
      <c r="AL185" s="233" t="str">
        <f t="shared" si="83"/>
        <v>0.00198884155028765-0.00126717307986954i</v>
      </c>
      <c r="AM185" s="233" t="str">
        <f t="shared" si="84"/>
        <v>0.153949740089474-0.180963298928789i</v>
      </c>
      <c r="AN185" s="233" t="str">
        <f t="shared" si="85"/>
        <v>0.005+7.91006165022012i</v>
      </c>
      <c r="AO185" s="233" t="str">
        <f t="shared" si="86"/>
        <v>-0.00114525795233163-0.00018300520032465i</v>
      </c>
      <c r="AP185" s="233">
        <f t="shared" si="93"/>
        <v>-58.712432702989261</v>
      </c>
      <c r="AQ185" s="233">
        <f t="shared" si="94"/>
        <v>-170.92123903082833</v>
      </c>
      <c r="AS185" s="233" t="str">
        <f t="shared" si="87"/>
        <v>0.153126267403522-0.185592567669428i</v>
      </c>
      <c r="AT185" s="233" t="str">
        <f t="shared" si="88"/>
        <v>-0.00116319071408081-0.000167819003408158i</v>
      </c>
      <c r="AU185" s="233">
        <f t="shared" si="95"/>
        <v>-58.597510222952032</v>
      </c>
      <c r="AV185" s="233">
        <f t="shared" si="96"/>
        <v>-171.7903172661554</v>
      </c>
    </row>
    <row r="186" spans="6:48" x14ac:dyDescent="0.25">
      <c r="F186" s="233">
        <v>184</v>
      </c>
      <c r="G186" s="249">
        <f t="shared" si="65"/>
        <v>99.055635380605992</v>
      </c>
      <c r="H186" s="249">
        <f t="shared" si="66"/>
        <v>94.710258790024227</v>
      </c>
      <c r="I186" s="234">
        <f t="shared" si="67"/>
        <v>0</v>
      </c>
      <c r="J186" s="233">
        <f t="shared" si="89"/>
        <v>0</v>
      </c>
      <c r="K186" s="233">
        <f t="shared" si="90"/>
        <v>0</v>
      </c>
      <c r="L186" s="233">
        <f>10^('Small Signal'!F186/30)</f>
        <v>1359356.3908785288</v>
      </c>
      <c r="M186" s="233" t="str">
        <f t="shared" si="68"/>
        <v>8541088.10238864i</v>
      </c>
      <c r="N186" s="233">
        <f>IF(D$31=1, IF(AND('Small Signal'!$B$61&gt;=1,FCCM=0),V186+0,S186+0), 0)</f>
        <v>-59.979531224163487</v>
      </c>
      <c r="O186" s="233">
        <f>IF(D$31=1, IF(AND('Small Signal'!$B$61&gt;=1,FCCM=0),W186,T186), 0)</f>
        <v>-171.31764902429978</v>
      </c>
      <c r="P186" s="233">
        <f>IF(AND('Small Signal'!$B$61&gt;=1,FCCM=0),AF186+0,AC186+0)</f>
        <v>-62.339630905740535</v>
      </c>
      <c r="Q186" s="233">
        <f>IF(AND('Small Signal'!$B$61&gt;=1,FCCM=0),AG186,AD186)</f>
        <v>-66.137095022344724</v>
      </c>
      <c r="R186" s="233" t="str">
        <f>IMDIV(IMSUM('Small Signal'!$B$2*'Small Signal'!$B$38*'Small Signal'!$B$62,IMPRODUCT(M186,'Small Signal'!$B$2*'Small Signal'!$B$38*'Small Signal'!$B$62*'Small Signal'!$B$14*'Small Signal'!$B$15)),IMSUM(IMPRODUCT('Small Signal'!$B$12*'Small Signal'!$B$14*('Small Signal'!$B$15+'Small Signal'!$B$38),IMPOWER(M186,2)),IMSUM(IMPRODUCT(M186,('Small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-0.00055640054499701-0.00101939423656706i</v>
      </c>
      <c r="S186" s="233">
        <f t="shared" si="91"/>
        <v>-59.979531224163487</v>
      </c>
      <c r="T186" s="233">
        <f t="shared" si="92"/>
        <v>-171.31764902429978</v>
      </c>
      <c r="U186" s="233" t="str">
        <f>IMDIV(IMSUM('Small Signal'!$B$74,IMPRODUCT(M186,'Small Signal'!$B$75)),IMSUM(IMPRODUCT('Small Signal'!$B$78,IMPOWER(M186,2)),IMSUM(IMPRODUCT(M186,'Small Signal'!$B$77),'Small Signal'!$B$76)))</f>
        <v>-0.00029806922730763-0.000535711413333978i</v>
      </c>
      <c r="V186" s="233">
        <f t="shared" si="69"/>
        <v>-64.250062649624468</v>
      </c>
      <c r="W186" s="233">
        <f t="shared" si="70"/>
        <v>-119.09151358565813</v>
      </c>
      <c r="X186" s="233" t="str">
        <f>IMPRODUCT(IMDIV(IMSUM(IMPRODUCT(M186,'Small Signal'!$B$57*'Small Signal'!$B$6*'Small Signal'!$B$50*'Small Signal'!$B$7*'Small Signal'!$B$8),'Small Signal'!$B$57*'Small Signal'!$B$6*'Small Signal'!$B$50),IMSUM(IMSUM(IMPRODUCT(M186,('Small Signal'!$B$5+'Small Signal'!$B$6)*('Small Signal'!$B$56*'Small Signal'!$B$57)+'Small Signal'!$B$5*'Small Signal'!$B$57*('Small Signal'!$B$8+'Small Signal'!$B$9)+'Small Signal'!$B$6*'Small Signal'!$B$57*('Small Signal'!$B$8+'Small Signal'!$B$9)+'Small Signal'!$B$7*'Small Signal'!$B$8*('Small Signal'!$B$5+'Small Signal'!$B$6)),'Small Signal'!$B$6+'Small Signal'!$B$5),IMPRODUCT(IMPOWER(M186,2),'Small Signal'!$B$56*'Small Signal'!$B$57*'Small Signal'!$B$8*'Small Signal'!$B$7*('Small Signal'!$B$5+'Small Signal'!$B$6)+('Small Signal'!$B$5+'Small Signal'!$B$6)*('Small Signal'!$B$9*'Small Signal'!$B$8*'Small Signal'!$B$57*'Small Signal'!$B$7)))),-1)</f>
        <v>-0.065714053783773+0.335222119105231i</v>
      </c>
      <c r="Y186" s="233">
        <f t="shared" si="71"/>
        <v>-2.3600996815770463</v>
      </c>
      <c r="Z186" s="233">
        <f t="shared" si="72"/>
        <v>105.18055400195509</v>
      </c>
      <c r="AA186" s="233" t="str">
        <f t="shared" si="73"/>
        <v>2.22518923125418+0.159090827957206i</v>
      </c>
      <c r="AB186" s="233" t="str">
        <f t="shared" si="74"/>
        <v>0.000309022581372854-0.000698569778824152i</v>
      </c>
      <c r="AC186" s="230">
        <f t="shared" si="75"/>
        <v>-62.339630905740535</v>
      </c>
      <c r="AD186" s="233">
        <f t="shared" si="76"/>
        <v>-66.137095022344724</v>
      </c>
      <c r="AE186" s="233" t="str">
        <f t="shared" si="77"/>
        <v>0.000199169652441256-0.0000647156293897124i</v>
      </c>
      <c r="AF186" s="230">
        <f t="shared" si="78"/>
        <v>-73.579644149437968</v>
      </c>
      <c r="AG186" s="233">
        <f t="shared" si="79"/>
        <v>-18.000386769851637</v>
      </c>
      <c r="AI186" s="233" t="str">
        <f t="shared" si="80"/>
        <v>0.002-0.00118623202780666i</v>
      </c>
      <c r="AJ186" s="233">
        <f t="shared" si="81"/>
        <v>0.33750000000000002</v>
      </c>
      <c r="AK186" s="233" t="str">
        <f t="shared" si="82"/>
        <v>0.15-1.17081101144518i</v>
      </c>
      <c r="AL186" s="233" t="str">
        <f t="shared" si="83"/>
        <v>0.00198811185641624-0.0011739519460414i</v>
      </c>
      <c r="AM186" s="233" t="str">
        <f t="shared" si="84"/>
        <v>0.140432661758481-0.178243214427753i</v>
      </c>
      <c r="AN186" s="233" t="str">
        <f t="shared" si="85"/>
        <v>0.005+8.54108810238864i</v>
      </c>
      <c r="AO186" s="233" t="str">
        <f t="shared" si="86"/>
        <v>-0.00099087273014503-0.000151312480112828i</v>
      </c>
      <c r="AP186" s="233">
        <f t="shared" si="93"/>
        <v>-59.979531224163487</v>
      </c>
      <c r="AQ186" s="233">
        <f t="shared" si="94"/>
        <v>-171.31764902429978</v>
      </c>
      <c r="AS186" s="233" t="str">
        <f t="shared" si="87"/>
        <v>0.139368458436523-0.182393229693242i</v>
      </c>
      <c r="AT186" s="233" t="str">
        <f t="shared" si="88"/>
        <v>-0.00100501857565271-0.00013813165958176i</v>
      </c>
      <c r="AU186" s="233">
        <f t="shared" si="95"/>
        <v>-59.87524405224832</v>
      </c>
      <c r="AV186" s="233">
        <f t="shared" si="96"/>
        <v>-172.17419079880113</v>
      </c>
    </row>
    <row r="187" spans="6:48" x14ac:dyDescent="0.25">
      <c r="F187" s="233">
        <v>185</v>
      </c>
      <c r="G187" s="249">
        <f t="shared" si="65"/>
        <v>97.985663864180637</v>
      </c>
      <c r="H187" s="249">
        <f t="shared" si="66"/>
        <v>93.955438900003415</v>
      </c>
      <c r="I187" s="234">
        <f t="shared" si="67"/>
        <v>0</v>
      </c>
      <c r="J187" s="233">
        <f t="shared" si="89"/>
        <v>0</v>
      </c>
      <c r="K187" s="233">
        <f t="shared" si="90"/>
        <v>0</v>
      </c>
      <c r="L187" s="233">
        <f>10^('Small Signal'!F187/30)</f>
        <v>1467799.2676220734</v>
      </c>
      <c r="M187" s="233" t="str">
        <f t="shared" si="68"/>
        <v>9222454.79221197i</v>
      </c>
      <c r="N187" s="233">
        <f>IF(D$31=1, IF(AND('Small Signal'!$B$61&gt;=1,FCCM=0),V187+0,S187+0), 0)</f>
        <v>-61.250587331309191</v>
      </c>
      <c r="O187" s="233">
        <f>IF(D$31=1, IF(AND('Small Signal'!$B$61&gt;=1,FCCM=0),W187,T187), 0)</f>
        <v>-171.7219595495886</v>
      </c>
      <c r="P187" s="233">
        <f>IF(AND('Small Signal'!$B$61&gt;=1,FCCM=0),AF187+0,AC187+0)</f>
        <v>-64.245415589574165</v>
      </c>
      <c r="Q187" s="233">
        <f>IF(AND('Small Signal'!$B$61&gt;=1,FCCM=0),AG187,AD187)</f>
        <v>-67.63887703871886</v>
      </c>
      <c r="R187" s="233" t="str">
        <f>IMDIV(IMSUM('Small Signal'!$B$2*'Small Signal'!$B$38*'Small Signal'!$B$62,IMPRODUCT(M187,'Small Signal'!$B$2*'Small Signal'!$B$38*'Small Signal'!$B$62*'Small Signal'!$B$14*'Small Signal'!$B$15)),IMSUM(IMPRODUCT('Small Signal'!$B$12*'Small Signal'!$B$14*('Small Signal'!$B$15+'Small Signal'!$B$38),IMPOWER(M187,2)),IMSUM(IMPRODUCT(M187,('Small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-0.000477293232970356-0.000941428699685234i</v>
      </c>
      <c r="S187" s="233">
        <f t="shared" si="91"/>
        <v>-61.250587331309191</v>
      </c>
      <c r="T187" s="233">
        <f t="shared" si="92"/>
        <v>-171.7219595495886</v>
      </c>
      <c r="U187" s="233" t="str">
        <f>IMDIV(IMSUM('Small Signal'!$B$74,IMPRODUCT(M187,'Small Signal'!$B$75)),IMSUM(IMPRODUCT('Small Signal'!$B$78,IMPOWER(M187,2)),IMSUM(IMPRODUCT(M187,'Small Signal'!$B$77),'Small Signal'!$B$76)))</f>
        <v>-0.000255674037065392-0.000495035355264435i</v>
      </c>
      <c r="V187" s="233">
        <f t="shared" si="69"/>
        <v>-65.080374116616909</v>
      </c>
      <c r="W187" s="233">
        <f t="shared" si="70"/>
        <v>-117.31528233675978</v>
      </c>
      <c r="X187" s="233" t="str">
        <f>IMPRODUCT(IMDIV(IMSUM(IMPRODUCT(M187,'Small Signal'!$B$57*'Small Signal'!$B$6*'Small Signal'!$B$50*'Small Signal'!$B$7*'Small Signal'!$B$8),'Small Signal'!$B$57*'Small Signal'!$B$6*'Small Signal'!$B$50),IMSUM(IMSUM(IMPRODUCT(M187,('Small Signal'!$B$5+'Small Signal'!$B$6)*('Small Signal'!$B$56*'Small Signal'!$B$57)+'Small Signal'!$B$5*'Small Signal'!$B$57*('Small Signal'!$B$8+'Small Signal'!$B$9)+'Small Signal'!$B$6*'Small Signal'!$B$57*('Small Signal'!$B$8+'Small Signal'!$B$9)+'Small Signal'!$B$7*'Small Signal'!$B$8*('Small Signal'!$B$5+'Small Signal'!$B$6)),'Small Signal'!$B$6+'Small Signal'!$B$5),IMPRODUCT(IMPOWER(M187,2),'Small Signal'!$B$56*'Small Signal'!$B$57*'Small Signal'!$B$8*'Small Signal'!$B$7*('Small Signal'!$B$5+'Small Signal'!$B$6)+('Small Signal'!$B$5+'Small Signal'!$B$6)*('Small Signal'!$B$9*'Small Signal'!$B$8*'Small Signal'!$B$57*'Small Signal'!$B$7)))),-1)</f>
        <v>-0.0566716841412177+0.312127061670442i</v>
      </c>
      <c r="Y187" s="233">
        <f t="shared" si="71"/>
        <v>-2.9948282582649774</v>
      </c>
      <c r="Z187" s="233">
        <f t="shared" si="72"/>
        <v>104.08308251086979</v>
      </c>
      <c r="AA187" s="233" t="str">
        <f t="shared" si="73"/>
        <v>2.22808703456735+0.147685474991388i</v>
      </c>
      <c r="AB187" s="233" t="str">
        <f t="shared" si="74"/>
        <v>0.000233355889400793-0.000567256006067947i</v>
      </c>
      <c r="AC187" s="230">
        <f t="shared" si="75"/>
        <v>-64.245415589574165</v>
      </c>
      <c r="AD187" s="233">
        <f t="shared" si="76"/>
        <v>-67.63887703871886</v>
      </c>
      <c r="AE187" s="233" t="str">
        <f t="shared" si="77"/>
        <v>0.000169003409133351-0.0000517482986423589i</v>
      </c>
      <c r="AF187" s="230">
        <f t="shared" si="78"/>
        <v>-75.052884366386806</v>
      </c>
      <c r="AG187" s="233">
        <f t="shared" si="79"/>
        <v>-17.024419155282537</v>
      </c>
      <c r="AI187" s="233" t="str">
        <f t="shared" si="80"/>
        <v>0.002-0.00109859169685795i</v>
      </c>
      <c r="AJ187" s="233">
        <f t="shared" si="81"/>
        <v>0.33750000000000002</v>
      </c>
      <c r="AK187" s="233" t="str">
        <f t="shared" si="82"/>
        <v>0.15-1.08431000479879i</v>
      </c>
      <c r="AL187" s="233" t="str">
        <f t="shared" si="83"/>
        <v>0.00198747044098753-0.00108764710206431i</v>
      </c>
      <c r="AM187" s="233" t="str">
        <f t="shared" si="84"/>
        <v>0.127391644187703-0.174589915306254i</v>
      </c>
      <c r="AN187" s="233" t="str">
        <f t="shared" si="85"/>
        <v>0.005+9.22245479221197i</v>
      </c>
      <c r="AO187" s="233" t="str">
        <f t="shared" si="86"/>
        <v>-0.000856883934944728-0.000124670461643683i</v>
      </c>
      <c r="AP187" s="233">
        <f t="shared" si="93"/>
        <v>-61.250587331309191</v>
      </c>
      <c r="AQ187" s="233">
        <f t="shared" si="94"/>
        <v>-171.7219595495886</v>
      </c>
      <c r="AS187" s="233" t="str">
        <f t="shared" si="87"/>
        <v>0.1261535069495-0.178269431127199i</v>
      </c>
      <c r="AT187" s="233" t="str">
        <f t="shared" si="88"/>
        <v>-0.000867972744090379-0.000113332504734757i</v>
      </c>
      <c r="AU187" s="233">
        <f t="shared" si="95"/>
        <v>-61.156459827553917</v>
      </c>
      <c r="AV187" s="233">
        <f t="shared" si="96"/>
        <v>-172.56088977271332</v>
      </c>
    </row>
    <row r="188" spans="6:48" x14ac:dyDescent="0.25">
      <c r="F188" s="233">
        <v>186</v>
      </c>
      <c r="G188" s="249">
        <f t="shared" si="65"/>
        <v>96.990506727225949</v>
      </c>
      <c r="H188" s="249">
        <f t="shared" si="66"/>
        <v>93.253346043030902</v>
      </c>
      <c r="I188" s="234">
        <f t="shared" si="67"/>
        <v>0</v>
      </c>
      <c r="J188" s="233">
        <f t="shared" si="89"/>
        <v>0</v>
      </c>
      <c r="K188" s="233">
        <f t="shared" si="90"/>
        <v>0</v>
      </c>
      <c r="L188" s="233">
        <f>10^('Small Signal'!F188/30)</f>
        <v>1584893.1924611153</v>
      </c>
      <c r="M188" s="233" t="str">
        <f t="shared" si="68"/>
        <v>9958177.62032063i</v>
      </c>
      <c r="N188" s="233">
        <f>IF(D$31=1, IF(AND('Small Signal'!$B$61&gt;=1,FCCM=0),V188+0,S188+0), 0)</f>
        <v>-62.525921126084128</v>
      </c>
      <c r="O188" s="233">
        <f>IF(D$31=1, IF(AND('Small Signal'!$B$61&gt;=1,FCCM=0),W188,T188), 0)</f>
        <v>-172.13115769439409</v>
      </c>
      <c r="P188" s="233">
        <f>IF(AND('Small Signal'!$B$61&gt;=1,FCCM=0),AF188+0,AC188+0)</f>
        <v>-66.15990036481935</v>
      </c>
      <c r="Q188" s="233">
        <f>IF(AND('Small Signal'!$B$61&gt;=1,FCCM=0),AG188,AD188)</f>
        <v>-69.069313531354908</v>
      </c>
      <c r="R188" s="233" t="str">
        <f>IMDIV(IMSUM('Small Signal'!$B$2*'Small Signal'!$B$38*'Small Signal'!$B$62,IMPRODUCT(M188,'Small Signal'!$B$2*'Small Signal'!$B$38*'Small Signal'!$B$62*'Small Signal'!$B$14*'Small Signal'!$B$15)),IMSUM(IMPRODUCT('Small Signal'!$B$12*'Small Signal'!$B$14*('Small Signal'!$B$15+'Small Signal'!$B$38),IMPOWER(M188,2)),IMSUM(IMPRODUCT(M188,('Small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-0.000409424517803325-0.000869768238861311i</v>
      </c>
      <c r="S188" s="233">
        <f t="shared" si="91"/>
        <v>-62.525921126084128</v>
      </c>
      <c r="T188" s="233">
        <f t="shared" si="92"/>
        <v>-172.13115769439409</v>
      </c>
      <c r="U188" s="233" t="str">
        <f>IMDIV(IMSUM('Small Signal'!$B$74,IMPRODUCT(M188,'Small Signal'!$B$75)),IMSUM(IMPRODUCT('Small Signal'!$B$78,IMPOWER(M188,2)),IMSUM(IMPRODUCT(M188,'Small Signal'!$B$77),'Small Signal'!$B$76)))</f>
        <v>-0.00021930623123742-0.000457590031265958i</v>
      </c>
      <c r="V188" s="233">
        <f t="shared" si="69"/>
        <v>-65.892499892673726</v>
      </c>
      <c r="W188" s="233">
        <f t="shared" si="70"/>
        <v>-115.60670271582721</v>
      </c>
      <c r="X188" s="233" t="str">
        <f>IMPRODUCT(IMDIV(IMSUM(IMPRODUCT(M188,'Small Signal'!$B$57*'Small Signal'!$B$6*'Small Signal'!$B$50*'Small Signal'!$B$7*'Small Signal'!$B$8),'Small Signal'!$B$57*'Small Signal'!$B$6*'Small Signal'!$B$50),IMSUM(IMSUM(IMPRODUCT(M188,('Small Signal'!$B$5+'Small Signal'!$B$6)*('Small Signal'!$B$56*'Small Signal'!$B$57)+'Small Signal'!$B$5*'Small Signal'!$B$57*('Small Signal'!$B$8+'Small Signal'!$B$9)+'Small Signal'!$B$6*'Small Signal'!$B$57*('Small Signal'!$B$8+'Small Signal'!$B$9)+'Small Signal'!$B$7*'Small Signal'!$B$8*('Small Signal'!$B$5+'Small Signal'!$B$6)),'Small Signal'!$B$6+'Small Signal'!$B$5),IMPRODUCT(IMPOWER(M188,2),'Small Signal'!$B$56*'Small Signal'!$B$57*'Small Signal'!$B$8*'Small Signal'!$B$7*('Small Signal'!$B$5+'Small Signal'!$B$6)+('Small Signal'!$B$5+'Small Signal'!$B$6)*('Small Signal'!$B$9*'Small Signal'!$B$8*'Small Signal'!$B$57*'Small Signal'!$B$7)))),-1)</f>
        <v>-0.0488367178400101+0.290408087022562i</v>
      </c>
      <c r="Y188" s="233">
        <f t="shared" si="71"/>
        <v>-3.6339792387352094</v>
      </c>
      <c r="Z188" s="233">
        <f t="shared" si="72"/>
        <v>103.06184416303911</v>
      </c>
      <c r="AA188" s="233" t="str">
        <f t="shared" si="73"/>
        <v>2.23058341128427+0.13705231027257i</v>
      </c>
      <c r="AB188" s="233" t="str">
        <f t="shared" si="74"/>
        <v>0.000175777378303843-0.000459576731680401i</v>
      </c>
      <c r="AC188" s="230">
        <f t="shared" si="75"/>
        <v>-66.15990036481935</v>
      </c>
      <c r="AD188" s="233">
        <f t="shared" si="76"/>
        <v>-69.069313531354908</v>
      </c>
      <c r="AE188" s="233" t="str">
        <f t="shared" si="77"/>
        <v>0.000143598042156039-0.0000413411078424498i</v>
      </c>
      <c r="AF188" s="230">
        <f t="shared" si="78"/>
        <v>-76.511212950160825</v>
      </c>
      <c r="AG188" s="233">
        <f t="shared" si="79"/>
        <v>-16.060826491542343</v>
      </c>
      <c r="AI188" s="233" t="str">
        <f t="shared" si="80"/>
        <v>0.002-0.00101742634502693i</v>
      </c>
      <c r="AJ188" s="233">
        <f t="shared" si="81"/>
        <v>0.33750000000000002</v>
      </c>
      <c r="AK188" s="233" t="str">
        <f t="shared" si="82"/>
        <v>0.15-1.00419980254158i</v>
      </c>
      <c r="AL188" s="233" t="str">
        <f t="shared" si="83"/>
        <v>0.0019869023105491-0.00100774947416091i</v>
      </c>
      <c r="AM188" s="233" t="str">
        <f t="shared" si="84"/>
        <v>0.114946349034874-0.170100944999354i</v>
      </c>
      <c r="AN188" s="233" t="str">
        <f t="shared" si="85"/>
        <v>0.005+9.95817762032063i</v>
      </c>
      <c r="AO188" s="233" t="str">
        <f t="shared" si="86"/>
        <v>-0.000740619732404624-0.000102359004245307i</v>
      </c>
      <c r="AP188" s="233">
        <f t="shared" si="93"/>
        <v>-62.525921126084128</v>
      </c>
      <c r="AQ188" s="233">
        <f t="shared" si="94"/>
        <v>-172.13115769439409</v>
      </c>
      <c r="AS188" s="233" t="str">
        <f t="shared" si="87"/>
        <v>0.113595287743466-0.173328987430148i</v>
      </c>
      <c r="AT188" s="233" t="str">
        <f t="shared" si="88"/>
        <v>-0.000749259660351373-0.0000926871237478846i</v>
      </c>
      <c r="AU188" s="233">
        <f t="shared" si="95"/>
        <v>-62.44139665595992</v>
      </c>
      <c r="AV188" s="233">
        <f t="shared" si="96"/>
        <v>-172.94805498736346</v>
      </c>
    </row>
    <row r="189" spans="6:48" x14ac:dyDescent="0.25">
      <c r="F189" s="233">
        <v>187</v>
      </c>
      <c r="G189" s="249">
        <f t="shared" si="65"/>
        <v>96.065483559538777</v>
      </c>
      <c r="H189" s="249">
        <f t="shared" si="66"/>
        <v>92.600690307290023</v>
      </c>
      <c r="I189" s="234">
        <f t="shared" si="67"/>
        <v>0</v>
      </c>
      <c r="J189" s="233">
        <f t="shared" si="89"/>
        <v>0</v>
      </c>
      <c r="K189" s="233">
        <f t="shared" si="90"/>
        <v>0</v>
      </c>
      <c r="L189" s="233">
        <f>10^('Small Signal'!F189/30)</f>
        <v>1711328.3041617833</v>
      </c>
      <c r="M189" s="233" t="str">
        <f t="shared" si="68"/>
        <v>10752592.8564699i</v>
      </c>
      <c r="N189" s="233">
        <f>IF(D$31=1, IF(AND('Small Signal'!$B$61&gt;=1,FCCM=0),V189+0,S189+0), 0)</f>
        <v>-63.805726341722689</v>
      </c>
      <c r="O189" s="233">
        <f>IF(D$31=1, IF(AND('Small Signal'!$B$61&gt;=1,FCCM=0),W189,T189), 0)</f>
        <v>-172.54206928627727</v>
      </c>
      <c r="P189" s="233">
        <f>IF(AND('Small Signal'!$B$61&gt;=1,FCCM=0),AF189+0,AC189+0)</f>
        <v>-68.082681239498598</v>
      </c>
      <c r="Q189" s="233">
        <f>IF(AND('Small Signal'!$B$61&gt;=1,FCCM=0),AG189,AD189)</f>
        <v>-70.429897786337804</v>
      </c>
      <c r="R189" s="233" t="str">
        <f>IMDIV(IMSUM('Small Signal'!$B$2*'Small Signal'!$B$38*'Small Signal'!$B$62,IMPRODUCT(M189,'Small Signal'!$B$2*'Small Signal'!$B$38*'Small Signal'!$B$62*'Small Signal'!$B$14*'Small Signal'!$B$15)),IMSUM(IMPRODUCT('Small Signal'!$B$12*'Small Signal'!$B$14*('Small Signal'!$B$15+'Small Signal'!$B$38),IMPOWER(M189,2)),IMSUM(IMPRODUCT(M189,('Small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-0.000351200040418232-0.000803835098208217i</v>
      </c>
      <c r="S189" s="233">
        <f t="shared" si="91"/>
        <v>-63.805726341722689</v>
      </c>
      <c r="T189" s="233">
        <f t="shared" si="92"/>
        <v>-172.54206928627727</v>
      </c>
      <c r="U189" s="233" t="str">
        <f>IMDIV(IMSUM('Small Signal'!$B$74,IMPRODUCT(M189,'Small Signal'!$B$75)),IMSUM(IMPRODUCT('Small Signal'!$B$78,IMPOWER(M189,2)),IMSUM(IMPRODUCT(M189,'Small Signal'!$B$77),'Small Signal'!$B$76)))</f>
        <v>-0.000188109574817468-0.00042309039317176i</v>
      </c>
      <c r="V189" s="233">
        <f t="shared" si="69"/>
        <v>-66.6879407203852</v>
      </c>
      <c r="W189" s="233">
        <f t="shared" si="70"/>
        <v>-113.9703365635559</v>
      </c>
      <c r="X189" s="233" t="str">
        <f>IMPRODUCT(IMDIV(IMSUM(IMPRODUCT(M189,'Small Signal'!$B$57*'Small Signal'!$B$6*'Small Signal'!$B$50*'Small Signal'!$B$7*'Small Signal'!$B$8),'Small Signal'!$B$57*'Small Signal'!$B$6*'Small Signal'!$B$50),IMSUM(IMSUM(IMPRODUCT(M189,('Small Signal'!$B$5+'Small Signal'!$B$6)*('Small Signal'!$B$56*'Small Signal'!$B$57)+'Small Signal'!$B$5*'Small Signal'!$B$57*('Small Signal'!$B$8+'Small Signal'!$B$9)+'Small Signal'!$B$6*'Small Signal'!$B$57*('Small Signal'!$B$8+'Small Signal'!$B$9)+'Small Signal'!$B$7*'Small Signal'!$B$8*('Small Signal'!$B$5+'Small Signal'!$B$6)),'Small Signal'!$B$6+'Small Signal'!$B$5),IMPRODUCT(IMPOWER(M189,2),'Small Signal'!$B$56*'Small Signal'!$B$57*'Small Signal'!$B$8*'Small Signal'!$B$7*('Small Signal'!$B$5+'Small Signal'!$B$6)+('Small Signal'!$B$5+'Small Signal'!$B$6)*('Small Signal'!$B$9*'Small Signal'!$B$8*'Small Signal'!$B$57*'Small Signal'!$B$7)))),-1)</f>
        <v>-0.0420574792376705+0.270027245600304i</v>
      </c>
      <c r="Y189" s="233">
        <f t="shared" si="71"/>
        <v>-4.2769548977758989</v>
      </c>
      <c r="Z189" s="233">
        <f t="shared" si="72"/>
        <v>102.11217149993948</v>
      </c>
      <c r="AA189" s="233" t="str">
        <f t="shared" si="73"/>
        <v>2.23273264283119+0.127148390595288i</v>
      </c>
      <c r="AB189" s="233" t="str">
        <f t="shared" si="74"/>
        <v>0.000132086616045642-0.000371555724948006i</v>
      </c>
      <c r="AC189" s="230">
        <f t="shared" si="75"/>
        <v>-68.082681239498598</v>
      </c>
      <c r="AD189" s="233">
        <f t="shared" si="76"/>
        <v>-70.429897786337804</v>
      </c>
      <c r="AE189" s="233" t="str">
        <f t="shared" si="77"/>
        <v>0.000122157348045413-0.0000330005949325261i</v>
      </c>
      <c r="AF189" s="230">
        <f t="shared" si="78"/>
        <v>-77.955691480668008</v>
      </c>
      <c r="AG189" s="233">
        <f t="shared" si="79"/>
        <v>-15.117492275797932</v>
      </c>
      <c r="AI189" s="233" t="str">
        <f t="shared" si="80"/>
        <v>0.002-0.000942257592621068i</v>
      </c>
      <c r="AJ189" s="233">
        <f t="shared" si="81"/>
        <v>0.33750000000000002</v>
      </c>
      <c r="AK189" s="233" t="str">
        <f t="shared" si="82"/>
        <v>0.15-0.930008243916995i</v>
      </c>
      <c r="AL189" s="233" t="str">
        <f t="shared" si="83"/>
        <v>0.00198639425302412-0.000933787593388706i</v>
      </c>
      <c r="AM189" s="233" t="str">
        <f t="shared" si="84"/>
        <v>0.103192525505917-0.164889544944124i</v>
      </c>
      <c r="AN189" s="233" t="str">
        <f t="shared" si="85"/>
        <v>0.005+10.7525928564699i</v>
      </c>
      <c r="AO189" s="233" t="str">
        <f t="shared" si="86"/>
        <v>-0.000639770353482994-0.00008374951932059i</v>
      </c>
      <c r="AP189" s="233">
        <f t="shared" si="93"/>
        <v>-63.805726341722689</v>
      </c>
      <c r="AQ189" s="233">
        <f t="shared" si="94"/>
        <v>-172.54206928627727</v>
      </c>
      <c r="AS189" s="233" t="str">
        <f t="shared" si="87"/>
        <v>0.101782107332564-0.1676932785695i</v>
      </c>
      <c r="AT189" s="233" t="str">
        <f t="shared" si="88"/>
        <v>-0.000646463405215655-0.0000755621014326286i</v>
      </c>
      <c r="AU189" s="233">
        <f t="shared" si="95"/>
        <v>-63.730188636433496</v>
      </c>
      <c r="AV189" s="233">
        <f t="shared" si="96"/>
        <v>-173.33321388085528</v>
      </c>
    </row>
    <row r="190" spans="6:48" x14ac:dyDescent="0.25">
      <c r="F190" s="233">
        <v>188</v>
      </c>
      <c r="G190" s="249">
        <f t="shared" si="65"/>
        <v>95.206093135270294</v>
      </c>
      <c r="H190" s="249">
        <f t="shared" si="66"/>
        <v>91.994306383194257</v>
      </c>
      <c r="I190" s="234">
        <f t="shared" si="67"/>
        <v>0</v>
      </c>
      <c r="J190" s="233">
        <f t="shared" si="89"/>
        <v>0</v>
      </c>
      <c r="K190" s="233">
        <f t="shared" si="90"/>
        <v>0</v>
      </c>
      <c r="L190" s="233">
        <f>10^('Small Signal'!F190/30)</f>
        <v>1847849.797422294</v>
      </c>
      <c r="M190" s="233" t="str">
        <f t="shared" si="68"/>
        <v>11610382.6970385i</v>
      </c>
      <c r="N190" s="233">
        <f>IF(D$31=1, IF(AND('Small Signal'!$B$61&gt;=1,FCCM=0),V190+0,S190+0), 0)</f>
        <v>-65.090079374350736</v>
      </c>
      <c r="O190" s="233">
        <f>IF(D$31=1, IF(AND('Small Signal'!$B$61&gt;=1,FCCM=0),W190,T190), 0)</f>
        <v>-172.95154442806069</v>
      </c>
      <c r="P190" s="233">
        <f>IF(AND('Small Signal'!$B$61&gt;=1,FCCM=0),AF190+0,AC190+0)</f>
        <v>-70.013313873533036</v>
      </c>
      <c r="Q190" s="233">
        <f>IF(AND('Small Signal'!$B$61&gt;=1,FCCM=0),AG190,AD190)</f>
        <v>-71.72199082102621</v>
      </c>
      <c r="R190" s="233" t="str">
        <f>IMDIV(IMSUM('Small Signal'!$B$2*'Small Signal'!$B$38*'Small Signal'!$B$62,IMPRODUCT(M190,'Small Signal'!$B$2*'Small Signal'!$B$38*'Small Signal'!$B$62*'Small Signal'!$B$14*'Small Signal'!$B$15)),IMSUM(IMPRODUCT('Small Signal'!$B$12*'Small Signal'!$B$14*('Small Signal'!$B$15+'Small Signal'!$B$38),IMPOWER(M190,2)),IMSUM(IMPRODUCT(M190,('Small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-0.000301251021159178-0.000743117183766702i</v>
      </c>
      <c r="S190" s="233">
        <f t="shared" si="91"/>
        <v>-65.090079374350736</v>
      </c>
      <c r="T190" s="233">
        <f t="shared" si="92"/>
        <v>-172.95154442806069</v>
      </c>
      <c r="U190" s="233" t="str">
        <f>IMDIV(IMSUM('Small Signal'!$B$74,IMPRODUCT(M190,'Small Signal'!$B$75)),IMSUM(IMPRODUCT('Small Signal'!$B$78,IMPOWER(M190,2)),IMSUM(IMPRODUCT(M190,'Small Signal'!$B$77),'Small Signal'!$B$76)))</f>
        <v>-0.000161349285766766-0.000391281977776375i</v>
      </c>
      <c r="V190" s="233">
        <f t="shared" si="69"/>
        <v>-67.468191200345572</v>
      </c>
      <c r="W190" s="233">
        <f t="shared" si="70"/>
        <v>-112.40932336510664</v>
      </c>
      <c r="X190" s="233" t="str">
        <f>IMPRODUCT(IMDIV(IMSUM(IMPRODUCT(M190,'Small Signal'!$B$57*'Small Signal'!$B$6*'Small Signal'!$B$50*'Small Signal'!$B$7*'Small Signal'!$B$8),'Small Signal'!$B$57*'Small Signal'!$B$6*'Small Signal'!$B$50),IMSUM(IMSUM(IMPRODUCT(M190,('Small Signal'!$B$5+'Small Signal'!$B$6)*('Small Signal'!$B$56*'Small Signal'!$B$57)+'Small Signal'!$B$5*'Small Signal'!$B$57*('Small Signal'!$B$8+'Small Signal'!$B$9)+'Small Signal'!$B$6*'Small Signal'!$B$57*('Small Signal'!$B$8+'Small Signal'!$B$9)+'Small Signal'!$B$7*'Small Signal'!$B$8*('Small Signal'!$B$5+'Small Signal'!$B$6)),'Small Signal'!$B$6+'Small Signal'!$B$5),IMPRODUCT(IMPOWER(M190,2),'Small Signal'!$B$56*'Small Signal'!$B$57*'Small Signal'!$B$8*'Small Signal'!$B$7*('Small Signal'!$B$5+'Small Signal'!$B$6)+('Small Signal'!$B$5+'Small Signal'!$B$6)*('Small Signal'!$B$9*'Small Signal'!$B$8*'Small Signal'!$B$57*'Small Signal'!$B$7)))),-1)</f>
        <v>-0.0361988514336845+0.250937570777218i</v>
      </c>
      <c r="Y190" s="233">
        <f t="shared" si="71"/>
        <v>-4.9232344991822972</v>
      </c>
      <c r="Z190" s="233">
        <f t="shared" si="72"/>
        <v>101.22955360703446</v>
      </c>
      <c r="AA190" s="233" t="str">
        <f t="shared" si="73"/>
        <v>2.23458201974228+0.117931164090762i</v>
      </c>
      <c r="AB190" s="233" t="str">
        <f t="shared" si="74"/>
        <v>0.0000990259867946884-0.000299812875136197i</v>
      </c>
      <c r="AC190" s="230">
        <f t="shared" si="75"/>
        <v>-70.013313873533036</v>
      </c>
      <c r="AD190" s="233">
        <f t="shared" si="76"/>
        <v>-71.72199082102621</v>
      </c>
      <c r="AE190" s="233" t="str">
        <f t="shared" si="77"/>
        <v>0.000104028007816511-0.0000263246396347462i</v>
      </c>
      <c r="AF190" s="230">
        <f t="shared" si="78"/>
        <v>-79.387431082187646</v>
      </c>
      <c r="AG190" s="233">
        <f t="shared" si="79"/>
        <v>-14.200779996498772</v>
      </c>
      <c r="AI190" s="233" t="str">
        <f t="shared" si="80"/>
        <v>0.002-0.000872642403247928i</v>
      </c>
      <c r="AJ190" s="233">
        <f t="shared" si="81"/>
        <v>0.33750000000000002</v>
      </c>
      <c r="AK190" s="233" t="str">
        <f t="shared" si="82"/>
        <v>0.15-0.861298052005705i</v>
      </c>
      <c r="AL190" s="233" t="str">
        <f t="shared" si="83"/>
        <v>0.0019859345429314-0.000865324793564049i</v>
      </c>
      <c r="AM190" s="233" t="str">
        <f t="shared" si="84"/>
        <v>0.0922003597969859-0.159078258242711i</v>
      </c>
      <c r="AN190" s="233" t="str">
        <f t="shared" si="85"/>
        <v>0.005+11.6103826970385i</v>
      </c>
      <c r="AO190" s="233" t="str">
        <f t="shared" si="86"/>
        <v>-0.000552333629146065-0.0000682922473804731i</v>
      </c>
      <c r="AP190" s="233">
        <f t="shared" si="93"/>
        <v>-65.090079374350736</v>
      </c>
      <c r="AQ190" s="233">
        <f t="shared" si="94"/>
        <v>-172.95154442806069</v>
      </c>
      <c r="AS190" s="233" t="str">
        <f t="shared" si="87"/>
        <v>0.0907757630071232-0.161490678283041i</v>
      </c>
      <c r="AT190" s="233" t="str">
        <f t="shared" si="88"/>
        <v>-0.000557490260377558-0.0000614102833719882i</v>
      </c>
      <c r="AU190" s="233">
        <f t="shared" si="95"/>
        <v>-65.022873733226334</v>
      </c>
      <c r="AV190" s="233">
        <f t="shared" si="96"/>
        <v>-173.71393269876188</v>
      </c>
    </row>
    <row r="191" spans="6:48" x14ac:dyDescent="0.25">
      <c r="F191" s="233">
        <v>189</v>
      </c>
      <c r="G191" s="249">
        <f t="shared" si="65"/>
        <v>94.408032094067124</v>
      </c>
      <c r="H191" s="249">
        <f t="shared" si="66"/>
        <v>91.431166839556624</v>
      </c>
      <c r="I191" s="234">
        <f t="shared" si="67"/>
        <v>0</v>
      </c>
      <c r="J191" s="233">
        <f t="shared" si="89"/>
        <v>0</v>
      </c>
      <c r="K191" s="233">
        <f t="shared" si="90"/>
        <v>0</v>
      </c>
      <c r="L191" s="233">
        <f>10^('Small Signal'!F191/30)</f>
        <v>1995262.31496888</v>
      </c>
      <c r="M191" s="233" t="str">
        <f t="shared" si="68"/>
        <v>12536602.8613816i</v>
      </c>
      <c r="N191" s="233">
        <f>IF(D$31=1, IF(AND('Small Signal'!$B$61&gt;=1,FCCM=0),V191+0,S191+0), 0)</f>
        <v>-66.378953653412708</v>
      </c>
      <c r="O191" s="233">
        <f>IF(D$31=1, IF(AND('Small Signal'!$B$61&gt;=1,FCCM=0),W191,T191), 0)</f>
        <v>-173.35660697014333</v>
      </c>
      <c r="P191" s="233">
        <f>IF(AND('Small Signal'!$B$61&gt;=1,FCCM=0),AF191+0,AC191+0)</f>
        <v>-71.95131902459616</v>
      </c>
      <c r="Q191" s="233">
        <f>IF(AND('Small Signal'!$B$61&gt;=1,FCCM=0),AG191,AD191)</f>
        <v>-72.946946809213557</v>
      </c>
      <c r="R191" s="233" t="str">
        <f>IMDIV(IMSUM('Small Signal'!$B$2*'Small Signal'!$B$38*'Small Signal'!$B$62,IMPRODUCT(M191,'Small Signal'!$B$2*'Small Signal'!$B$38*'Small Signal'!$B$62*'Small Signal'!$B$14*'Small Signal'!$B$15)),IMSUM(IMPRODUCT('Small Signal'!$B$12*'Small Signal'!$B$14*('Small Signal'!$B$15+'Small Signal'!$B$38),IMPOWER(M191,2)),IMSUM(IMPRODUCT(M191,('Small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-0.000258402503252441-0.000687158500698219i</v>
      </c>
      <c r="S191" s="233">
        <f t="shared" si="91"/>
        <v>-66.378953653412708</v>
      </c>
      <c r="T191" s="233">
        <f t="shared" si="92"/>
        <v>-173.35660697014333</v>
      </c>
      <c r="U191" s="233" t="str">
        <f>IMDIV(IMSUM('Small Signal'!$B$74,IMPRODUCT(M191,'Small Signal'!$B$75)),IMSUM(IMPRODUCT('Small Signal'!$B$78,IMPOWER(M191,2)),IMSUM(IMPRODUCT(M191,'Small Signal'!$B$77),'Small Signal'!$B$76)))</f>
        <v>-0.000138394855525723-0.000361936691029174i</v>
      </c>
      <c r="V191" s="233">
        <f t="shared" si="69"/>
        <v>-68.234708907765508</v>
      </c>
      <c r="W191" s="233">
        <f t="shared" si="70"/>
        <v>-110.92550956909652</v>
      </c>
      <c r="X191" s="233" t="str">
        <f>IMPRODUCT(IMDIV(IMSUM(IMPRODUCT(M191,'Small Signal'!$B$57*'Small Signal'!$B$6*'Small Signal'!$B$50*'Small Signal'!$B$7*'Small Signal'!$B$8),'Small Signal'!$B$57*'Small Signal'!$B$6*'Small Signal'!$B$50),IMSUM(IMSUM(IMPRODUCT(M191,('Small Signal'!$B$5+'Small Signal'!$B$6)*('Small Signal'!$B$56*'Small Signal'!$B$57)+'Small Signal'!$B$5*'Small Signal'!$B$57*('Small Signal'!$B$8+'Small Signal'!$B$9)+'Small Signal'!$B$6*'Small Signal'!$B$57*('Small Signal'!$B$8+'Small Signal'!$B$9)+'Small Signal'!$B$7*'Small Signal'!$B$8*('Small Signal'!$B$5+'Small Signal'!$B$6)),'Small Signal'!$B$6+'Small Signal'!$B$5),IMPRODUCT(IMPOWER(M191,2),'Small Signal'!$B$56*'Small Signal'!$B$57*'Small Signal'!$B$8*'Small Signal'!$B$7*('Small Signal'!$B$5+'Small Signal'!$B$6)+('Small Signal'!$B$5+'Small Signal'!$B$6)*('Small Signal'!$B$9*'Small Signal'!$B$8*'Small Signal'!$B$57*'Small Signal'!$B$7)))),-1)</f>
        <v>-0.0311411420483813+0.233085788728212i</v>
      </c>
      <c r="Y191" s="233">
        <f t="shared" si="71"/>
        <v>-5.5723653711834649</v>
      </c>
      <c r="Z191" s="233">
        <f t="shared" si="72"/>
        <v>100.4096601609298</v>
      </c>
      <c r="AA191" s="233" t="str">
        <f t="shared" si="73"/>
        <v>2.23617264911804+0.109358975960768i</v>
      </c>
      <c r="AB191" s="233" t="str">
        <f t="shared" si="74"/>
        <v>0.0000740768563159587-0.000241494483988608i</v>
      </c>
      <c r="AC191" s="230">
        <f t="shared" si="75"/>
        <v>-71.95131902459616</v>
      </c>
      <c r="AD191" s="233">
        <f t="shared" si="76"/>
        <v>-72.946946809213557</v>
      </c>
      <c r="AE191" s="233" t="str">
        <f t="shared" si="77"/>
        <v>0.000088672072952906-0.0000209867521482795i</v>
      </c>
      <c r="AF191" s="230">
        <f t="shared" si="78"/>
        <v>-80.807555321097695</v>
      </c>
      <c r="AG191" s="233">
        <f t="shared" si="79"/>
        <v>-13.315642044781427</v>
      </c>
      <c r="AI191" s="233" t="str">
        <f t="shared" si="80"/>
        <v>0.002-0.000808170472607226i</v>
      </c>
      <c r="AJ191" s="233">
        <f t="shared" si="81"/>
        <v>0.33750000000000002</v>
      </c>
      <c r="AK191" s="233" t="str">
        <f t="shared" si="82"/>
        <v>0.15-0.797664256463329i</v>
      </c>
      <c r="AL191" s="233" t="str">
        <f t="shared" si="83"/>
        <v>0.0019855126870881-0.000801956607469662i</v>
      </c>
      <c r="AM191" s="233" t="str">
        <f t="shared" si="84"/>
        <v>0.0820146118313498-0.152792760902847i</v>
      </c>
      <c r="AN191" s="233" t="str">
        <f t="shared" si="85"/>
        <v>0.005+12.5366028613816i</v>
      </c>
      <c r="AO191" s="233" t="str">
        <f t="shared" si="86"/>
        <v>-0.000476569652772081-0.0000555067848347895i</v>
      </c>
      <c r="AP191" s="233">
        <f t="shared" si="93"/>
        <v>-66.378953653412708</v>
      </c>
      <c r="AQ191" s="233">
        <f t="shared" si="94"/>
        <v>-173.35660697014333</v>
      </c>
      <c r="AS191" s="233" t="str">
        <f t="shared" si="87"/>
        <v>0.080612343118243-0.154850434644781i</v>
      </c>
      <c r="AT191" s="233" t="str">
        <f t="shared" si="88"/>
        <v>-0.000480522303828748-0.0000497594055639117i</v>
      </c>
      <c r="AU191" s="233">
        <f t="shared" si="95"/>
        <v>-66.319406763478341</v>
      </c>
      <c r="AV191" s="233">
        <f t="shared" si="96"/>
        <v>-174.08793645400146</v>
      </c>
    </row>
    <row r="192" spans="6:48" x14ac:dyDescent="0.25">
      <c r="F192" s="233">
        <v>190</v>
      </c>
      <c r="G192" s="249">
        <f t="shared" si="65"/>
        <v>93.66720639651902</v>
      </c>
      <c r="H192" s="249">
        <f t="shared" si="66"/>
        <v>90.908390369654171</v>
      </c>
      <c r="I192" s="234">
        <f t="shared" si="67"/>
        <v>0</v>
      </c>
      <c r="J192" s="233">
        <f t="shared" si="89"/>
        <v>0</v>
      </c>
      <c r="K192" s="233">
        <f t="shared" si="90"/>
        <v>0</v>
      </c>
      <c r="L192" s="233">
        <f>10^('Small Signal'!F192/30)</f>
        <v>2154434.6900318847</v>
      </c>
      <c r="M192" s="233" t="str">
        <f t="shared" si="68"/>
        <v>13536712.3896863i</v>
      </c>
      <c r="N192" s="233">
        <f>IF(D$31=1, IF(AND('Small Signal'!$B$61&gt;=1,FCCM=0),V192+0,S192+0), 0)</f>
        <v>-67.672237185145832</v>
      </c>
      <c r="O192" s="233">
        <f>IF(D$31=1, IF(AND('Small Signal'!$B$61&gt;=1,FCCM=0),W192,T192), 0)</f>
        <v>-173.75456387511466</v>
      </c>
      <c r="P192" s="233">
        <f>IF(AND('Small Signal'!$B$61&gt;=1,FCCM=0),AF192+0,AC192+0)</f>
        <v>-73.896191936396264</v>
      </c>
      <c r="Q192" s="233">
        <f>IF(AND('Small Signal'!$B$61&gt;=1,FCCM=0),AG192,AD192)</f>
        <v>-74.106206553247588</v>
      </c>
      <c r="R192" s="233" t="str">
        <f>IMDIV(IMSUM('Small Signal'!$B$2*'Small Signal'!$B$38*'Small Signal'!$B$62,IMPRODUCT(M192,'Small Signal'!$B$2*'Small Signal'!$B$38*'Small Signal'!$B$62*'Small Signal'!$B$14*'Small Signal'!$B$15)),IMSUM(IMPRODUCT('Small Signal'!$B$12*'Small Signal'!$B$14*('Small Signal'!$B$15+'Small Signal'!$B$38),IMPOWER(M192,2)),IMSUM(IMPRODUCT(M192,('Small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-0.000221646024506923-0.00063555126157626i</v>
      </c>
      <c r="S192" s="233">
        <f t="shared" si="91"/>
        <v>-67.672237185145832</v>
      </c>
      <c r="T192" s="233">
        <f t="shared" si="92"/>
        <v>-173.75456387511466</v>
      </c>
      <c r="U192" s="233" t="str">
        <f>IMDIV(IMSUM('Small Signal'!$B$74,IMPRODUCT(M192,'Small Signal'!$B$75)),IMSUM(IMPRODUCT('Small Signal'!$B$78,IMPOWER(M192,2)),IMSUM(IMPRODUCT(M192,'Small Signal'!$B$77),'Small Signal'!$B$76)))</f>
        <v>-0.000118705286831076-0.000334849305091172i</v>
      </c>
      <c r="V192" s="233">
        <f t="shared" si="69"/>
        <v>-68.988890206580635</v>
      </c>
      <c r="W192" s="233">
        <f t="shared" si="70"/>
        <v>-109.51960035682779</v>
      </c>
      <c r="X192" s="233" t="str">
        <f>IMPRODUCT(IMDIV(IMSUM(IMPRODUCT(M192,'Small Signal'!$B$57*'Small Signal'!$B$6*'Small Signal'!$B$50*'Small Signal'!$B$7*'Small Signal'!$B$8),'Small Signal'!$B$57*'Small Signal'!$B$6*'Small Signal'!$B$50),IMSUM(IMSUM(IMPRODUCT(M192,('Small Signal'!$B$5+'Small Signal'!$B$6)*('Small Signal'!$B$56*'Small Signal'!$B$57)+'Small Signal'!$B$5*'Small Signal'!$B$57*('Small Signal'!$B$8+'Small Signal'!$B$9)+'Small Signal'!$B$6*'Small Signal'!$B$57*('Small Signal'!$B$8+'Small Signal'!$B$9)+'Small Signal'!$B$7*'Small Signal'!$B$8*('Small Signal'!$B$5+'Small Signal'!$B$6)),'Small Signal'!$B$6+'Small Signal'!$B$5),IMPRODUCT(IMPOWER(M192,2),'Small Signal'!$B$56*'Small Signal'!$B$57*'Small Signal'!$B$8*'Small Signal'!$B$7*('Small Signal'!$B$5+'Small Signal'!$B$6)+('Small Signal'!$B$5+'Small Signal'!$B$6)*('Small Signal'!$B$9*'Small Signal'!$B$8*'Small Signal'!$B$57*'Small Signal'!$B$7)))),-1)</f>
        <v>-0.026778824674114+0.216414522589075i</v>
      </c>
      <c r="Y192" s="233">
        <f t="shared" si="71"/>
        <v>-6.2239547512504547</v>
      </c>
      <c r="Z192" s="233">
        <f t="shared" si="72"/>
        <v>99.648357321867053</v>
      </c>
      <c r="AA192" s="233" t="str">
        <f t="shared" si="73"/>
        <v>2.23754019434409+0.101391438452828i</v>
      </c>
      <c r="AB192" s="233" t="str">
        <f t="shared" si="74"/>
        <v>0.0000552982179567418-0.000194205744585409i</v>
      </c>
      <c r="AC192" s="230">
        <f t="shared" si="75"/>
        <v>-73.896191936396264</v>
      </c>
      <c r="AD192" s="233">
        <f t="shared" si="76"/>
        <v>-74.106206553247588</v>
      </c>
      <c r="AE192" s="233" t="str">
        <f t="shared" si="77"/>
        <v>0.0000756450405645293-0.0000167226771450611i</v>
      </c>
      <c r="AF192" s="230">
        <f t="shared" si="78"/>
        <v>-82.21717026876621</v>
      </c>
      <c r="AG192" s="233">
        <f t="shared" si="79"/>
        <v>-12.465757426749787</v>
      </c>
      <c r="AI192" s="233" t="str">
        <f t="shared" si="80"/>
        <v>0.002-0.000748461810202249i</v>
      </c>
      <c r="AJ192" s="233">
        <f t="shared" si="81"/>
        <v>0.33750000000000002</v>
      </c>
      <c r="AK192" s="233" t="str">
        <f t="shared" si="82"/>
        <v>0.15-0.738731806669621i</v>
      </c>
      <c r="AL192" s="233" t="str">
        <f t="shared" si="83"/>
        <v>0.0019851192063421-0.000743308345568124i</v>
      </c>
      <c r="AM192" s="233" t="str">
        <f t="shared" si="84"/>
        <v>0.0726562476540378-0.146156401901008i</v>
      </c>
      <c r="AN192" s="233" t="str">
        <f t="shared" si="85"/>
        <v>0.005+13.5367123896863i</v>
      </c>
      <c r="AO192" s="233" t="str">
        <f t="shared" si="86"/>
        <v>-0.000410963192741788-0.000044974662082074i</v>
      </c>
      <c r="AP192" s="233">
        <f t="shared" si="93"/>
        <v>-67.672237185145832</v>
      </c>
      <c r="AQ192" s="233">
        <f t="shared" si="94"/>
        <v>-173.75456387511466</v>
      </c>
      <c r="AS192" s="233" t="str">
        <f t="shared" si="87"/>
        <v>0.0713044144812861-0.14789743269753i</v>
      </c>
      <c r="AT192" s="233" t="str">
        <f t="shared" si="88"/>
        <v>-0.000413978643374558-0.0000402029564688396i</v>
      </c>
      <c r="AU192" s="233">
        <f t="shared" si="95"/>
        <v>-67.619674659513393</v>
      </c>
      <c r="AV192" s="233">
        <f t="shared" si="96"/>
        <v>-174.45319433873277</v>
      </c>
    </row>
    <row r="193" spans="6:48" x14ac:dyDescent="0.25">
      <c r="F193" s="233">
        <v>191</v>
      </c>
      <c r="G193" s="249">
        <f t="shared" si="65"/>
        <v>92.979737072340143</v>
      </c>
      <c r="H193" s="249">
        <f t="shared" si="66"/>
        <v>90.423246038645672</v>
      </c>
      <c r="I193" s="234">
        <f t="shared" si="67"/>
        <v>0</v>
      </c>
      <c r="J193" s="233">
        <f t="shared" si="89"/>
        <v>0</v>
      </c>
      <c r="K193" s="233">
        <f t="shared" si="90"/>
        <v>0</v>
      </c>
      <c r="L193" s="233">
        <f>10^('Small Signal'!F193/30)</f>
        <v>2326305.067153628</v>
      </c>
      <c r="M193" s="233" t="str">
        <f t="shared" si="68"/>
        <v>14616605.8179571i</v>
      </c>
      <c r="N193" s="233">
        <f>IF(D$31=1, IF(AND('Small Signal'!$B$61&gt;=1,FCCM=0),V193+0,S193+0), 0)</f>
        <v>-68.969751290773786</v>
      </c>
      <c r="O193" s="233">
        <f>IF(D$31=1, IF(AND('Small Signal'!$B$61&gt;=1,FCCM=0),W193,T193), 0)</f>
        <v>-174.14307517571299</v>
      </c>
      <c r="P193" s="233">
        <f>IF(AND('Small Signal'!$B$61&gt;=1,FCCM=0),AF193+0,AC193+0)</f>
        <v>-75.847413701074302</v>
      </c>
      <c r="Q193" s="233">
        <f>IF(AND('Small Signal'!$B$61&gt;=1,FCCM=0),AG193,AD193)</f>
        <v>-75.201358073122989</v>
      </c>
      <c r="R193" s="233" t="str">
        <f>IMDIV(IMSUM('Small Signal'!$B$2*'Small Signal'!$B$38*'Small Signal'!$B$62,IMPRODUCT(M193,'Small Signal'!$B$2*'Small Signal'!$B$38*'Small Signal'!$B$62*'Small Signal'!$B$14*'Small Signal'!$B$15)),IMSUM(IMPRODUCT('Small Signal'!$B$12*'Small Signal'!$B$14*('Small Signal'!$B$15+'Small Signal'!$B$38),IMPOWER(M193,2)),IMSUM(IMPRODUCT(M193,('Small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-0.00019011611104635-0.000587929345344549i</v>
      </c>
      <c r="S193" s="233">
        <f t="shared" si="91"/>
        <v>-68.969751290773786</v>
      </c>
      <c r="T193" s="233">
        <f t="shared" si="92"/>
        <v>-174.14307517571299</v>
      </c>
      <c r="U193" s="233" t="str">
        <f>IMDIV(IMSUM('Small Signal'!$B$74,IMPRODUCT(M193,'Small Signal'!$B$75)),IMSUM(IMPRODUCT('Small Signal'!$B$78,IMPOWER(M193,2)),IMSUM(IMPRODUCT(M193,'Small Signal'!$B$77),'Small Signal'!$B$76)))</f>
        <v>-0.000101816412081579-0.000309834533328771i</v>
      </c>
      <c r="V193" s="233">
        <f t="shared" si="69"/>
        <v>-69.732052577519298</v>
      </c>
      <c r="W193" s="233">
        <f t="shared" si="70"/>
        <v>-108.19132172599396</v>
      </c>
      <c r="X193" s="233" t="str">
        <f>IMPRODUCT(IMDIV(IMSUM(IMPRODUCT(M193,'Small Signal'!$B$57*'Small Signal'!$B$6*'Small Signal'!$B$50*'Small Signal'!$B$7*'Small Signal'!$B$8),'Small Signal'!$B$57*'Small Signal'!$B$6*'Small Signal'!$B$50),IMSUM(IMSUM(IMPRODUCT(M193,('Small Signal'!$B$5+'Small Signal'!$B$6)*('Small Signal'!$B$56*'Small Signal'!$B$57)+'Small Signal'!$B$5*'Small Signal'!$B$57*('Small Signal'!$B$8+'Small Signal'!$B$9)+'Small Signal'!$B$6*'Small Signal'!$B$57*('Small Signal'!$B$8+'Small Signal'!$B$9)+'Small Signal'!$B$7*'Small Signal'!$B$8*('Small Signal'!$B$5+'Small Signal'!$B$6)),'Small Signal'!$B$6+'Small Signal'!$B$5),IMPRODUCT(IMPOWER(M193,2),'Small Signal'!$B$56*'Small Signal'!$B$57*'Small Signal'!$B$8*'Small Signal'!$B$7*('Small Signal'!$B$5+'Small Signal'!$B$6)+('Small Signal'!$B$5+'Small Signal'!$B$6)*('Small Signal'!$B$9*'Small Signal'!$B$8*'Small Signal'!$B$57*'Small Signal'!$B$7)))),-1)</f>
        <v>-0.0230192362766593+0.200864057956509i</v>
      </c>
      <c r="Y193" s="233">
        <f t="shared" si="71"/>
        <v>-6.8776624103005393</v>
      </c>
      <c r="Z193" s="233">
        <f t="shared" si="72"/>
        <v>98.941717102590033</v>
      </c>
      <c r="AA193" s="233" t="str">
        <f t="shared" si="73"/>
        <v>2.23871554509323+0.0939896918010185i</v>
      </c>
      <c r="AB193" s="233" t="str">
        <f t="shared" si="74"/>
        <v>0.0000411992250159355-0.000155947774919078i</v>
      </c>
      <c r="AC193" s="230">
        <f t="shared" si="75"/>
        <v>-75.847413701074302</v>
      </c>
      <c r="AD193" s="233">
        <f t="shared" si="76"/>
        <v>-75.201358073122989</v>
      </c>
      <c r="AE193" s="233" t="str">
        <f t="shared" si="77"/>
        <v>0.0000645783577060258-0.0000133191033679146i</v>
      </c>
      <c r="AF193" s="230">
        <f t="shared" si="78"/>
        <v>-83.61734157800656</v>
      </c>
      <c r="AG193" s="233">
        <f t="shared" si="79"/>
        <v>-11.653684925303402</v>
      </c>
      <c r="AI193" s="233" t="str">
        <f t="shared" si="80"/>
        <v>0.002-0.000693164499717477i</v>
      </c>
      <c r="AJ193" s="233">
        <f t="shared" si="81"/>
        <v>0.33750000000000002</v>
      </c>
      <c r="AK193" s="233" t="str">
        <f t="shared" si="82"/>
        <v>0.15-0.684153361221152i</v>
      </c>
      <c r="AL193" s="233" t="str">
        <f t="shared" si="83"/>
        <v>0.00198474545008666-0.000689032842581534i</v>
      </c>
      <c r="AM193" s="233" t="str">
        <f t="shared" si="84"/>
        <v>0.0641251698467844-0.139285766929989i</v>
      </c>
      <c r="AN193" s="233" t="str">
        <f t="shared" si="85"/>
        <v>0.005+14.6166058179571i</v>
      </c>
      <c r="AO193" s="233" t="str">
        <f t="shared" si="86"/>
        <v>-0.000354192532187675-0.0000363331315849851i</v>
      </c>
      <c r="AP193" s="233">
        <f t="shared" si="93"/>
        <v>-68.969751290773786</v>
      </c>
      <c r="AQ193" s="233">
        <f t="shared" si="94"/>
        <v>-174.14307517571299</v>
      </c>
      <c r="AS193" s="233" t="str">
        <f t="shared" si="87"/>
        <v>0.0628441657370849-0.140748091905294i</v>
      </c>
      <c r="AT193" s="233" t="str">
        <f t="shared" si="88"/>
        <v>-0.000356482984371158-0.0000323924822651079i</v>
      </c>
      <c r="AU193" s="233">
        <f t="shared" si="95"/>
        <v>-68.923512378724737</v>
      </c>
      <c r="AV193" s="233">
        <f t="shared" si="96"/>
        <v>-174.80797206370116</v>
      </c>
    </row>
    <row r="194" spans="6:48" x14ac:dyDescent="0.25">
      <c r="F194" s="233">
        <v>192</v>
      </c>
      <c r="G194" s="249">
        <f t="shared" ref="G194:G212" si="97">DEGREES((ATAN(10)+ATAN(L194/(fsw/6))-ATAN(L194/(fsw/6*Vo_ss/Vref))-ATAN(MAX(1/10,L194/(fsw/2)))))+90</f>
        <v>92.341961529732544</v>
      </c>
      <c r="H194" s="249">
        <f t="shared" ref="H194:H212" si="98">DEGREES((ATAN(10)-ATAN(MAX(1/10,L194/(fsw/2)))))+90</f>
        <v>89.973154402945511</v>
      </c>
      <c r="I194" s="234">
        <f t="shared" ref="I194:I212" si="99">IF(fz_cff&gt;fsw/4,IF(AV194+H194&gt;65,1,0),IF(AV194+G194&gt;65,1,0))</f>
        <v>0</v>
      </c>
      <c r="J194" s="233">
        <f t="shared" si="89"/>
        <v>0</v>
      </c>
      <c r="K194" s="233">
        <f t="shared" si="90"/>
        <v>0</v>
      </c>
      <c r="L194" s="233">
        <f>10^('Small Signal'!F194/30)</f>
        <v>2511886.431509587</v>
      </c>
      <c r="M194" s="233" t="str">
        <f t="shared" ref="M194:M212" si="100">COMPLEX(0,L194*2*PI())</f>
        <v>15782647.9197648i</v>
      </c>
      <c r="N194" s="233">
        <f>IF(D$31=1, IF(AND('Small Signal'!$B$61&gt;=1,FCCM=0),V194+0,S194+0), 0)</f>
        <v>-70.271268933013829</v>
      </c>
      <c r="O194" s="233">
        <f>IF(D$31=1, IF(AND('Small Signal'!$B$61&gt;=1,FCCM=0),W194,T194), 0)</f>
        <v>-174.52018866092365</v>
      </c>
      <c r="P194" s="233">
        <f>IF(AND('Small Signal'!$B$61&gt;=1,FCCM=0),AF194+0,AC194+0)</f>
        <v>-77.804462970790752</v>
      </c>
      <c r="Q194" s="233">
        <f>IF(AND('Small Signal'!$B$61&gt;=1,FCCM=0),AG194,AD194)</f>
        <v>-76.234167065443543</v>
      </c>
      <c r="R194" s="233" t="str">
        <f>IMDIV(IMSUM('Small Signal'!$B$2*'Small Signal'!$B$38*'Small Signal'!$B$62,IMPRODUCT(M194,'Small Signal'!$B$2*'Small Signal'!$B$38*'Small Signal'!$B$62*'Small Signal'!$B$14*'Small Signal'!$B$15)),IMSUM(IMPRODUCT('Small Signal'!$B$12*'Small Signal'!$B$14*('Small Signal'!$B$15+'Small Signal'!$B$38),IMPOWER(M194,2)),IMSUM(IMPRODUCT(M194,('Small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-0.000163070066824895-0.000543962850244074i</v>
      </c>
      <c r="S194" s="233">
        <f t="shared" si="91"/>
        <v>-70.271268933013829</v>
      </c>
      <c r="T194" s="233">
        <f t="shared" si="92"/>
        <v>-174.52018866092365</v>
      </c>
      <c r="U194" s="233" t="str">
        <f>IMDIV(IMSUM('Small Signal'!$B$74,IMPRODUCT(M194,'Small Signal'!$B$75)),IMSUM(IMPRODUCT('Small Signal'!$B$78,IMPOWER(M194,2)),IMSUM(IMPRODUCT(M194,'Small Signal'!$B$77),'Small Signal'!$B$76)))</f>
        <v>-0.0000873300015080776-0.000286724575110823i</v>
      </c>
      <c r="V194" s="233">
        <f t="shared" ref="V194:V212" si="101">20*LOG(IMABS(U194))</f>
        <v>-70.465422883018618</v>
      </c>
      <c r="W194" s="233">
        <f t="shared" ref="W194:W212" si="102">(180/PI())*IMARGUMENT(U194)</f>
        <v>-106.93958297830122</v>
      </c>
      <c r="X194" s="233" t="str">
        <f>IMPRODUCT(IMDIV(IMSUM(IMPRODUCT(M194,'Small Signal'!$B$57*'Small Signal'!$B$6*'Small Signal'!$B$50*'Small Signal'!$B$7*'Small Signal'!$B$8),'Small Signal'!$B$57*'Small Signal'!$B$6*'Small Signal'!$B$50),IMSUM(IMSUM(IMPRODUCT(M194,('Small Signal'!$B$5+'Small Signal'!$B$6)*('Small Signal'!$B$56*'Small Signal'!$B$57)+'Small Signal'!$B$5*'Small Signal'!$B$57*('Small Signal'!$B$8+'Small Signal'!$B$9)+'Small Signal'!$B$6*'Small Signal'!$B$57*('Small Signal'!$B$8+'Small Signal'!$B$9)+'Small Signal'!$B$7*'Small Signal'!$B$8*('Small Signal'!$B$5+'Small Signal'!$B$6)),'Small Signal'!$B$6+'Small Signal'!$B$5),IMPRODUCT(IMPOWER(M194,2),'Small Signal'!$B$56*'Small Signal'!$B$57*'Small Signal'!$B$8*'Small Signal'!$B$7*('Small Signal'!$B$5+'Small Signal'!$B$6)+('Small Signal'!$B$5+'Small Signal'!$B$6)*('Small Signal'!$B$9*'Small Signal'!$B$8*'Small Signal'!$B$57*'Small Signal'!$B$7)))),-1)</f>
        <v>-0.0197812872670302+0.186373734925124i</v>
      </c>
      <c r="Y194" s="233">
        <f t="shared" ref="Y194:Y212" si="103">IF(D$32=1, 20*LOG(IMABS(AA194))+20*LOG(IMABS(X194)), 0)</f>
        <v>-7.5331940377768856</v>
      </c>
      <c r="Z194" s="233">
        <f t="shared" ref="Z194:Z212" si="104">IF(D$32=1, (180/PI())*IMARGUMENT(AA194)+(180/PI())*IMARGUMENT(X194), 0)</f>
        <v>98.286021595480079</v>
      </c>
      <c r="AA194" s="233" t="str">
        <f t="shared" ref="AA194:AA212" si="105">IMDIV(COMPLEX(1,IMABS(M194)/(2*PI()*fz_cff)),COMPLEX(1,IMABS(M194)/(2*PI()*fp_cff)))</f>
        <v>2.23972541868203+0.0871165785194057i</v>
      </c>
      <c r="AB194" s="233" t="str">
        <f t="shared" ref="AB194:AB212" si="106">IMPRODUCT(AO194,X194,AA194)</f>
        <v>0.0000306387053597909-0.000125060357584061i</v>
      </c>
      <c r="AC194" s="230">
        <f t="shared" ref="AC194:AC212" si="107">20*LOG(IMABS(AB194))</f>
        <v>-77.804462970790752</v>
      </c>
      <c r="AD194" s="233">
        <f t="shared" ref="AD194:AD212" si="108">(180/PI())*IMARGUMENT(AB194)</f>
        <v>-76.234167065443543</v>
      </c>
      <c r="AE194" s="233" t="str">
        <f t="shared" ref="AE194:AE212" si="109">IMPRODUCT(U194,X194)</f>
        <v>0.0000551654298050848-0.0000106042373652928i</v>
      </c>
      <c r="AF194" s="230">
        <f t="shared" ref="AF194:AF212" si="110">20*LOG(IMABS(AE194))</f>
        <v>-85.009078001460495</v>
      </c>
      <c r="AG194" s="233">
        <f t="shared" ref="AG194:AG212" si="111">(180/PI())*IMARGUMENT(AE194)</f>
        <v>-10.881020756091621</v>
      </c>
      <c r="AI194" s="233" t="str">
        <f t="shared" ref="AI194:AI212" si="112">IMSUM(ESR_ss,IMDIV(1,IMPRODUCT(Co_ss,M194)))</f>
        <v>0.002-0.000641952624862381i</v>
      </c>
      <c r="AJ194" s="233">
        <f t="shared" ref="AJ194:AJ212" si="113">Ro</f>
        <v>0.33750000000000002</v>
      </c>
      <c r="AK194" s="233" t="str">
        <f t="shared" ref="AK194:AK212" si="114">IMSUM(ESR2_ss,IMDIV(1,IMPRODUCT(Co2_ss,M194)))</f>
        <v>0.15-0.633607240739172i</v>
      </c>
      <c r="AL194" s="233" t="str">
        <f t="shared" ref="AL194:AL212" si="115">IMDIV(1,(IMSUM(IMDIV(1,AI194),IMDIV(1,AJ194),IMDIV(1,AK194))))</f>
        <v>0.00198438344147356-0.000638808358476501i</v>
      </c>
      <c r="AM194" s="233" t="str">
        <f t="shared" ref="AM194:AM212" si="116">IMDIV(IMPRODUCT(Re,IMDIV(1,IMPRODUCT(Ce,M194))),IMSUM(Re,IMDIV(1,IMPRODUCT(Ce,M194))))</f>
        <v>0.056403618383914-0.132287408977462i</v>
      </c>
      <c r="AN194" s="233" t="str">
        <f t="shared" ref="AN194:AN212" si="117">IMSUM(Rdc_ss,IMPRODUCT(Lo_ss,M194))</f>
        <v>0.005+15.7826479197648i</v>
      </c>
      <c r="AO194" s="233" t="str">
        <f t="shared" ref="AO194:AO211" si="118">IMDIV(IMPRODUCT(AL194,AM194),IMPRODUCT(Ri,IMSUM(AM194,AL194,AN194)))</f>
        <v>-0.000305103534467011-0.000029269630007307i</v>
      </c>
      <c r="AP194" s="233">
        <f t="shared" si="93"/>
        <v>-70.271268933013829</v>
      </c>
      <c r="AQ194" s="233">
        <f t="shared" si="94"/>
        <v>-174.52018866092365</v>
      </c>
      <c r="AS194" s="233" t="str">
        <f t="shared" ref="AS194:AS212" si="119">IMDIV(IMPRODUCT(Re_vimax,IMDIV(1,IMPRODUCT(Ce,M194))),IMSUM(Re_vimax,IMDIV(1,IMPRODUCT(Ce,M194))))</f>
        <v>0.0552070724034177-0.133507480863969i</v>
      </c>
      <c r="AT194" s="233" t="str">
        <f t="shared" ref="AT194:AT212" si="120">IMDIV(IMPRODUCT(AL194,AS194),IMPRODUCT(Ri,IMSUM(AS194,AL194,AN194)))</f>
        <v>-0.000306836372985088-0.0000260308303319936i</v>
      </c>
      <c r="AU194" s="233">
        <f t="shared" si="95"/>
        <v>-70.230718179791751</v>
      </c>
      <c r="AV194" s="233">
        <f t="shared" si="96"/>
        <v>-175.15085522956923</v>
      </c>
    </row>
    <row r="195" spans="6:48" x14ac:dyDescent="0.25">
      <c r="F195" s="233">
        <v>193</v>
      </c>
      <c r="G195" s="249">
        <f t="shared" si="97"/>
        <v>91.750431472449705</v>
      </c>
      <c r="H195" s="249">
        <f t="shared" si="98"/>
        <v>89.555686225944143</v>
      </c>
      <c r="I195" s="234">
        <f t="shared" si="99"/>
        <v>0</v>
      </c>
      <c r="J195" s="233">
        <f t="shared" ref="J195:J212" si="121">IF(P195&gt;0,1,0)</f>
        <v>0</v>
      </c>
      <c r="K195" s="233">
        <f t="shared" ref="K195:K212" si="122">IF(Q195&gt;0,1,0)</f>
        <v>0</v>
      </c>
      <c r="L195" s="233">
        <f>10^('Small Signal'!F195/30)</f>
        <v>2712272.5793320318</v>
      </c>
      <c r="M195" s="233" t="str">
        <f t="shared" si="100"/>
        <v>17041711.2195251i</v>
      </c>
      <c r="N195" s="233">
        <f>IF(D$31=1, IF(AND('Small Signal'!$B$61&gt;=1,FCCM=0),V195+0,S195+0), 0)</f>
        <v>-71.576531473946019</v>
      </c>
      <c r="O195" s="233">
        <f>IF(D$31=1, IF(AND('Small Signal'!$B$61&gt;=1,FCCM=0),W195,T195), 0)</f>
        <v>-174.88434544339918</v>
      </c>
      <c r="P195" s="233">
        <f>IF(AND('Small Signal'!$B$61&gt;=1,FCCM=0),AF195+0,AC195+0)</f>
        <v>-79.766826824184875</v>
      </c>
      <c r="Q195" s="233">
        <f>IF(AND('Small Signal'!$B$61&gt;=1,FCCM=0),AG195,AD195)</f>
        <v>-77.206582231337492</v>
      </c>
      <c r="R195" s="233" t="str">
        <f>IMDIV(IMSUM('Small Signal'!$B$2*'Small Signal'!$B$38*'Small Signal'!$B$62,IMPRODUCT(M195,'Small Signal'!$B$2*'Small Signal'!$B$38*'Small Signal'!$B$62*'Small Signal'!$B$14*'Small Signal'!$B$15)),IMSUM(IMPRODUCT('Small Signal'!$B$12*'Small Signal'!$B$14*('Small Signal'!$B$15+'Small Signal'!$B$38),IMPOWER(M195,2)),IMSUM(IMPRODUCT(M195,('Small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-0.000139870602916794-0.000503353534939771i</v>
      </c>
      <c r="S195" s="233">
        <f t="shared" ref="S195:S212" si="123">AP195</f>
        <v>-71.576531473946019</v>
      </c>
      <c r="T195" s="233">
        <f t="shared" ref="T195:T212" si="124">AQ195</f>
        <v>-174.88434544339918</v>
      </c>
      <c r="U195" s="233" t="str">
        <f>IMDIV(IMSUM('Small Signal'!$B$74,IMPRODUCT(M195,'Small Signal'!$B$75)),IMSUM(IMPRODUCT('Small Signal'!$B$78,IMPOWER(M195,2)),IMSUM(IMPRODUCT(M195,'Small Signal'!$B$77),'Small Signal'!$B$76)))</f>
        <v>-0.0000749044103718525-0.000265367043658072i</v>
      </c>
      <c r="V195" s="233">
        <f t="shared" si="101"/>
        <v>-71.19013075653406</v>
      </c>
      <c r="W195" s="233">
        <f t="shared" si="102"/>
        <v>-105.76263216087898</v>
      </c>
      <c r="X195" s="233" t="str">
        <f>IMPRODUCT(IMDIV(IMSUM(IMPRODUCT(M195,'Small Signal'!$B$57*'Small Signal'!$B$6*'Small Signal'!$B$50*'Small Signal'!$B$7*'Small Signal'!$B$8),'Small Signal'!$B$57*'Small Signal'!$B$6*'Small Signal'!$B$50),IMSUM(IMSUM(IMPRODUCT(M195,('Small Signal'!$B$5+'Small Signal'!$B$6)*('Small Signal'!$B$56*'Small Signal'!$B$57)+'Small Signal'!$B$5*'Small Signal'!$B$57*('Small Signal'!$B$8+'Small Signal'!$B$9)+'Small Signal'!$B$6*'Small Signal'!$B$57*('Small Signal'!$B$8+'Small Signal'!$B$9)+'Small Signal'!$B$7*'Small Signal'!$B$8*('Small Signal'!$B$5+'Small Signal'!$B$6)),'Small Signal'!$B$6+'Small Signal'!$B$5),IMPRODUCT(IMPOWER(M195,2),'Small Signal'!$B$56*'Small Signal'!$B$57*'Small Signal'!$B$8*'Small Signal'!$B$7*('Small Signal'!$B$5+'Small Signal'!$B$6)+('Small Signal'!$B$5+'Small Signal'!$B$6)*('Small Signal'!$B$9*'Small Signal'!$B$8*'Small Signal'!$B$57*'Small Signal'!$B$7)))),-1)</f>
        <v>-0.0169942224991068+0.172883027097407i</v>
      </c>
      <c r="Y195" s="233">
        <f t="shared" si="103"/>
        <v>-8.1902953502388769</v>
      </c>
      <c r="Z195" s="233">
        <f t="shared" si="104"/>
        <v>97.677763212061734</v>
      </c>
      <c r="AA195" s="233" t="str">
        <f t="shared" si="105"/>
        <v>2.24059289584354+0.0807367495865261i</v>
      </c>
      <c r="AB195" s="233" t="str">
        <f t="shared" si="106"/>
        <v>0.000022746145206361-0.000100170796856472i</v>
      </c>
      <c r="AC195" s="230">
        <f t="shared" si="107"/>
        <v>-79.766826824184875</v>
      </c>
      <c r="AD195" s="233">
        <f t="shared" si="108"/>
        <v>-77.206582231337492</v>
      </c>
      <c r="AE195" s="233" t="str">
        <f t="shared" si="109"/>
        <v>0.0000471504000155209-8.43999462417681E-06i</v>
      </c>
      <c r="AF195" s="230">
        <f t="shared" si="110"/>
        <v>-86.393320526615454</v>
      </c>
      <c r="AG195" s="233">
        <f t="shared" si="111"/>
        <v>-10.148552384453094</v>
      </c>
      <c r="AI195" s="233" t="str">
        <f t="shared" si="112"/>
        <v>0.002-0.00059452434845649i</v>
      </c>
      <c r="AJ195" s="233">
        <f t="shared" si="113"/>
        <v>0.33750000000000002</v>
      </c>
      <c r="AK195" s="233" t="str">
        <f t="shared" si="114"/>
        <v>0.15-0.586795531926557i</v>
      </c>
      <c r="AL195" s="233" t="str">
        <f t="shared" si="115"/>
        <v>0.0019840257523643-0.000592336621666013i</v>
      </c>
      <c r="AM195" s="233" t="str">
        <f t="shared" si="116"/>
        <v>0.0494598461114929-0.12525574050787i</v>
      </c>
      <c r="AN195" s="233" t="str">
        <f t="shared" si="117"/>
        <v>0.005+17.0417112195251i</v>
      </c>
      <c r="AO195" s="233" t="str">
        <f t="shared" si="118"/>
        <v>-0.000262687897210333-0.0000235166162155128i</v>
      </c>
      <c r="AP195" s="233">
        <f t="shared" ref="AP195:AP211" si="125">20*LOG(IMABS(AO195))</f>
        <v>-71.576531473946019</v>
      </c>
      <c r="AQ195" s="233">
        <f t="shared" ref="AQ195:AQ211" si="126">(180/PI())*IMARGUMENT(AO195)</f>
        <v>-174.88434544339918</v>
      </c>
      <c r="AS195" s="233" t="str">
        <f t="shared" si="119"/>
        <v>0.048355701381161-0.126267593727955i</v>
      </c>
      <c r="AT195" s="233" t="str">
        <f t="shared" si="120"/>
        <v>-0.000263994129760132-0.0000208660394217009i</v>
      </c>
      <c r="AU195" s="233">
        <f t="shared" ref="AU195:AU212" si="127">20*LOG(IMABS(AT195))</f>
        <v>-71.541067374496436</v>
      </c>
      <c r="AV195" s="233">
        <f t="shared" ref="AV195:AV212" si="128">(180/PI())*IMARGUMENT(AT195)</f>
        <v>-175.48074926297835</v>
      </c>
    </row>
    <row r="196" spans="6:48" x14ac:dyDescent="0.25">
      <c r="F196" s="233">
        <v>194</v>
      </c>
      <c r="G196" s="249">
        <f t="shared" si="97"/>
        <v>91.201908278399515</v>
      </c>
      <c r="H196" s="249">
        <f t="shared" si="98"/>
        <v>89.168559385277973</v>
      </c>
      <c r="I196" s="234">
        <f t="shared" si="99"/>
        <v>0</v>
      </c>
      <c r="J196" s="233">
        <f t="shared" si="121"/>
        <v>0</v>
      </c>
      <c r="K196" s="233">
        <f t="shared" si="122"/>
        <v>0</v>
      </c>
      <c r="L196" s="233">
        <f>10^('Small Signal'!F196/30)</f>
        <v>2928644.5646252413</v>
      </c>
      <c r="M196" s="233" t="str">
        <f t="shared" si="100"/>
        <v>18401216.4984047i</v>
      </c>
      <c r="N196" s="233">
        <f>IF(D$31=1, IF(AND('Small Signal'!$B$61&gt;=1,FCCM=0),V196+0,S196+0), 0)</f>
        <v>-72.885263149028376</v>
      </c>
      <c r="O196" s="233">
        <f>IF(D$31=1, IF(AND('Small Signal'!$B$61&gt;=1,FCCM=0),W196,T196), 0)</f>
        <v>-175.23436333063398</v>
      </c>
      <c r="P196" s="233">
        <f>IF(AND('Small Signal'!$B$61&gt;=1,FCCM=0),AF196+0,AC196+0)</f>
        <v>-81.734010023618993</v>
      </c>
      <c r="Q196" s="233">
        <f>IF(AND('Small Signal'!$B$61&gt;=1,FCCM=0),AG196,AD196)</f>
        <v>-78.12072144392026</v>
      </c>
      <c r="R196" s="233" t="str">
        <f>IMDIV(IMSUM('Small Signal'!$B$2*'Small Signal'!$B$38*'Small Signal'!$B$62,IMPRODUCT(M196,'Small Signal'!$B$2*'Small Signal'!$B$38*'Small Signal'!$B$62*'Small Signal'!$B$14*'Small Signal'!$B$15)),IMSUM(IMPRODUCT('Small Signal'!$B$12*'Small Signal'!$B$14*('Small Signal'!$B$15+'Small Signal'!$B$38),IMPOWER(M196,2)),IMSUM(IMPRODUCT(M196,('Small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-0.000119970912037387-0.000465830982767828i</v>
      </c>
      <c r="S196" s="233">
        <f t="shared" si="123"/>
        <v>-72.885263149028376</v>
      </c>
      <c r="T196" s="233">
        <f t="shared" si="124"/>
        <v>-175.23436333063398</v>
      </c>
      <c r="U196" s="233" t="str">
        <f>IMDIV(IMSUM('Small Signal'!$B$74,IMPRODUCT(M196,'Small Signal'!$B$75)),IMSUM(IMPRODUCT('Small Signal'!$B$78,IMPOWER(M196,2)),IMSUM(IMPRODUCT(M196,'Small Signal'!$B$77),'Small Signal'!$B$76)))</f>
        <v>-0.0000642465490666685-0.00024562320726291i</v>
      </c>
      <c r="V196" s="233">
        <f t="shared" si="101"/>
        <v>-71.907206202403799</v>
      </c>
      <c r="W196" s="233">
        <f t="shared" si="102"/>
        <v>-104.65819937575746</v>
      </c>
      <c r="X196" s="233" t="str">
        <f>IMPRODUCT(IMDIV(IMSUM(IMPRODUCT(M196,'Small Signal'!$B$57*'Small Signal'!$B$6*'Small Signal'!$B$50*'Small Signal'!$B$7*'Small Signal'!$B$8),'Small Signal'!$B$57*'Small Signal'!$B$6*'Small Signal'!$B$50),IMSUM(IMSUM(IMPRODUCT(M196,('Small Signal'!$B$5+'Small Signal'!$B$6)*('Small Signal'!$B$56*'Small Signal'!$B$57)+'Small Signal'!$B$5*'Small Signal'!$B$57*('Small Signal'!$B$8+'Small Signal'!$B$9)+'Small Signal'!$B$6*'Small Signal'!$B$57*('Small Signal'!$B$8+'Small Signal'!$B$9)+'Small Signal'!$B$7*'Small Signal'!$B$8*('Small Signal'!$B$5+'Small Signal'!$B$6)),'Small Signal'!$B$6+'Small Signal'!$B$5),IMPRODUCT(IMPOWER(M196,2),'Small Signal'!$B$56*'Small Signal'!$B$57*'Small Signal'!$B$8*'Small Signal'!$B$7*('Small Signal'!$B$5+'Small Signal'!$B$6)+('Small Signal'!$B$5+'Small Signal'!$B$6)*('Small Signal'!$B$9*'Small Signal'!$B$8*'Small Signal'!$B$57*'Small Signal'!$B$7)))),-1)</f>
        <v>-0.0145964573635704+0.160332361740695i</v>
      </c>
      <c r="Y196" s="233">
        <f t="shared" si="103"/>
        <v>-8.8487468745906277</v>
      </c>
      <c r="Z196" s="233">
        <f t="shared" si="104"/>
        <v>97.113641886713751</v>
      </c>
      <c r="AA196" s="233" t="str">
        <f t="shared" si="105"/>
        <v>2.24133789518836+0.0748167177207083i</v>
      </c>
      <c r="AB196" s="233" t="str">
        <f t="shared" si="106"/>
        <v>0.0000168597439780898-0.0000801488667326849i</v>
      </c>
      <c r="AC196" s="230">
        <f t="shared" si="107"/>
        <v>-81.734010023618993</v>
      </c>
      <c r="AD196" s="233">
        <f t="shared" si="108"/>
        <v>-78.12072144392026</v>
      </c>
      <c r="AE196" s="233" t="str">
        <f t="shared" si="109"/>
        <v>0.0000403191209329947-6.71557227323192E-06i</v>
      </c>
      <c r="AF196" s="230">
        <f t="shared" si="110"/>
        <v>-87.770936188770307</v>
      </c>
      <c r="AG196" s="233">
        <f t="shared" si="111"/>
        <v>-9.4564026820549678</v>
      </c>
      <c r="AI196" s="233" t="str">
        <f t="shared" si="112"/>
        <v>0.002-0.000550600133434125i</v>
      </c>
      <c r="AJ196" s="233">
        <f t="shared" si="113"/>
        <v>0.33750000000000002</v>
      </c>
      <c r="AK196" s="233" t="str">
        <f t="shared" si="114"/>
        <v>0.15-0.543442331699481i</v>
      </c>
      <c r="AL196" s="233" t="str">
        <f t="shared" si="115"/>
        <v>0.00198366540812184-0.000549341003665085i</v>
      </c>
      <c r="AM196" s="233" t="str">
        <f t="shared" si="116"/>
        <v>0.0432517447178385-0.118271973189215i</v>
      </c>
      <c r="AN196" s="233" t="str">
        <f t="shared" si="117"/>
        <v>0.005+18.4012164984047i</v>
      </c>
      <c r="AO196" s="233" t="str">
        <f t="shared" si="118"/>
        <v>-0.000226064738786109-0.0000188466542531124i</v>
      </c>
      <c r="AP196" s="233">
        <f t="shared" si="125"/>
        <v>-72.885263149028376</v>
      </c>
      <c r="AQ196" s="233">
        <f t="shared" si="126"/>
        <v>-175.23436333063398</v>
      </c>
      <c r="AS196" s="233" t="str">
        <f t="shared" si="119"/>
        <v>0.0422433564589186-0.119106638669722i</v>
      </c>
      <c r="AT196" s="233" t="str">
        <f t="shared" si="120"/>
        <v>-0.000227046166894932-0.0000166857308662626i</v>
      </c>
      <c r="AU196" s="233">
        <f t="shared" si="127"/>
        <v>-72.854324032653665</v>
      </c>
      <c r="AV196" s="233">
        <f t="shared" si="128"/>
        <v>-175.79686186639256</v>
      </c>
    </row>
    <row r="197" spans="6:48" x14ac:dyDescent="0.25">
      <c r="F197" s="233">
        <v>195</v>
      </c>
      <c r="G197" s="249">
        <f t="shared" si="97"/>
        <v>90.693356529250622</v>
      </c>
      <c r="H197" s="249">
        <f t="shared" si="98"/>
        <v>88.809634455144987</v>
      </c>
      <c r="I197" s="234">
        <f t="shared" si="99"/>
        <v>0</v>
      </c>
      <c r="J197" s="233">
        <f t="shared" si="121"/>
        <v>0</v>
      </c>
      <c r="K197" s="233">
        <f t="shared" si="122"/>
        <v>0</v>
      </c>
      <c r="L197" s="233">
        <f>10^('Small Signal'!F197/30)</f>
        <v>3162277.6601683851</v>
      </c>
      <c r="M197" s="233" t="str">
        <f t="shared" si="100"/>
        <v>19869176.5315922i</v>
      </c>
      <c r="N197" s="233">
        <f>IF(D$31=1, IF(AND('Small Signal'!$B$61&gt;=1,FCCM=0),V197+0,S197+0), 0)</f>
        <v>-74.197182921101259</v>
      </c>
      <c r="O197" s="233">
        <f>IF(D$31=1, IF(AND('Small Signal'!$B$61&gt;=1,FCCM=0),W197,T197), 0)</f>
        <v>-175.56940475224468</v>
      </c>
      <c r="P197" s="233">
        <f>IF(AND('Small Signal'!$B$61&gt;=1,FCCM=0),AF197+0,AC197+0)</f>
        <v>-83.705542272076784</v>
      </c>
      <c r="Q197" s="233">
        <f>IF(AND('Small Signal'!$B$61&gt;=1,FCCM=0),AG197,AD197)</f>
        <v>-78.978844731470176</v>
      </c>
      <c r="R197" s="233" t="str">
        <f>IMDIV(IMSUM('Small Signal'!$B$2*'Small Signal'!$B$38*'Small Signal'!$B$62,IMPRODUCT(M197,'Small Signal'!$B$2*'Small Signal'!$B$38*'Small Signal'!$B$62*'Small Signal'!$B$14*'Small Signal'!$B$15)),IMSUM(IMPRODUCT('Small Signal'!$B$12*'Small Signal'!$B$14*('Small Signal'!$B$15+'Small Signal'!$B$38),IMPOWER(M197,2)),IMSUM(IMPRODUCT(M197,('Small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-0.000102901847374655-0.000431149356533292i</v>
      </c>
      <c r="S197" s="233">
        <f t="shared" si="123"/>
        <v>-74.197182921101259</v>
      </c>
      <c r="T197" s="233">
        <f t="shared" si="124"/>
        <v>-175.56940475224468</v>
      </c>
      <c r="U197" s="233" t="str">
        <f>IMDIV(IMSUM('Small Signal'!$B$74,IMPRODUCT(M197,'Small Signal'!$B$75)),IMSUM(IMPRODUCT('Small Signal'!$B$78,IMPOWER(M197,2)),IMSUM(IMPRODUCT(M197,'Small Signal'!$B$77),'Small Signal'!$B$76)))</f>
        <v>-0.0000551049899934024-0.000227366487826719i</v>
      </c>
      <c r="V197" s="233">
        <f t="shared" si="101"/>
        <v>-72.617580492280624</v>
      </c>
      <c r="W197" s="233">
        <f t="shared" si="102"/>
        <v>-103.62362493395798</v>
      </c>
      <c r="X197" s="233" t="str">
        <f>IMPRODUCT(IMDIV(IMSUM(IMPRODUCT(M197,'Small Signal'!$B$57*'Small Signal'!$B$6*'Small Signal'!$B$50*'Small Signal'!$B$7*'Small Signal'!$B$8),'Small Signal'!$B$57*'Small Signal'!$B$6*'Small Signal'!$B$50),IMSUM(IMSUM(IMPRODUCT(M197,('Small Signal'!$B$5+'Small Signal'!$B$6)*('Small Signal'!$B$56*'Small Signal'!$B$57)+'Small Signal'!$B$5*'Small Signal'!$B$57*('Small Signal'!$B$8+'Small Signal'!$B$9)+'Small Signal'!$B$6*'Small Signal'!$B$57*('Small Signal'!$B$8+'Small Signal'!$B$9)+'Small Signal'!$B$7*'Small Signal'!$B$8*('Small Signal'!$B$5+'Small Signal'!$B$6)),'Small Signal'!$B$6+'Small Signal'!$B$5),IMPRODUCT(IMPOWER(M197,2),'Small Signal'!$B$56*'Small Signal'!$B$57*'Small Signal'!$B$8*'Small Signal'!$B$7*('Small Signal'!$B$5+'Small Signal'!$B$6)+('Small Signal'!$B$5+'Small Signal'!$B$6)*('Small Signal'!$B$9*'Small Signal'!$B$8*'Small Signal'!$B$57*'Small Signal'!$B$7)))),-1)</f>
        <v>-0.0125345026845582+0.148663728454741i</v>
      </c>
      <c r="Y197" s="233">
        <f t="shared" si="103"/>
        <v>-9.5083593509755318</v>
      </c>
      <c r="Z197" s="233">
        <f t="shared" si="104"/>
        <v>96.590560020774475</v>
      </c>
      <c r="AA197" s="233" t="str">
        <f t="shared" si="105"/>
        <v>2.24197759127558+0.0693248700994084i</v>
      </c>
      <c r="AB197" s="233" t="str">
        <f t="shared" si="106"/>
        <v>0.0000124780255307177-0.0000640675715304229i</v>
      </c>
      <c r="AC197" s="230">
        <f t="shared" si="107"/>
        <v>-83.705542272076784</v>
      </c>
      <c r="AD197" s="233">
        <f t="shared" si="108"/>
        <v>-78.978844731470176</v>
      </c>
      <c r="AE197" s="233" t="str">
        <f t="shared" si="109"/>
        <v>0.0000344918634509844-5.34218741683782E-06i</v>
      </c>
      <c r="AF197" s="230">
        <f t="shared" si="110"/>
        <v>-89.142715615850747</v>
      </c>
      <c r="AG197" s="233">
        <f t="shared" si="111"/>
        <v>-8.8041607947074283</v>
      </c>
      <c r="AI197" s="233" t="str">
        <f t="shared" si="112"/>
        <v>0.002-0.000509921095283557i</v>
      </c>
      <c r="AJ197" s="233">
        <f t="shared" si="113"/>
        <v>0.33750000000000002</v>
      </c>
      <c r="AK197" s="233" t="str">
        <f t="shared" si="114"/>
        <v>0.15-0.50329212104487i</v>
      </c>
      <c r="AL197" s="233" t="str">
        <f t="shared" si="115"/>
        <v>0.00198329582329915-0.00050956481607559i</v>
      </c>
      <c r="AM197" s="233" t="str">
        <f t="shared" si="116"/>
        <v>0.0377301864599014-0.111403926015491i</v>
      </c>
      <c r="AN197" s="233" t="str">
        <f t="shared" si="117"/>
        <v>0.005+19.8691765315922i</v>
      </c>
      <c r="AO197" s="233" t="str">
        <f t="shared" si="118"/>
        <v>-0.000194464837012767-0.000015067714682895i</v>
      </c>
      <c r="AP197" s="233">
        <f t="shared" si="125"/>
        <v>-74.197182921101259</v>
      </c>
      <c r="AQ197" s="233">
        <f t="shared" si="126"/>
        <v>-175.56940475224468</v>
      </c>
      <c r="AS197" s="233" t="str">
        <f t="shared" si="119"/>
        <v>0.0368173603106817-0.112089138608979i</v>
      </c>
      <c r="AT197" s="233" t="str">
        <f t="shared" si="120"/>
        <v>-0.000195200048898256-0.0000133119441323324i</v>
      </c>
      <c r="AU197" s="233">
        <f t="shared" si="127"/>
        <v>-74.170250423431568</v>
      </c>
      <c r="AV197" s="233">
        <f t="shared" si="128"/>
        <v>-176.09867362002839</v>
      </c>
    </row>
    <row r="198" spans="6:48" x14ac:dyDescent="0.25">
      <c r="F198" s="233">
        <v>196</v>
      </c>
      <c r="G198" s="249">
        <f t="shared" si="97"/>
        <v>90.221936242255723</v>
      </c>
      <c r="H198" s="249">
        <f t="shared" si="98"/>
        <v>88.476909352206945</v>
      </c>
      <c r="I198" s="234">
        <f t="shared" si="99"/>
        <v>0</v>
      </c>
      <c r="J198" s="233">
        <f t="shared" si="121"/>
        <v>0</v>
      </c>
      <c r="K198" s="233">
        <f t="shared" si="122"/>
        <v>0</v>
      </c>
      <c r="L198" s="233">
        <f>10^('Small Signal'!F198/30)</f>
        <v>3414548.8738336028</v>
      </c>
      <c r="M198" s="233" t="str">
        <f t="shared" si="100"/>
        <v>21454243.3147179i</v>
      </c>
      <c r="N198" s="233">
        <f>IF(D$31=1, IF(AND('Small Signal'!$B$61&gt;=1,FCCM=0),V198+0,S198+0), 0)</f>
        <v>-75.512013668829226</v>
      </c>
      <c r="O198" s="233">
        <f>IF(D$31=1, IF(AND('Small Signal'!$B$61&gt;=1,FCCM=0),W198,T198), 0)</f>
        <v>-175.88893523075282</v>
      </c>
      <c r="P198" s="233">
        <f>IF(AND('Small Signal'!$B$61&gt;=1,FCCM=0),AF198+0,AC198+0)</f>
        <v>-85.680983366980783</v>
      </c>
      <c r="Q198" s="233">
        <f>IF(AND('Small Signal'!$B$61&gt;=1,FCCM=0),AG198,AD198)</f>
        <v>-79.783319437398191</v>
      </c>
      <c r="R198" s="233" t="str">
        <f>IMDIV(IMSUM('Small Signal'!$B$2*'Small Signal'!$B$38*'Small Signal'!$B$62,IMPRODUCT(M198,'Small Signal'!$B$2*'Small Signal'!$B$38*'Small Signal'!$B$62*'Small Signal'!$B$14*'Small Signal'!$B$15)),IMSUM(IMPRODUCT('Small Signal'!$B$12*'Small Signal'!$B$14*('Small Signal'!$B$15+'Small Signal'!$B$38),IMPOWER(M198,2)),IMSUM(IMPRODUCT(M198,('Small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-0.0000882609114661572-0.000399084637262297i</v>
      </c>
      <c r="S198" s="233">
        <f t="shared" si="123"/>
        <v>-75.512013668829226</v>
      </c>
      <c r="T198" s="233">
        <f t="shared" si="124"/>
        <v>-175.88893523075282</v>
      </c>
      <c r="U198" s="233" t="str">
        <f>IMDIV(IMSUM('Small Signal'!$B$74,IMPRODUCT(M198,'Small Signal'!$B$75)),IMSUM(IMPRODUCT('Small Signal'!$B$78,IMPOWER(M198,2)),IMSUM(IMPRODUCT(M198,'Small Signal'!$B$77),'Small Signal'!$B$76)))</f>
        <v>-0.0000472640510025416-0.000210481171549632i</v>
      </c>
      <c r="V198" s="233">
        <f t="shared" si="101"/>
        <v>-73.322089511939126</v>
      </c>
      <c r="W198" s="233">
        <f t="shared" si="102"/>
        <v>-102.65597099345828</v>
      </c>
      <c r="X198" s="233" t="str">
        <f>IMPRODUCT(IMDIV(IMSUM(IMPRODUCT(M198,'Small Signal'!$B$57*'Small Signal'!$B$6*'Small Signal'!$B$50*'Small Signal'!$B$7*'Small Signal'!$B$8),'Small Signal'!$B$57*'Small Signal'!$B$6*'Small Signal'!$B$50),IMSUM(IMSUM(IMPRODUCT(M198,('Small Signal'!$B$5+'Small Signal'!$B$6)*('Small Signal'!$B$56*'Small Signal'!$B$57)+'Small Signal'!$B$5*'Small Signal'!$B$57*('Small Signal'!$B$8+'Small Signal'!$B$9)+'Small Signal'!$B$6*'Small Signal'!$B$57*('Small Signal'!$B$8+'Small Signal'!$B$9)+'Small Signal'!$B$7*'Small Signal'!$B$8*('Small Signal'!$B$5+'Small Signal'!$B$6)),'Small Signal'!$B$6+'Small Signal'!$B$5),IMPRODUCT(IMPOWER(M198,2),'Small Signal'!$B$56*'Small Signal'!$B$57*'Small Signal'!$B$8*'Small Signal'!$B$7*('Small Signal'!$B$5+'Small Signal'!$B$6)+('Small Signal'!$B$5+'Small Signal'!$B$6)*('Small Signal'!$B$9*'Small Signal'!$B$8*'Small Signal'!$B$57*'Small Signal'!$B$7)))),-1)</f>
        <v>-0.0107619845634774+0.137821116964938i</v>
      </c>
      <c r="Y198" s="233">
        <f t="shared" si="103"/>
        <v>-10.168969698151571</v>
      </c>
      <c r="Z198" s="233">
        <f t="shared" si="104"/>
        <v>96.105615793354644</v>
      </c>
      <c r="AA198" s="233" t="str">
        <f t="shared" si="105"/>
        <v>2.2425267814673+0.0642314504817277i</v>
      </c>
      <c r="AB198" s="233" t="str">
        <f t="shared" si="106"/>
        <v>9.22219049205953E-06-0.0000511693011716986i</v>
      </c>
      <c r="AC198" s="230">
        <f t="shared" si="107"/>
        <v>-85.680983366980783</v>
      </c>
      <c r="AD198" s="233">
        <f t="shared" si="108"/>
        <v>-79.783319437398191</v>
      </c>
      <c r="AE198" s="233" t="str">
        <f t="shared" si="109"/>
        <v>0.0000295174051503558-0.0000042487891823383i</v>
      </c>
      <c r="AF198" s="230">
        <f t="shared" si="110"/>
        <v>-90.509373422993576</v>
      </c>
      <c r="AG198" s="233">
        <f t="shared" si="111"/>
        <v>-8.1909978685466758</v>
      </c>
      <c r="AI198" s="233" t="str">
        <f t="shared" si="112"/>
        <v>0.002-0.000472247476210048i</v>
      </c>
      <c r="AJ198" s="233">
        <f t="shared" si="113"/>
        <v>0.33750000000000002</v>
      </c>
      <c r="AK198" s="233" t="str">
        <f t="shared" si="114"/>
        <v>0.15-0.466108259019318i</v>
      </c>
      <c r="AL198" s="233" t="str">
        <f t="shared" si="115"/>
        <v>0.00198291077003761-0.000472769722684234i</v>
      </c>
      <c r="AM198" s="233" t="str">
        <f t="shared" si="116"/>
        <v>0.0328419360485155-0.104706496715219i</v>
      </c>
      <c r="AN198" s="233" t="str">
        <f t="shared" si="117"/>
        <v>0.005+21.4542433147179i</v>
      </c>
      <c r="AO198" s="233" t="str">
        <f t="shared" si="118"/>
        <v>-0.000167216996333033-0.0000120187220962612i</v>
      </c>
      <c r="AP198" s="233">
        <f t="shared" si="125"/>
        <v>-75.512013668829226</v>
      </c>
      <c r="AQ198" s="233">
        <f t="shared" si="126"/>
        <v>-175.88893523075282</v>
      </c>
      <c r="AS198" s="233" t="str">
        <f t="shared" si="119"/>
        <v>0.032021856534113-0.105266631223215i</v>
      </c>
      <c r="AT198" s="233" t="str">
        <f t="shared" si="120"/>
        <v>-0.000167766299704147-0.0000105964060406186i</v>
      </c>
      <c r="AU198" s="233">
        <f t="shared" si="127"/>
        <v>-75.488614203520456</v>
      </c>
      <c r="AV198" s="233">
        <f t="shared" si="128"/>
        <v>-176.38590163001643</v>
      </c>
    </row>
    <row r="199" spans="6:48" x14ac:dyDescent="0.25">
      <c r="F199" s="233">
        <v>197</v>
      </c>
      <c r="G199" s="249">
        <f t="shared" si="97"/>
        <v>89.784994240597328</v>
      </c>
      <c r="H199" s="249">
        <f t="shared" si="98"/>
        <v>88.168513354018231</v>
      </c>
      <c r="I199" s="234">
        <f t="shared" si="99"/>
        <v>0</v>
      </c>
      <c r="J199" s="233">
        <f t="shared" si="121"/>
        <v>0</v>
      </c>
      <c r="K199" s="233">
        <f t="shared" si="122"/>
        <v>0</v>
      </c>
      <c r="L199" s="233">
        <f>10^('Small Signal'!F199/30)</f>
        <v>3686945.0645195777</v>
      </c>
      <c r="M199" s="233" t="str">
        <f t="shared" si="100"/>
        <v>23165759.0577677i</v>
      </c>
      <c r="N199" s="233">
        <f>IF(D$31=1, IF(AND('Small Signal'!$B$61&gt;=1,FCCM=0),V199+0,S199+0), 0)</f>
        <v>-76.829488863106462</v>
      </c>
      <c r="O199" s="233">
        <f>IF(D$31=1, IF(AND('Small Signal'!$B$61&gt;=1,FCCM=0),W199,T199), 0)</f>
        <v>-176.19267732902676</v>
      </c>
      <c r="P199" s="233">
        <f>IF(AND('Small Signal'!$B$61&gt;=1,FCCM=0),AF199+0,AC199+0)</f>
        <v>-87.65992634772627</v>
      </c>
      <c r="Q199" s="233">
        <f>IF(AND('Small Signal'!$B$61&gt;=1,FCCM=0),AG199,AD199)</f>
        <v>-80.536581989926034</v>
      </c>
      <c r="R199" s="233" t="str">
        <f>IMDIV(IMSUM('Small Signal'!$B$2*'Small Signal'!$B$38*'Small Signal'!$B$62,IMPRODUCT(M199,'Small Signal'!$B$2*'Small Signal'!$B$38*'Small Signal'!$B$62*'Small Signal'!$B$14*'Small Signal'!$B$15)),IMSUM(IMPRODUCT('Small Signal'!$B$12*'Small Signal'!$B$14*('Small Signal'!$B$15+'Small Signal'!$B$38),IMPOWER(M199,2)),IMSUM(IMPRODUCT(M199,('Small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-0.0000757028013627122-0.000369432261072346i</v>
      </c>
      <c r="S199" s="233">
        <f t="shared" si="123"/>
        <v>-76.829488863106462</v>
      </c>
      <c r="T199" s="233">
        <f t="shared" si="124"/>
        <v>-176.19267732902676</v>
      </c>
      <c r="U199" s="233" t="str">
        <f>IMDIV(IMSUM('Small Signal'!$B$74,IMPRODUCT(M199,'Small Signal'!$B$75)),IMSUM(IMPRODUCT('Small Signal'!$B$78,IMPOWER(M199,2)),IMSUM(IMPRODUCT(M199,'Small Signal'!$B$77),'Small Signal'!$B$76)))</f>
        <v>-0.0000405387175848803-0.000194861295309772i</v>
      </c>
      <c r="V199" s="233">
        <f t="shared" si="101"/>
        <v>-74.021478818998801</v>
      </c>
      <c r="W199" s="233">
        <f t="shared" si="102"/>
        <v>-101.75211656656074</v>
      </c>
      <c r="X199" s="233" t="str">
        <f>IMPRODUCT(IMDIV(IMSUM(IMPRODUCT(M199,'Small Signal'!$B$57*'Small Signal'!$B$6*'Small Signal'!$B$50*'Small Signal'!$B$7*'Small Signal'!$B$8),'Small Signal'!$B$57*'Small Signal'!$B$6*'Small Signal'!$B$50),IMSUM(IMSUM(IMPRODUCT(M199,('Small Signal'!$B$5+'Small Signal'!$B$6)*('Small Signal'!$B$56*'Small Signal'!$B$57)+'Small Signal'!$B$5*'Small Signal'!$B$57*('Small Signal'!$B$8+'Small Signal'!$B$9)+'Small Signal'!$B$6*'Small Signal'!$B$57*('Small Signal'!$B$8+'Small Signal'!$B$9)+'Small Signal'!$B$7*'Small Signal'!$B$8*('Small Signal'!$B$5+'Small Signal'!$B$6)),'Small Signal'!$B$6+'Small Signal'!$B$5),IMPRODUCT(IMPOWER(M199,2),'Small Signal'!$B$56*'Small Signal'!$B$57*'Small Signal'!$B$8*'Small Signal'!$B$7*('Small Signal'!$B$5+'Small Signal'!$B$6)+('Small Signal'!$B$5+'Small Signal'!$B$6)*('Small Signal'!$B$9*'Small Signal'!$B$8*'Small Signal'!$B$57*'Small Signal'!$B$7)))),-1)</f>
        <v>-0.00923876001913951+0.127750818332671i</v>
      </c>
      <c r="Y199" s="233">
        <f t="shared" si="103"/>
        <v>-10.830437484619804</v>
      </c>
      <c r="Z199" s="233">
        <f t="shared" si="104"/>
        <v>95.65609533910073</v>
      </c>
      <c r="AA199" s="233" t="str">
        <f t="shared" si="105"/>
        <v>2.24299820672563+0.0595085187024936i</v>
      </c>
      <c r="AB199" s="233" t="str">
        <f t="shared" si="106"/>
        <v>6.80695146265935E-06-0.0000408368924705277i</v>
      </c>
      <c r="AC199" s="230">
        <f t="shared" si="107"/>
        <v>-87.65992634772627</v>
      </c>
      <c r="AD199" s="233">
        <f t="shared" si="108"/>
        <v>-80.536581989926034</v>
      </c>
      <c r="AE199" s="233" t="str">
        <f t="shared" si="109"/>
        <v>0.000025268217420438-3.37857760123984E-06i</v>
      </c>
      <c r="AF199" s="230">
        <f t="shared" si="110"/>
        <v>-91.871550680248944</v>
      </c>
      <c r="AG199" s="233">
        <f t="shared" si="111"/>
        <v>-7.6157671242024323</v>
      </c>
      <c r="AI199" s="233" t="str">
        <f t="shared" si="112"/>
        <v>0.002-0.000437357232029683i</v>
      </c>
      <c r="AJ199" s="233">
        <f t="shared" si="113"/>
        <v>0.33750000000000002</v>
      </c>
      <c r="AK199" s="233" t="str">
        <f t="shared" si="114"/>
        <v>0.15-0.431671588013297i</v>
      </c>
      <c r="AL199" s="233" t="str">
        <f t="shared" si="115"/>
        <v>0.00198250438141675-0.000438734261665413i</v>
      </c>
      <c r="AM199" s="233" t="str">
        <f t="shared" si="116"/>
        <v>0.028532064231081-0.0982225951369805i</v>
      </c>
      <c r="AN199" s="233" t="str">
        <f t="shared" si="117"/>
        <v>0.005+23.1657590577677i</v>
      </c>
      <c r="AO199" s="233" t="str">
        <f t="shared" si="118"/>
        <v>-0.000143736149111365-9.56539584698264E-06i</v>
      </c>
      <c r="AP199" s="233">
        <f t="shared" si="125"/>
        <v>-76.829488863106462</v>
      </c>
      <c r="AQ199" s="233">
        <f t="shared" si="126"/>
        <v>-176.19267732902676</v>
      </c>
      <c r="AS199" s="233" t="str">
        <f t="shared" si="119"/>
        <v>0.0278000879301609-0.0986787683362058i</v>
      </c>
      <c r="AT199" s="233" t="str">
        <f t="shared" si="120"/>
        <v>-0.000144145575744565-8.41623993015003E-06i</v>
      </c>
      <c r="AU199" s="233">
        <f t="shared" si="127"/>
        <v>-76.809193512789932</v>
      </c>
      <c r="AV199" s="233">
        <f t="shared" si="128"/>
        <v>-176.6584601874151</v>
      </c>
    </row>
    <row r="200" spans="6:48" x14ac:dyDescent="0.25">
      <c r="F200" s="233">
        <v>198</v>
      </c>
      <c r="G200" s="249">
        <f t="shared" si="97"/>
        <v>89.380055004009805</v>
      </c>
      <c r="H200" s="249">
        <f t="shared" si="98"/>
        <v>87.882700732964494</v>
      </c>
      <c r="I200" s="234">
        <f t="shared" si="99"/>
        <v>0</v>
      </c>
      <c r="J200" s="233">
        <f t="shared" si="121"/>
        <v>0</v>
      </c>
      <c r="K200" s="233">
        <f t="shared" si="122"/>
        <v>0</v>
      </c>
      <c r="L200" s="233">
        <f>10^('Small Signal'!F200/30)</f>
        <v>3981071.705534976</v>
      </c>
      <c r="M200" s="233" t="str">
        <f t="shared" si="100"/>
        <v>25013811.2470457i</v>
      </c>
      <c r="N200" s="233">
        <f>IF(D$31=1, IF(AND('Small Signal'!$B$61&gt;=1,FCCM=0),V200+0,S200+0), 0)</f>
        <v>-78.149357003856522</v>
      </c>
      <c r="O200" s="233">
        <f>IF(D$31=1, IF(AND('Small Signal'!$B$61&gt;=1,FCCM=0),W200,T200), 0)</f>
        <v>-176.48056389486837</v>
      </c>
      <c r="P200" s="233">
        <f>IF(AND('Small Signal'!$B$61&gt;=1,FCCM=0),AF200+0,AC200+0)</f>
        <v>-89.641998854883468</v>
      </c>
      <c r="Q200" s="233">
        <f>IF(AND('Small Signal'!$B$61&gt;=1,FCCM=0),AG200,AD200)</f>
        <v>-81.241099706507299</v>
      </c>
      <c r="R200" s="233" t="str">
        <f>IMDIV(IMSUM('Small Signal'!$B$2*'Small Signal'!$B$38*'Small Signal'!$B$62,IMPRODUCT(M200,'Small Signal'!$B$2*'Small Signal'!$B$38*'Small Signal'!$B$62*'Small Signal'!$B$14*'Small Signal'!$B$15)),IMSUM(IMPRODUCT('Small Signal'!$B$12*'Small Signal'!$B$14*('Small Signal'!$B$15+'Small Signal'!$B$38),IMPOWER(M200,2)),IMSUM(IMPRODUCT(M200,('Small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-0.0000649312914232299-0.000342005084920585i</v>
      </c>
      <c r="S200" s="233">
        <f t="shared" si="123"/>
        <v>-78.149357003856522</v>
      </c>
      <c r="T200" s="233">
        <f t="shared" si="124"/>
        <v>-176.48056389486837</v>
      </c>
      <c r="U200" s="233" t="str">
        <f>IMDIV(IMSUM('Small Signal'!$B$74,IMPRODUCT(M200,'Small Signal'!$B$75)),IMSUM(IMPRODUCT('Small Signal'!$B$78,IMPOWER(M200,2)),IMSUM(IMPRODUCT(M200,'Small Signal'!$B$77),'Small Signal'!$B$76)))</f>
        <v>-0.0000347702852992477-0.00018040967922905i</v>
      </c>
      <c r="V200" s="233">
        <f t="shared" si="101"/>
        <v>-74.716409795229353</v>
      </c>
      <c r="W200" s="233">
        <f t="shared" si="102"/>
        <v>-100.90883664640749</v>
      </c>
      <c r="X200" s="233" t="str">
        <f>IMPRODUCT(IMDIV(IMSUM(IMPRODUCT(M200,'Small Signal'!$B$57*'Small Signal'!$B$6*'Small Signal'!$B$50*'Small Signal'!$B$7*'Small Signal'!$B$8),'Small Signal'!$B$57*'Small Signal'!$B$6*'Small Signal'!$B$50),IMSUM(IMSUM(IMPRODUCT(M200,('Small Signal'!$B$5+'Small Signal'!$B$6)*('Small Signal'!$B$56*'Small Signal'!$B$57)+'Small Signal'!$B$5*'Small Signal'!$B$57*('Small Signal'!$B$8+'Small Signal'!$B$9)+'Small Signal'!$B$6*'Small Signal'!$B$57*('Small Signal'!$B$8+'Small Signal'!$B$9)+'Small Signal'!$B$7*'Small Signal'!$B$8*('Small Signal'!$B$5+'Small Signal'!$B$6)),'Small Signal'!$B$6+'Small Signal'!$B$5),IMPRODUCT(IMPOWER(M200,2),'Small Signal'!$B$56*'Small Signal'!$B$57*'Small Signal'!$B$8*'Small Signal'!$B$7*('Small Signal'!$B$5+'Small Signal'!$B$6)+('Small Signal'!$B$5+'Small Signal'!$B$6)*('Small Signal'!$B$9*'Small Signal'!$B$8*'Small Signal'!$B$57*'Small Signal'!$B$7)))),-1)</f>
        <v>-0.00793012570842274+0.118401618166433i</v>
      </c>
      <c r="Y200" s="233">
        <f t="shared" si="103"/>
        <v>-11.492641851026958</v>
      </c>
      <c r="Z200" s="233">
        <f t="shared" si="104"/>
        <v>95.239464188361055</v>
      </c>
      <c r="AA200" s="233" t="str">
        <f t="shared" si="105"/>
        <v>2.24340283131783+0.0551298938659265i</v>
      </c>
      <c r="AB200" s="233" t="str">
        <f t="shared" si="106"/>
        <v>5.01804012314121E-06-0.0000325690801369064i</v>
      </c>
      <c r="AC200" s="230">
        <f t="shared" si="107"/>
        <v>-89.641998854883468</v>
      </c>
      <c r="AD200" s="233">
        <f t="shared" si="108"/>
        <v>-81.241099706507299</v>
      </c>
      <c r="AE200" s="233" t="str">
        <f t="shared" si="109"/>
        <v>0.0000216365306869474-2.68618660823688E-06i</v>
      </c>
      <c r="AF200" s="230">
        <f t="shared" si="110"/>
        <v>-93.229818800288058</v>
      </c>
      <c r="AG200" s="233">
        <f t="shared" si="111"/>
        <v>-7.0770887134729596</v>
      </c>
      <c r="AI200" s="233" t="str">
        <f t="shared" si="112"/>
        <v>0.002-0.00040504472346526i</v>
      </c>
      <c r="AJ200" s="233">
        <f t="shared" si="113"/>
        <v>0.33750000000000002</v>
      </c>
      <c r="AK200" s="233" t="str">
        <f t="shared" si="114"/>
        <v>0.15-0.399779142060212i</v>
      </c>
      <c r="AL200" s="233" t="str">
        <f t="shared" si="115"/>
        <v>0.00198207119191871-0.000407252475371388i</v>
      </c>
      <c r="AM200" s="233" t="str">
        <f t="shared" si="116"/>
        <v>0.0247458540688856-0.0919843602557493i</v>
      </c>
      <c r="AN200" s="233" t="str">
        <f t="shared" si="117"/>
        <v>0.005+25.0138112470457i</v>
      </c>
      <c r="AO200" s="233" t="str">
        <f t="shared" si="118"/>
        <v>-0.000123512897762788-7.59642860330383E-06i</v>
      </c>
      <c r="AP200" s="233">
        <f t="shared" si="125"/>
        <v>-78.149357003856522</v>
      </c>
      <c r="AQ200" s="233">
        <f t="shared" si="126"/>
        <v>-176.48056389486837</v>
      </c>
      <c r="AS200" s="233" t="str">
        <f t="shared" si="119"/>
        <v>0.0240961607716453-0.0923546434800069i</v>
      </c>
      <c r="AT200" s="233" t="str">
        <f t="shared" si="120"/>
        <v>-0.000123817414403923-6.67012078411625E-06i</v>
      </c>
      <c r="AU200" s="233">
        <f t="shared" si="127"/>
        <v>-78.131780223423121</v>
      </c>
      <c r="AV200" s="233">
        <f t="shared" si="128"/>
        <v>-176.91642146719443</v>
      </c>
    </row>
    <row r="201" spans="6:48" x14ac:dyDescent="0.25">
      <c r="F201" s="233">
        <v>199</v>
      </c>
      <c r="G201" s="249">
        <f t="shared" si="97"/>
        <v>89.004811264314057</v>
      </c>
      <c r="H201" s="249">
        <f t="shared" si="98"/>
        <v>87.617844194586596</v>
      </c>
      <c r="I201" s="234">
        <f t="shared" si="99"/>
        <v>0</v>
      </c>
      <c r="J201" s="233">
        <f t="shared" si="121"/>
        <v>0</v>
      </c>
      <c r="K201" s="233">
        <f t="shared" si="122"/>
        <v>0</v>
      </c>
      <c r="L201" s="233">
        <f>10^('Small Signal'!F201/30)</f>
        <v>4298662.3470822899</v>
      </c>
      <c r="M201" s="233" t="str">
        <f t="shared" si="100"/>
        <v>27009292.0997136i</v>
      </c>
      <c r="N201" s="233">
        <f>IF(D$31=1, IF(AND('Small Signal'!$B$61&gt;=1,FCCM=0),V201+0,S201+0), 0)</f>
        <v>-79.471384146676186</v>
      </c>
      <c r="O201" s="233">
        <f>IF(D$31=1, IF(AND('Small Signal'!$B$61&gt;=1,FCCM=0),W201,T201), 0)</f>
        <v>-176.75269340032173</v>
      </c>
      <c r="P201" s="233">
        <f>IF(AND('Small Signal'!$B$61&gt;=1,FCCM=0),AF201+0,AC201+0)</f>
        <v>-91.626862979376796</v>
      </c>
      <c r="Q201" s="233">
        <f>IF(AND('Small Signal'!$B$61&gt;=1,FCCM=0),AG201,AD201)</f>
        <v>-81.89933512133851</v>
      </c>
      <c r="R201" s="233" t="str">
        <f>IMDIV(IMSUM('Small Signal'!$B$2*'Small Signal'!$B$38*'Small Signal'!$B$62,IMPRODUCT(M201,'Small Signal'!$B$2*'Small Signal'!$B$38*'Small Signal'!$B$62*'Small Signal'!$B$14*'Small Signal'!$B$15)),IMSUM(IMPRODUCT('Small Signal'!$B$12*'Small Signal'!$B$14*('Small Signal'!$B$15+'Small Signal'!$B$38),IMPOWER(M201,2)),IMSUM(IMPRODUCT(M201,('Small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-0.000055692265458745-0.000316631625265914i</v>
      </c>
      <c r="S201" s="233">
        <f t="shared" si="123"/>
        <v>-79.471384146676186</v>
      </c>
      <c r="T201" s="233">
        <f t="shared" si="124"/>
        <v>-176.75269340032173</v>
      </c>
      <c r="U201" s="233" t="str">
        <f>IMDIV(IMSUM('Small Signal'!$B$74,IMPRODUCT(M201,'Small Signal'!$B$75)),IMSUM(IMPRODUCT('Small Signal'!$B$78,IMPOWER(M201,2)),IMSUM(IMPRODUCT(M201,'Small Signal'!$B$77),'Small Signal'!$B$76)))</f>
        <v>-0.0000298226205671979-0.000167037081494285i</v>
      </c>
      <c r="V201" s="233">
        <f t="shared" si="101"/>
        <v>-75.407466400770971</v>
      </c>
      <c r="W201" s="233">
        <f t="shared" si="102"/>
        <v>-100.12286674549014</v>
      </c>
      <c r="X201" s="233" t="str">
        <f>IMPRODUCT(IMDIV(IMSUM(IMPRODUCT(M201,'Small Signal'!$B$57*'Small Signal'!$B$6*'Small Signal'!$B$50*'Small Signal'!$B$7*'Small Signal'!$B$8),'Small Signal'!$B$57*'Small Signal'!$B$6*'Small Signal'!$B$50),IMSUM(IMSUM(IMPRODUCT(M201,('Small Signal'!$B$5+'Small Signal'!$B$6)*('Small Signal'!$B$56*'Small Signal'!$B$57)+'Small Signal'!$B$5*'Small Signal'!$B$57*('Small Signal'!$B$8+'Small Signal'!$B$9)+'Small Signal'!$B$6*'Small Signal'!$B$57*('Small Signal'!$B$8+'Small Signal'!$B$9)+'Small Signal'!$B$7*'Small Signal'!$B$8*('Small Signal'!$B$5+'Small Signal'!$B$6)),'Small Signal'!$B$6+'Small Signal'!$B$5),IMPRODUCT(IMPOWER(M201,2),'Small Signal'!$B$56*'Small Signal'!$B$57*'Small Signal'!$B$8*'Small Signal'!$B$7*('Small Signal'!$B$5+'Small Signal'!$B$6)+('Small Signal'!$B$5+'Small Signal'!$B$6)*('Small Signal'!$B$9*'Small Signal'!$B$8*'Small Signal'!$B$57*'Small Signal'!$B$7)))),-1)</f>
        <v>-0.00680611473944635+0.109724905402132i</v>
      </c>
      <c r="Y201" s="233">
        <f t="shared" si="103"/>
        <v>-12.155478832700584</v>
      </c>
      <c r="Z201" s="233">
        <f t="shared" si="104"/>
        <v>94.853358278983208</v>
      </c>
      <c r="AA201" s="233" t="str">
        <f t="shared" si="105"/>
        <v>2.2437500860956+0.0510710862261491i</v>
      </c>
      <c r="AB201" s="233" t="str">
        <f t="shared" si="106"/>
        <v>3.69493710761743E-06-0.0000259598217685573i</v>
      </c>
      <c r="AC201" s="230">
        <f t="shared" si="107"/>
        <v>-91.626862979376796</v>
      </c>
      <c r="AD201" s="233">
        <f t="shared" si="108"/>
        <v>-81.89933512133851</v>
      </c>
      <c r="AE201" s="233" t="str">
        <f t="shared" si="109"/>
        <v>0.00001853110414302-2.13541067818711E-06i</v>
      </c>
      <c r="AF201" s="230">
        <f t="shared" si="110"/>
        <v>-94.584684318194576</v>
      </c>
      <c r="AG201" s="233">
        <f t="shared" si="111"/>
        <v>-6.5734204030541949</v>
      </c>
      <c r="AI201" s="233" t="str">
        <f t="shared" si="112"/>
        <v>0.002-0.000375119504130924i</v>
      </c>
      <c r="AJ201" s="233">
        <f t="shared" si="113"/>
        <v>0.33750000000000002</v>
      </c>
      <c r="AK201" s="233" t="str">
        <f t="shared" si="114"/>
        <v>0.15-0.370242950577221i</v>
      </c>
      <c r="AL201" s="233" t="str">
        <f t="shared" si="115"/>
        <v>0.00198160621637376-0.000378132647868257i</v>
      </c>
      <c r="AM201" s="233" t="str">
        <f t="shared" si="116"/>
        <v>0.021430231725955-0.0860145150600875i</v>
      </c>
      <c r="AN201" s="233" t="str">
        <f t="shared" si="117"/>
        <v>0.005+27.0092920997136i</v>
      </c>
      <c r="AO201" s="233" t="str">
        <f t="shared" si="118"/>
        <v>-0.000106104279481647-6.02003372741744E-06i</v>
      </c>
      <c r="AP201" s="233">
        <f t="shared" si="125"/>
        <v>-79.471384146676186</v>
      </c>
      <c r="AQ201" s="233">
        <f t="shared" si="126"/>
        <v>-176.75269340032173</v>
      </c>
      <c r="AS201" s="233" t="str">
        <f t="shared" si="119"/>
        <v>0.0208563396969682-0.0863142118072716i</v>
      </c>
      <c r="AT201" s="233" t="str">
        <f t="shared" si="120"/>
        <v>-0.000106330334013258-5.27487368744868E-06i</v>
      </c>
      <c r="AU201" s="233">
        <f t="shared" si="127"/>
        <v>-79.456181625640568</v>
      </c>
      <c r="AV201" s="233">
        <f t="shared" si="128"/>
        <v>-177.15997846380361</v>
      </c>
    </row>
    <row r="202" spans="6:48" x14ac:dyDescent="0.25">
      <c r="F202" s="233">
        <v>200</v>
      </c>
      <c r="G202" s="249">
        <f t="shared" si="97"/>
        <v>88.657114548101518</v>
      </c>
      <c r="H202" s="249">
        <f t="shared" si="98"/>
        <v>87.372428265171578</v>
      </c>
      <c r="I202" s="234">
        <f t="shared" si="99"/>
        <v>0</v>
      </c>
      <c r="J202" s="233">
        <f t="shared" si="121"/>
        <v>0</v>
      </c>
      <c r="K202" s="233">
        <f t="shared" si="122"/>
        <v>0</v>
      </c>
      <c r="L202" s="233">
        <f>10^('Small Signal'!F202/30)</f>
        <v>4641588.8336127857</v>
      </c>
      <c r="M202" s="233" t="str">
        <f t="shared" si="100"/>
        <v>29163962.7613247i</v>
      </c>
      <c r="N202" s="233">
        <f>IF(D$31=1, IF(AND('Small Signal'!$B$61&gt;=1,FCCM=0),V202+0,S202+0), 0)</f>
        <v>-80.795354863652747</v>
      </c>
      <c r="O202" s="233">
        <f>IF(D$31=1, IF(AND('Small Signal'!$B$61&gt;=1,FCCM=0),W202,T202), 0)</f>
        <v>-177.00928931509674</v>
      </c>
      <c r="P202" s="233">
        <f>IF(AND('Small Signal'!$B$61&gt;=1,FCCM=0),AF202+0,AC202+0)</f>
        <v>-93.614213898789075</v>
      </c>
      <c r="Q202" s="233">
        <f>IF(AND('Small Signal'!$B$61&gt;=1,FCCM=0),AG202,AD202)</f>
        <v>-82.513714536435003</v>
      </c>
      <c r="R202" s="233" t="str">
        <f>IMDIV(IMSUM('Small Signal'!$B$2*'Small Signal'!$B$38*'Small Signal'!$B$62,IMPRODUCT(M202,'Small Signal'!$B$2*'Small Signal'!$B$38*'Small Signal'!$B$62*'Small Signal'!$B$14*'Small Signal'!$B$15)),IMSUM(IMPRODUCT('Small Signal'!$B$12*'Small Signal'!$B$14*('Small Signal'!$B$15+'Small Signal'!$B$38),IMPOWER(M202,2)),IMSUM(IMPRODUCT(M202,('Small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-0.0000477677361908147-0.000293154524307214i</v>
      </c>
      <c r="S202" s="233">
        <f t="shared" si="123"/>
        <v>-80.795354863652747</v>
      </c>
      <c r="T202" s="233">
        <f t="shared" si="124"/>
        <v>-177.00928931509674</v>
      </c>
      <c r="U202" s="233" t="str">
        <f>IMDIV(IMSUM('Small Signal'!$B$74,IMPRODUCT(M202,'Small Signal'!$B$75)),IMSUM(IMPRODUCT('Small Signal'!$B$78,IMPOWER(M202,2)),IMSUM(IMPRODUCT(M202,'Small Signal'!$B$77),'Small Signal'!$B$76)))</f>
        <v>-0.0000255789522966071-0.000154661455966587i</v>
      </c>
      <c r="V202" s="233">
        <f t="shared" si="101"/>
        <v>-76.095162151917691</v>
      </c>
      <c r="W202" s="233">
        <f t="shared" si="102"/>
        <v>-99.390954430497587</v>
      </c>
      <c r="X202" s="233" t="str">
        <f>IMPRODUCT(IMDIV(IMSUM(IMPRODUCT(M202,'Small Signal'!$B$57*'Small Signal'!$B$6*'Small Signal'!$B$50*'Small Signal'!$B$7*'Small Signal'!$B$8),'Small Signal'!$B$57*'Small Signal'!$B$6*'Small Signal'!$B$50),IMSUM(IMSUM(IMPRODUCT(M202,('Small Signal'!$B$5+'Small Signal'!$B$6)*('Small Signal'!$B$56*'Small Signal'!$B$57)+'Small Signal'!$B$5*'Small Signal'!$B$57*('Small Signal'!$B$8+'Small Signal'!$B$9)+'Small Signal'!$B$6*'Small Signal'!$B$57*('Small Signal'!$B$8+'Small Signal'!$B$9)+'Small Signal'!$B$7*'Small Signal'!$B$8*('Small Signal'!$B$5+'Small Signal'!$B$6)),'Small Signal'!$B$6+'Small Signal'!$B$5),IMPRODUCT(IMPOWER(M202,2),'Small Signal'!$B$56*'Small Signal'!$B$57*'Small Signal'!$B$8*'Small Signal'!$B$7*('Small Signal'!$B$5+'Small Signal'!$B$6)+('Small Signal'!$B$5+'Small Signal'!$B$6)*('Small Signal'!$B$9*'Small Signal'!$B$8*'Small Signal'!$B$57*'Small Signal'!$B$7)))),-1)</f>
        <v>-0.00584087526208879+0.101674715902402i</v>
      </c>
      <c r="Y202" s="233">
        <f t="shared" si="103"/>
        <v>-12.818859035136336</v>
      </c>
      <c r="Z202" s="233">
        <f t="shared" si="104"/>
        <v>94.495574778661734</v>
      </c>
      <c r="AA202" s="233" t="str">
        <f t="shared" si="105"/>
        <v>2.24404807965408+0.0473092216534054i</v>
      </c>
      <c r="AB202" s="233" t="str">
        <f t="shared" si="106"/>
        <v>2.71766943940306E-06-0.0000206810004677641i</v>
      </c>
      <c r="AC202" s="230">
        <f t="shared" si="107"/>
        <v>-93.614213898789075</v>
      </c>
      <c r="AD202" s="233">
        <f t="shared" si="108"/>
        <v>-82.513714536435003</v>
      </c>
      <c r="AE202" s="233" t="str">
        <f t="shared" si="109"/>
        <v>0.000015874563066154-1.69737443568475E-06i</v>
      </c>
      <c r="AF202" s="230">
        <f t="shared" si="110"/>
        <v>-95.936594151959284</v>
      </c>
      <c r="AG202" s="233">
        <f t="shared" si="111"/>
        <v>-6.1031154763055406</v>
      </c>
      <c r="AI202" s="233" t="str">
        <f t="shared" si="112"/>
        <v>0.002-0.000347405198062035i</v>
      </c>
      <c r="AJ202" s="233">
        <f t="shared" si="113"/>
        <v>0.33750000000000002</v>
      </c>
      <c r="AK202" s="233" t="str">
        <f t="shared" si="114"/>
        <v>0.15-0.342888930487229i</v>
      </c>
      <c r="AL202" s="233" t="str">
        <f t="shared" si="115"/>
        <v>0.00198110506701721-0.000351196153024375i</v>
      </c>
      <c r="AM202" s="233" t="str">
        <f t="shared" si="116"/>
        <v>0.0185347777879054-0.080327748638012i</v>
      </c>
      <c r="AN202" s="233" t="str">
        <f t="shared" si="117"/>
        <v>0.005+29.1639627613247i</v>
      </c>
      <c r="AO202" s="233" t="str">
        <f t="shared" si="118"/>
        <v>-0.0000911255888044513-4.76087517986408E-06i</v>
      </c>
      <c r="AP202" s="233">
        <f t="shared" si="125"/>
        <v>-80.795354863652747</v>
      </c>
      <c r="AQ202" s="233">
        <f t="shared" si="126"/>
        <v>-177.00928931509674</v>
      </c>
      <c r="AS202" s="233" t="str">
        <f t="shared" si="119"/>
        <v>0.0180299369381352-0.0805697021860938i</v>
      </c>
      <c r="AT202" s="233" t="str">
        <f t="shared" si="120"/>
        <v>-0.0000912931095672253-4.16250184067831E-06i</v>
      </c>
      <c r="AU202" s="233">
        <f t="shared" si="127"/>
        <v>-80.782220838948291</v>
      </c>
      <c r="AV202" s="233">
        <f t="shared" si="128"/>
        <v>-177.38941167975099</v>
      </c>
    </row>
    <row r="203" spans="6:48" x14ac:dyDescent="0.25">
      <c r="F203" s="233">
        <v>201</v>
      </c>
      <c r="G203" s="249">
        <f t="shared" si="97"/>
        <v>88.334965818683258</v>
      </c>
      <c r="H203" s="249">
        <f t="shared" si="98"/>
        <v>87.145042738007746</v>
      </c>
      <c r="I203" s="234">
        <f t="shared" si="99"/>
        <v>0</v>
      </c>
      <c r="J203" s="233">
        <f t="shared" si="121"/>
        <v>0</v>
      </c>
      <c r="K203" s="233">
        <f t="shared" si="122"/>
        <v>0</v>
      </c>
      <c r="L203" s="233">
        <f>10^('Small Signal'!F203/30)</f>
        <v>5011872.3362727314</v>
      </c>
      <c r="M203" s="233" t="str">
        <f t="shared" si="100"/>
        <v>31490522.6247287i</v>
      </c>
      <c r="N203" s="233">
        <f>IF(D$31=1, IF(AND('Small Signal'!$B$61&gt;=1,FCCM=0),V203+0,S203+0), 0)</f>
        <v>-82.121071973039435</v>
      </c>
      <c r="O203" s="233">
        <f>IF(D$31=1, IF(AND('Small Signal'!$B$61&gt;=1,FCCM=0),W203,T203), 0)</f>
        <v>-177.25066477852397</v>
      </c>
      <c r="P203" s="233">
        <f>IF(AND('Small Signal'!$B$61&gt;=1,FCCM=0),AF203+0,AC203+0)</f>
        <v>-95.603777592516025</v>
      </c>
      <c r="Q203" s="233">
        <f>IF(AND('Small Signal'!$B$61&gt;=1,FCCM=0),AG203,AD203)</f>
        <v>-83.086601878647258</v>
      </c>
      <c r="R203" s="233" t="str">
        <f>IMDIV(IMSUM('Small Signal'!$B$2*'Small Signal'!$B$38*'Small Signal'!$B$62,IMPRODUCT(M203,'Small Signal'!$B$2*'Small Signal'!$B$38*'Small Signal'!$B$62*'Small Signal'!$B$14*'Small Signal'!$B$15)),IMSUM(IMPRODUCT('Small Signal'!$B$12*'Small Signal'!$B$14*('Small Signal'!$B$15+'Small Signal'!$B$38),IMPOWER(M203,2)),IMSUM(IMPRODUCT(M203,('Small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-0.0000409707126456153-0.000271429206972855i</v>
      </c>
      <c r="S203" s="233">
        <f t="shared" si="123"/>
        <v>-82.121071973039435</v>
      </c>
      <c r="T203" s="233">
        <f t="shared" si="124"/>
        <v>-177.25066477852397</v>
      </c>
      <c r="U203" s="233" t="str">
        <f>IMDIV(IMSUM('Small Signal'!$B$74,IMPRODUCT(M203,'Small Signal'!$B$75)),IMSUM(IMPRODUCT('Small Signal'!$B$78,IMPOWER(M203,2)),IMSUM(IMPRODUCT(M203,'Small Signal'!$B$77),'Small Signal'!$B$76)))</f>
        <v>-0.0000219391191320949-0.000143207296693394i</v>
      </c>
      <c r="V203" s="233">
        <f t="shared" si="101"/>
        <v>-76.779947043786791</v>
      </c>
      <c r="W203" s="233">
        <f t="shared" si="102"/>
        <v>-98.709899544313444</v>
      </c>
      <c r="X203" s="233" t="str">
        <f>IMPRODUCT(IMDIV(IMSUM(IMPRODUCT(M203,'Small Signal'!$B$57*'Small Signal'!$B$6*'Small Signal'!$B$50*'Small Signal'!$B$7*'Small Signal'!$B$8),'Small Signal'!$B$57*'Small Signal'!$B$6*'Small Signal'!$B$50),IMSUM(IMSUM(IMPRODUCT(M203,('Small Signal'!$B$5+'Small Signal'!$B$6)*('Small Signal'!$B$56*'Small Signal'!$B$57)+'Small Signal'!$B$5*'Small Signal'!$B$57*('Small Signal'!$B$8+'Small Signal'!$B$9)+'Small Signal'!$B$6*'Small Signal'!$B$57*('Small Signal'!$B$8+'Small Signal'!$B$9)+'Small Signal'!$B$7*'Small Signal'!$B$8*('Small Signal'!$B$5+'Small Signal'!$B$6)),'Small Signal'!$B$6+'Small Signal'!$B$5),IMPRODUCT(IMPOWER(M203,2),'Small Signal'!$B$56*'Small Signal'!$B$57*'Small Signal'!$B$8*'Small Signal'!$B$7*('Small Signal'!$B$5+'Small Signal'!$B$6)+('Small Signal'!$B$5+'Small Signal'!$B$6)*('Small Signal'!$B$9*'Small Signal'!$B$8*'Small Signal'!$B$57*'Small Signal'!$B$7)))),-1)</f>
        <v>-0.00501212386847921+0.0942077264643225i</v>
      </c>
      <c r="Y203" s="233">
        <f t="shared" si="103"/>
        <v>-13.482705619476597</v>
      </c>
      <c r="Z203" s="233">
        <f t="shared" si="104"/>
        <v>94.164062899876697</v>
      </c>
      <c r="AA203" s="233" t="str">
        <f t="shared" si="105"/>
        <v>2.24430378129011+0.0438229617067491i</v>
      </c>
      <c r="AB203" s="233" t="str">
        <f t="shared" si="106"/>
        <v>1.99675928430468E-06-0.0000164680404953752i</v>
      </c>
      <c r="AC203" s="230">
        <f t="shared" si="107"/>
        <v>-95.603777592516025</v>
      </c>
      <c r="AD203" s="233">
        <f t="shared" si="108"/>
        <v>-83.086601878647258</v>
      </c>
      <c r="AE203" s="233" t="str">
        <f t="shared" si="109"/>
        <v>0.0000136011954172417-1.34906182416724E-06i</v>
      </c>
      <c r="AF203" s="230">
        <f t="shared" si="110"/>
        <v>-97.285941034565099</v>
      </c>
      <c r="AG203" s="233">
        <f t="shared" si="111"/>
        <v>-5.6644693952133016</v>
      </c>
      <c r="AI203" s="233" t="str">
        <f t="shared" si="112"/>
        <v>0.002-0.000321738460174544i</v>
      </c>
      <c r="AJ203" s="233">
        <f t="shared" si="113"/>
        <v>0.33750000000000002</v>
      </c>
      <c r="AK203" s="233" t="str">
        <f t="shared" si="114"/>
        <v>0.15-0.317555860192274i</v>
      </c>
      <c r="AL203" s="233" t="str">
        <f t="shared" si="115"/>
        <v>0.00198056410544217-0.000326276418222195i</v>
      </c>
      <c r="AM203" s="233" t="str">
        <f t="shared" si="116"/>
        <v>0.0160123861658169-0.0749320475502724i</v>
      </c>
      <c r="AN203" s="233" t="str">
        <f t="shared" si="117"/>
        <v>0.005+31.4905226247287i</v>
      </c>
      <c r="AO203" s="233" t="str">
        <f t="shared" si="118"/>
        <v>-0.0000782431300584896-3.75737712827228E-06i</v>
      </c>
      <c r="AP203" s="233">
        <f t="shared" si="125"/>
        <v>-82.121071973039435</v>
      </c>
      <c r="AQ203" s="233">
        <f t="shared" si="126"/>
        <v>-177.25066477852397</v>
      </c>
      <c r="AS203" s="233" t="str">
        <f t="shared" si="119"/>
        <v>0.015569866647654-0.0751269533153932i</v>
      </c>
      <c r="AT203" s="233" t="str">
        <f t="shared" si="120"/>
        <v>-0.0000783670822386135-3.27762012789006E-06i</v>
      </c>
      <c r="AU203" s="233">
        <f t="shared" si="127"/>
        <v>-82.109736226885445</v>
      </c>
      <c r="AV203" s="233">
        <f t="shared" si="128"/>
        <v>-177.60506056032429</v>
      </c>
    </row>
    <row r="204" spans="6:48" x14ac:dyDescent="0.25">
      <c r="F204" s="233">
        <v>202</v>
      </c>
      <c r="G204" s="249">
        <f t="shared" si="97"/>
        <v>88.036506329445885</v>
      </c>
      <c r="H204" s="249">
        <f t="shared" si="98"/>
        <v>86.934376259299384</v>
      </c>
      <c r="I204" s="234">
        <f t="shared" si="99"/>
        <v>0</v>
      </c>
      <c r="J204" s="233">
        <f t="shared" si="121"/>
        <v>0</v>
      </c>
      <c r="K204" s="233">
        <f t="shared" si="122"/>
        <v>0</v>
      </c>
      <c r="L204" s="233">
        <f>10^('Small Signal'!F204/30)</f>
        <v>5411695.2654646477</v>
      </c>
      <c r="M204" s="233" t="str">
        <f t="shared" si="100"/>
        <v>34002684.1789008i</v>
      </c>
      <c r="N204" s="233">
        <f>IF(D$31=1, IF(AND('Small Signal'!$B$61&gt;=1,FCCM=0),V204+0,S204+0), 0)</f>
        <v>-83.448355351998941</v>
      </c>
      <c r="O204" s="233">
        <f>IF(D$31=1, IF(AND('Small Signal'!$B$61&gt;=1,FCCM=0),W204,T204), 0)</f>
        <v>-177.47719332254294</v>
      </c>
      <c r="P204" s="233">
        <f>IF(AND('Small Signal'!$B$61&gt;=1,FCCM=0),AF204+0,AC204+0)</f>
        <v>-97.595307911266104</v>
      </c>
      <c r="Q204" s="233">
        <f>IF(AND('Small Signal'!$B$61&gt;=1,FCCM=0),AG204,AD204)</f>
        <v>-83.620278478740346</v>
      </c>
      <c r="R204" s="233" t="str">
        <f>IMDIV(IMSUM('Small Signal'!$B$2*'Small Signal'!$B$38*'Small Signal'!$B$62,IMPRODUCT(M204,'Small Signal'!$B$2*'Small Signal'!$B$38*'Small Signal'!$B$62*'Small Signal'!$B$14*'Small Signal'!$B$15)),IMSUM(IMPRODUCT('Small Signal'!$B$12*'Small Signal'!$B$14*('Small Signal'!$B$15+'Small Signal'!$B$38),IMPOWER(M204,2)),IMSUM(IMPRODUCT(M204,('Small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-0.0000351407956433719-0.000251322698663347i</v>
      </c>
      <c r="S204" s="233">
        <f t="shared" si="123"/>
        <v>-83.448355351998941</v>
      </c>
      <c r="T204" s="233">
        <f t="shared" si="124"/>
        <v>-177.47719332254294</v>
      </c>
      <c r="U204" s="233" t="str">
        <f>IMDIV(IMSUM('Small Signal'!$B$74,IMPRODUCT(M204,'Small Signal'!$B$75)),IMSUM(IMPRODUCT('Small Signal'!$B$78,IMPOWER(M204,2)),IMSUM(IMPRODUCT(M204,'Small Signal'!$B$77),'Small Signal'!$B$76)))</f>
        <v>-0.0000188172077427-0.000132605056314465i</v>
      </c>
      <c r="V204" s="233">
        <f t="shared" si="101"/>
        <v>-77.46221422228723</v>
      </c>
      <c r="W204" s="233">
        <f t="shared" si="102"/>
        <v>-98.076584785093601</v>
      </c>
      <c r="X204" s="233" t="str">
        <f>IMPRODUCT(IMDIV(IMSUM(IMPRODUCT(M204,'Small Signal'!$B$57*'Small Signal'!$B$6*'Small Signal'!$B$50*'Small Signal'!$B$7*'Small Signal'!$B$8),'Small Signal'!$B$57*'Small Signal'!$B$6*'Small Signal'!$B$50),IMSUM(IMSUM(IMPRODUCT(M204,('Small Signal'!$B$5+'Small Signal'!$B$6)*('Small Signal'!$B$56*'Small Signal'!$B$57)+'Small Signal'!$B$5*'Small Signal'!$B$57*('Small Signal'!$B$8+'Small Signal'!$B$9)+'Small Signal'!$B$6*'Small Signal'!$B$57*('Small Signal'!$B$8+'Small Signal'!$B$9)+'Small Signal'!$B$7*'Small Signal'!$B$8*('Small Signal'!$B$5+'Small Signal'!$B$6)),'Small Signal'!$B$6+'Small Signal'!$B$5),IMPRODUCT(IMPOWER(M204,2),'Small Signal'!$B$56*'Small Signal'!$B$57*'Small Signal'!$B$8*'Small Signal'!$B$7*('Small Signal'!$B$5+'Small Signal'!$B$6)+('Small Signal'!$B$5+'Small Signal'!$B$6)*('Small Signal'!$B$9*'Small Signal'!$B$8*'Small Signal'!$B$57*'Small Signal'!$B$7)))),-1)</f>
        <v>-0.00430066665295368+0.0872832117613139i</v>
      </c>
      <c r="Y204" s="233">
        <f t="shared" si="103"/>
        <v>-14.146952559267186</v>
      </c>
      <c r="Z204" s="233">
        <f t="shared" si="104"/>
        <v>93.856914843802656</v>
      </c>
      <c r="AA204" s="233" t="str">
        <f t="shared" si="105"/>
        <v>2.2445231792903+0.040592421629608i</v>
      </c>
      <c r="AB204" s="233" t="str">
        <f t="shared" si="106"/>
        <v>1.46560153803557E-06-0.0000131080108068595i</v>
      </c>
      <c r="AC204" s="230">
        <f t="shared" si="107"/>
        <v>-97.595307911266104</v>
      </c>
      <c r="AD204" s="233">
        <f t="shared" si="108"/>
        <v>-83.620278478740346</v>
      </c>
      <c r="AE204" s="233" t="str">
        <f t="shared" si="109"/>
        <v>0.0000116551217487571-1.07213618445805E-06i</v>
      </c>
      <c r="AF204" s="230">
        <f t="shared" si="110"/>
        <v>-98.633068894397269</v>
      </c>
      <c r="AG204" s="233">
        <f t="shared" si="111"/>
        <v>-5.2557567799207661</v>
      </c>
      <c r="AI204" s="233" t="str">
        <f t="shared" si="112"/>
        <v>0.002-0.000297968013526965i</v>
      </c>
      <c r="AJ204" s="233">
        <f t="shared" si="113"/>
        <v>0.33750000000000002</v>
      </c>
      <c r="AK204" s="233" t="str">
        <f t="shared" si="114"/>
        <v>0.15-0.294094429351115i</v>
      </c>
      <c r="AL204" s="233" t="str">
        <f t="shared" si="115"/>
        <v>0.00197998062223351-0.000303218010138179i</v>
      </c>
      <c r="AM204" s="233" t="str">
        <f t="shared" si="116"/>
        <v>0.0138196392686016-0.0698299265046128i</v>
      </c>
      <c r="AN204" s="233" t="str">
        <f t="shared" si="117"/>
        <v>0.005+34.0026841789008i</v>
      </c>
      <c r="AO204" s="233" t="str">
        <f t="shared" si="118"/>
        <v>-0.0000671677965200144-2.95939701259097E-06i</v>
      </c>
      <c r="AP204" s="233">
        <f t="shared" si="125"/>
        <v>-83.448355351998941</v>
      </c>
      <c r="AQ204" s="233">
        <f t="shared" si="126"/>
        <v>-177.47719332254294</v>
      </c>
      <c r="AS204" s="233" t="str">
        <f t="shared" si="119"/>
        <v>0.0134329339071462-0.0699866321546219i</v>
      </c>
      <c r="AT204" s="233" t="str">
        <f t="shared" si="120"/>
        <v>-0.0000672593845519461-2.57526254070694E-06i</v>
      </c>
      <c r="AU204" s="233">
        <f t="shared" si="127"/>
        <v>-83.438580076401337</v>
      </c>
      <c r="AV204" s="233">
        <f t="shared" si="128"/>
        <v>-177.80730027591588</v>
      </c>
    </row>
    <row r="205" spans="6:48" x14ac:dyDescent="0.25">
      <c r="F205" s="233">
        <v>203</v>
      </c>
      <c r="G205" s="249">
        <f t="shared" si="97"/>
        <v>87.760008769099471</v>
      </c>
      <c r="H205" s="249">
        <f t="shared" si="98"/>
        <v>86.739210112171577</v>
      </c>
      <c r="I205" s="234">
        <f t="shared" si="99"/>
        <v>0</v>
      </c>
      <c r="J205" s="233">
        <f t="shared" si="121"/>
        <v>0</v>
      </c>
      <c r="K205" s="233">
        <f t="shared" si="122"/>
        <v>0</v>
      </c>
      <c r="L205" s="233">
        <f>10^('Small Signal'!F205/30)</f>
        <v>5843414.133735179</v>
      </c>
      <c r="M205" s="233" t="str">
        <f t="shared" si="100"/>
        <v>36715253.8288504i</v>
      </c>
      <c r="N205" s="233">
        <f>IF(D$31=1, IF(AND('Small Signal'!$B$61&gt;=1,FCCM=0),V205+0,S205+0), 0)</f>
        <v>-84.77704012424735</v>
      </c>
      <c r="O205" s="233">
        <f>IF(D$31=1, IF(AND('Small Signal'!$B$61&gt;=1,FCCM=0),W205,T205), 0)</f>
        <v>-177.68928600687602</v>
      </c>
      <c r="P205" s="233">
        <f>IF(AND('Small Signal'!$B$61&gt;=1,FCCM=0),AF205+0,AC205+0)</f>
        <v>-99.588583258145576</v>
      </c>
      <c r="Q205" s="233">
        <f>IF(AND('Small Signal'!$B$61&gt;=1,FCCM=0),AG205,AD205)</f>
        <v>-84.116929033705631</v>
      </c>
      <c r="R205" s="233" t="str">
        <f>IMDIV(IMSUM('Small Signal'!$B$2*'Small Signal'!$B$38*'Small Signal'!$B$62,IMPRODUCT(M205,'Small Signal'!$B$2*'Small Signal'!$B$38*'Small Signal'!$B$62*'Small Signal'!$B$14*'Small Signal'!$B$15)),IMSUM(IMPRODUCT('Small Signal'!$B$12*'Small Signal'!$B$14*('Small Signal'!$B$15+'Small Signal'!$B$38),IMPOWER(M205,2)),IMSUM(IMPRODUCT(M205,('Small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-0.000030140398378729-0.000232712579229771i</v>
      </c>
      <c r="S205" s="233">
        <f t="shared" si="123"/>
        <v>-84.77704012424735</v>
      </c>
      <c r="T205" s="233">
        <f t="shared" si="124"/>
        <v>-177.68928600687602</v>
      </c>
      <c r="U205" s="233" t="str">
        <f>IMDIV(IMSUM('Small Signal'!$B$74,IMPRODUCT(M205,'Small Signal'!$B$75)),IMSUM(IMPRODUCT('Small Signal'!$B$78,IMPOWER(M205,2)),IMSUM(IMPRODUCT(M205,'Small Signal'!$B$77),'Small Signal'!$B$76)))</f>
        <v>-0.0000161395266830464-0.00012279062766786i</v>
      </c>
      <c r="V205" s="233">
        <f t="shared" si="101"/>
        <v>-78.142306276511007</v>
      </c>
      <c r="W205" s="233">
        <f t="shared" si="102"/>
        <v>-97.48799821047713</v>
      </c>
      <c r="X205" s="233" t="str">
        <f>IMPRODUCT(IMDIV(IMSUM(IMPRODUCT(M205,'Small Signal'!$B$57*'Small Signal'!$B$6*'Small Signal'!$B$50*'Small Signal'!$B$7*'Small Signal'!$B$8),'Small Signal'!$B$57*'Small Signal'!$B$6*'Small Signal'!$B$50),IMSUM(IMSUM(IMPRODUCT(M205,('Small Signal'!$B$5+'Small Signal'!$B$6)*('Small Signal'!$B$56*'Small Signal'!$B$57)+'Small Signal'!$B$5*'Small Signal'!$B$57*('Small Signal'!$B$8+'Small Signal'!$B$9)+'Small Signal'!$B$6*'Small Signal'!$B$57*('Small Signal'!$B$8+'Small Signal'!$B$9)+'Small Signal'!$B$7*'Small Signal'!$B$8*('Small Signal'!$B$5+'Small Signal'!$B$6)),'Small Signal'!$B$6+'Small Signal'!$B$5),IMPRODUCT(IMPOWER(M205,2),'Small Signal'!$B$56*'Small Signal'!$B$57*'Small Signal'!$B$8*'Small Signal'!$B$7*('Small Signal'!$B$5+'Small Signal'!$B$6)+('Small Signal'!$B$5+'Small Signal'!$B$6)*('Small Signal'!$B$9*'Small Signal'!$B$8*'Small Signal'!$B$57*'Small Signal'!$B$7)))),-1)</f>
        <v>-0.00368998091274983+0.0808629742073103i</v>
      </c>
      <c r="Y205" s="233">
        <f t="shared" si="103"/>
        <v>-14.811543133898267</v>
      </c>
      <c r="Z205" s="233">
        <f t="shared" si="104"/>
        <v>93.572356973170429</v>
      </c>
      <c r="AA205" s="233" t="str">
        <f t="shared" si="105"/>
        <v>2.24471141770231+0.0375990880226373i</v>
      </c>
      <c r="AB205" s="233" t="str">
        <f t="shared" si="106"/>
        <v>1.07470408099257E-06-0.000010429834723239i</v>
      </c>
      <c r="AC205" s="230">
        <f t="shared" si="107"/>
        <v>-99.588583258145576</v>
      </c>
      <c r="AD205" s="233">
        <f t="shared" si="108"/>
        <v>-84.116929033705631</v>
      </c>
      <c r="AE205" s="233" t="str">
        <f t="shared" si="109"/>
        <v>9.98876990340686E-06-8.51995057530403E-07i</v>
      </c>
      <c r="AF205" s="230">
        <f t="shared" si="110"/>
        <v>-99.978278030183503</v>
      </c>
      <c r="AG205" s="233">
        <f t="shared" si="111"/>
        <v>-4.875260190229028</v>
      </c>
      <c r="AI205" s="233" t="str">
        <f t="shared" si="112"/>
        <v>0.002-0.000275953757710657i</v>
      </c>
      <c r="AJ205" s="233">
        <f t="shared" si="113"/>
        <v>0.33750000000000002</v>
      </c>
      <c r="AK205" s="233" t="str">
        <f t="shared" si="114"/>
        <v>0.15-0.272366358860418i</v>
      </c>
      <c r="AL205" s="233" t="str">
        <f t="shared" si="115"/>
        <v>0.00197935303210713-0.000281875848900857i</v>
      </c>
      <c r="AM205" s="233" t="str">
        <f t="shared" si="116"/>
        <v>0.0119169637327862-0.0650195304818462i</v>
      </c>
      <c r="AN205" s="233" t="str">
        <f t="shared" si="117"/>
        <v>0.005+36.7152538288504i</v>
      </c>
      <c r="AO205" s="233" t="str">
        <f t="shared" si="118"/>
        <v>-0.0000576493896507018-2.32623626131871E-06i</v>
      </c>
      <c r="AP205" s="233">
        <f t="shared" si="125"/>
        <v>-84.77704012424735</v>
      </c>
      <c r="AQ205" s="233">
        <f t="shared" si="126"/>
        <v>-177.68928600687602</v>
      </c>
      <c r="AS205" s="233" t="str">
        <f t="shared" si="119"/>
        <v>0.0115799218130749-0.0651453133948827i</v>
      </c>
      <c r="AT205" s="233" t="str">
        <f t="shared" si="120"/>
        <v>-0.0000577169799823382-2.01902703162075E-06i</v>
      </c>
      <c r="AU205" s="233">
        <f t="shared" si="127"/>
        <v>-84.768616786992766</v>
      </c>
      <c r="AV205" s="233">
        <f t="shared" si="128"/>
        <v>-177.9965241514787</v>
      </c>
    </row>
    <row r="206" spans="6:48" x14ac:dyDescent="0.25">
      <c r="F206" s="233">
        <v>204</v>
      </c>
      <c r="G206" s="249">
        <f t="shared" si="97"/>
        <v>87.5038687544141</v>
      </c>
      <c r="H206" s="249">
        <f t="shared" si="98"/>
        <v>86.558412239404745</v>
      </c>
      <c r="I206" s="234">
        <f t="shared" si="99"/>
        <v>0</v>
      </c>
      <c r="J206" s="233">
        <f t="shared" si="121"/>
        <v>0</v>
      </c>
      <c r="K206" s="233">
        <f t="shared" si="122"/>
        <v>0</v>
      </c>
      <c r="L206" s="233">
        <f>10^('Small Signal'!F206/30)</f>
        <v>6309573.4448019378</v>
      </c>
      <c r="M206" s="233" t="str">
        <f t="shared" si="100"/>
        <v>39644219.16295i</v>
      </c>
      <c r="N206" s="233">
        <f>IF(D$31=1, IF(AND('Small Signal'!$B$61&gt;=1,FCCM=0),V206+0,S206+0), 0)</f>
        <v>-86.106974494262261</v>
      </c>
      <c r="O206" s="233">
        <f>IF(D$31=1, IF(AND('Small Signal'!$B$61&gt;=1,FCCM=0),W206,T206), 0)</f>
        <v>-177.88737500599183</v>
      </c>
      <c r="P206" s="233">
        <f>IF(AND('Small Signal'!$B$61&gt;=1,FCCM=0),AF206+0,AC206+0)</f>
        <v>-101.58340312228083</v>
      </c>
      <c r="Q206" s="233">
        <f>IF(AND('Small Signal'!$B$61&gt;=1,FCCM=0),AG206,AD206)</f>
        <v>-84.578633720725321</v>
      </c>
      <c r="R206" s="233" t="str">
        <f>IMDIV(IMSUM('Small Signal'!$B$2*'Small Signal'!$B$38*'Small Signal'!$B$62,IMPRODUCT(M206,'Small Signal'!$B$2*'Small Signal'!$B$38*'Small Signal'!$B$62*'Small Signal'!$B$14*'Small Signal'!$B$15)),IMSUM(IMPRODUCT('Small Signal'!$B$12*'Small Signal'!$B$14*('Small Signal'!$B$15+'Small Signal'!$B$38),IMPOWER(M206,2)),IMSUM(IMPRODUCT(M206,('Small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-0.0000258515035853884-0.000215486053077359i</v>
      </c>
      <c r="S206" s="233">
        <f t="shared" si="123"/>
        <v>-86.106974494262261</v>
      </c>
      <c r="T206" s="233">
        <f t="shared" si="124"/>
        <v>-177.88737500599183</v>
      </c>
      <c r="U206" s="233" t="str">
        <f>IMDIV(IMSUM('Small Signal'!$B$74,IMPRODUCT(M206,'Small Signal'!$B$75)),IMSUM(IMPRODUCT('Small Signal'!$B$78,IMPOWER(M206,2)),IMSUM(IMPRODUCT(M206,'Small Signal'!$B$77),'Small Signal'!$B$76)))</f>
        <v>-0.0000138428682087532-0.000113704879767645i</v>
      </c>
      <c r="V206" s="233">
        <f t="shared" si="101"/>
        <v>-78.820521074455868</v>
      </c>
      <c r="W206" s="233">
        <f t="shared" si="102"/>
        <v>-96.941249087306147</v>
      </c>
      <c r="X206" s="233" t="str">
        <f>IMPRODUCT(IMDIV(IMSUM(IMPRODUCT(M206,'Small Signal'!$B$57*'Small Signal'!$B$6*'Small Signal'!$B$50*'Small Signal'!$B$7*'Small Signal'!$B$8),'Small Signal'!$B$57*'Small Signal'!$B$6*'Small Signal'!$B$50),IMSUM(IMSUM(IMPRODUCT(M206,('Small Signal'!$B$5+'Small Signal'!$B$6)*('Small Signal'!$B$56*'Small Signal'!$B$57)+'Small Signal'!$B$5*'Small Signal'!$B$57*('Small Signal'!$B$8+'Small Signal'!$B$9)+'Small Signal'!$B$6*'Small Signal'!$B$57*('Small Signal'!$B$8+'Small Signal'!$B$9)+'Small Signal'!$B$7*'Small Signal'!$B$8*('Small Signal'!$B$5+'Small Signal'!$B$6)),'Small Signal'!$B$6+'Small Signal'!$B$5),IMPRODUCT(IMPOWER(M206,2),'Small Signal'!$B$56*'Small Signal'!$B$57*'Small Signal'!$B$8*'Small Signal'!$B$7*('Small Signal'!$B$5+'Small Signal'!$B$6)+('Small Signal'!$B$5+'Small Signal'!$B$6)*('Small Signal'!$B$9*'Small Signal'!$B$8*'Small Signal'!$B$57*'Small Signal'!$B$7)))),-1)</f>
        <v>-0.00316585080404134+0.0749112546476786i</v>
      </c>
      <c r="Y206" s="233">
        <f t="shared" si="103"/>
        <v>-15.476428628018574</v>
      </c>
      <c r="Z206" s="233">
        <f t="shared" si="104"/>
        <v>93.308741285266493</v>
      </c>
      <c r="AA206" s="233" t="str">
        <f t="shared" si="105"/>
        <v>2.24487291438719+0.0348257375022777i</v>
      </c>
      <c r="AB206" s="233" t="str">
        <f t="shared" si="106"/>
        <v>7.87349802562722E-07-8.29626852403082E-06i</v>
      </c>
      <c r="AC206" s="230">
        <f t="shared" si="107"/>
        <v>-101.58340312228083</v>
      </c>
      <c r="AD206" s="233">
        <f t="shared" si="108"/>
        <v>-84.578633720725321</v>
      </c>
      <c r="AE206" s="233" t="str">
        <f t="shared" si="109"/>
        <v>8.56159965840665E-06-6.77013940404343E-07i</v>
      </c>
      <c r="AF206" s="230">
        <f t="shared" si="110"/>
        <v>-101.32182998112121</v>
      </c>
      <c r="AG206" s="233">
        <f t="shared" si="111"/>
        <v>-4.5212920687844589</v>
      </c>
      <c r="AI206" s="233" t="str">
        <f t="shared" si="112"/>
        <v>0.002-0.000255565943113355i</v>
      </c>
      <c r="AJ206" s="233">
        <f t="shared" si="113"/>
        <v>0.33750000000000002</v>
      </c>
      <c r="AK206" s="233" t="str">
        <f t="shared" si="114"/>
        <v>0.15-0.252243585852881i</v>
      </c>
      <c r="AL206" s="233" t="str">
        <f t="shared" si="115"/>
        <v>0.00197868106697377-0.000262114554669134i</v>
      </c>
      <c r="AM206" s="233" t="str">
        <f t="shared" si="116"/>
        <v>0.0102686232854608-0.0604955969237177i</v>
      </c>
      <c r="AN206" s="233" t="str">
        <f t="shared" si="117"/>
        <v>0.005+39.64421916295i</v>
      </c>
      <c r="AO206" s="233" t="str">
        <f t="shared" si="118"/>
        <v>-0.0000494716030081343-1.82495703136078E-06i</v>
      </c>
      <c r="AP206" s="233">
        <f t="shared" si="125"/>
        <v>-86.106974494262261</v>
      </c>
      <c r="AQ206" s="233">
        <f t="shared" si="126"/>
        <v>-177.88737500599183</v>
      </c>
      <c r="AS206" s="233" t="str">
        <f t="shared" si="119"/>
        <v>0.00997553132252359-0.0605964135117306i</v>
      </c>
      <c r="AT206" s="233" t="str">
        <f t="shared" si="120"/>
        <v>-0.0000495214281589672-1.57951937650932E-06i</v>
      </c>
      <c r="AU206" s="233">
        <f t="shared" si="127"/>
        <v>-86.099720802037197</v>
      </c>
      <c r="AV206" s="233">
        <f t="shared" si="128"/>
        <v>-178.17313178340206</v>
      </c>
    </row>
    <row r="207" spans="6:48" x14ac:dyDescent="0.25">
      <c r="F207" s="233">
        <v>205</v>
      </c>
      <c r="G207" s="249">
        <f t="shared" si="97"/>
        <v>87.266596706629969</v>
      </c>
      <c r="H207" s="249">
        <f t="shared" si="98"/>
        <v>86.390931531624801</v>
      </c>
      <c r="I207" s="234">
        <f t="shared" si="99"/>
        <v>0</v>
      </c>
      <c r="J207" s="233">
        <f t="shared" si="121"/>
        <v>0</v>
      </c>
      <c r="K207" s="233">
        <f t="shared" si="122"/>
        <v>0</v>
      </c>
      <c r="L207" s="233">
        <f>10^('Small Signal'!F207/30)</f>
        <v>6812920.6905796202</v>
      </c>
      <c r="M207" s="233" t="str">
        <f t="shared" si="100"/>
        <v>42806843.1820297i</v>
      </c>
      <c r="N207" s="233">
        <f>IF(D$31=1, IF(AND('Small Signal'!$B$61&gt;=1,FCCM=0),V207+0,S207+0), 0)</f>
        <v>-87.438017481400408</v>
      </c>
      <c r="O207" s="233">
        <f>IF(D$31=1, IF(AND('Small Signal'!$B$61&gt;=1,FCCM=0),W207,T207), 0)</f>
        <v>-178.07190338917644</v>
      </c>
      <c r="P207" s="233">
        <f>IF(AND('Small Signal'!$B$61&gt;=1,FCCM=0),AF207+0,AC207+0)</f>
        <v>-103.57958469121263</v>
      </c>
      <c r="Q207" s="233">
        <f>IF(AND('Small Signal'!$B$61&gt;=1,FCCM=0),AG207,AD207)</f>
        <v>-85.007366155537923</v>
      </c>
      <c r="R207" s="233" t="str">
        <f>IMDIV(IMSUM('Small Signal'!$B$2*'Small Signal'!$B$38*'Small Signal'!$B$62,IMPRODUCT(M207,'Small Signal'!$B$2*'Small Signal'!$B$38*'Small Signal'!$B$62*'Small Signal'!$B$14*'Small Signal'!$B$15)),IMSUM(IMPRODUCT('Small Signal'!$B$12*'Small Signal'!$B$14*('Small Signal'!$B$15+'Small Signal'!$B$38),IMPOWER(M207,2)),IMSUM(IMPRODUCT(M207,('Small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-0.000022172881255269-0.000199539118832327i</v>
      </c>
      <c r="S207" s="233">
        <f t="shared" si="123"/>
        <v>-87.438017481400408</v>
      </c>
      <c r="T207" s="233">
        <f t="shared" si="124"/>
        <v>-178.07190338917644</v>
      </c>
      <c r="U207" s="233" t="str">
        <f>IMDIV(IMSUM('Small Signal'!$B$74,IMPRODUCT(M207,'Small Signal'!$B$75)),IMSUM(IMPRODUCT('Small Signal'!$B$78,IMPOWER(M207,2)),IMSUM(IMPRODUCT(M207,'Small Signal'!$B$77),'Small Signal'!$B$76)))</f>
        <v>-0.0000118730171677719-0.000105293240832114i</v>
      </c>
      <c r="V207" s="233">
        <f t="shared" si="101"/>
        <v>-79.497117103890929</v>
      </c>
      <c r="W207" s="233">
        <f t="shared" si="102"/>
        <v>-96.433578338959066</v>
      </c>
      <c r="X207" s="233" t="str">
        <f>IMPRODUCT(IMDIV(IMSUM(IMPRODUCT(M207,'Small Signal'!$B$57*'Small Signal'!$B$6*'Small Signal'!$B$50*'Small Signal'!$B$7*'Small Signal'!$B$8),'Small Signal'!$B$57*'Small Signal'!$B$6*'Small Signal'!$B$50),IMSUM(IMSUM(IMPRODUCT(M207,('Small Signal'!$B$5+'Small Signal'!$B$6)*('Small Signal'!$B$56*'Small Signal'!$B$57)+'Small Signal'!$B$5*'Small Signal'!$B$57*('Small Signal'!$B$8+'Small Signal'!$B$9)+'Small Signal'!$B$6*'Small Signal'!$B$57*('Small Signal'!$B$8+'Small Signal'!$B$9)+'Small Signal'!$B$7*'Small Signal'!$B$8*('Small Signal'!$B$5+'Small Signal'!$B$6)),'Small Signal'!$B$6+'Small Signal'!$B$5),IMPRODUCT(IMPOWER(M207,2),'Small Signal'!$B$56*'Small Signal'!$B$57*'Small Signal'!$B$8*'Small Signal'!$B$7*('Small Signal'!$B$5+'Small Signal'!$B$6)+('Small Signal'!$B$5+'Small Signal'!$B$6)*('Small Signal'!$B$9*'Small Signal'!$B$8*'Small Signal'!$B$57*'Small Signal'!$B$7)))),-1)</f>
        <v>-0.00271605072086396+0.0693946300832412i</v>
      </c>
      <c r="Y207" s="233">
        <f t="shared" si="103"/>
        <v>-16.141567209812223</v>
      </c>
      <c r="Z207" s="233">
        <f t="shared" si="104"/>
        <v>93.064537233638532</v>
      </c>
      <c r="AA207" s="233" t="str">
        <f t="shared" si="105"/>
        <v>2.24501146282133+0.0322563573013938i</v>
      </c>
      <c r="AB207" s="233" t="str">
        <f t="shared" si="106"/>
        <v>5.76339134058321E-07-6.59735528668058E-06i</v>
      </c>
      <c r="AC207" s="230">
        <f t="shared" si="107"/>
        <v>-103.57958469121263</v>
      </c>
      <c r="AD207" s="233">
        <f t="shared" si="108"/>
        <v>-85.007366155537923</v>
      </c>
      <c r="AE207" s="233" t="str">
        <f t="shared" si="109"/>
        <v>7.33903321464754E-06-5.37941851665337E-07i</v>
      </c>
      <c r="AF207" s="230">
        <f t="shared" si="110"/>
        <v>-102.66395203426357</v>
      </c>
      <c r="AG207" s="233">
        <f t="shared" si="111"/>
        <v>-4.1922110555459735</v>
      </c>
      <c r="AI207" s="233" t="str">
        <f t="shared" si="112"/>
        <v>0.002-0.000236684406189175i</v>
      </c>
      <c r="AJ207" s="233">
        <f t="shared" si="113"/>
        <v>0.33750000000000002</v>
      </c>
      <c r="AK207" s="233" t="str">
        <f t="shared" si="114"/>
        <v>0.15-0.233607508908716i</v>
      </c>
      <c r="AL207" s="233" t="str">
        <f t="shared" si="115"/>
        <v>0.00197796594440399-0.000243807925819286i</v>
      </c>
      <c r="AM207" s="233" t="str">
        <f t="shared" si="116"/>
        <v>0.00884259624686299-0.0562502780627029i</v>
      </c>
      <c r="AN207" s="233" t="str">
        <f t="shared" si="117"/>
        <v>0.005+42.8068431820297i</v>
      </c>
      <c r="AO207" s="233" t="str">
        <f t="shared" si="118"/>
        <v>-0.0000424476033994805-1.42897066536588E-06i</v>
      </c>
      <c r="AP207" s="233">
        <f t="shared" si="125"/>
        <v>-87.438017481400408</v>
      </c>
      <c r="AQ207" s="233">
        <f t="shared" si="126"/>
        <v>-178.07190338917644</v>
      </c>
      <c r="AS207" s="233" t="str">
        <f t="shared" si="119"/>
        <v>0.00858821904016172-0.0563309829765851i</v>
      </c>
      <c r="AT207" s="233" t="str">
        <f t="shared" si="120"/>
        <v>-0.0000424842964349929-1.23305782750155E-06i</v>
      </c>
      <c r="AU207" s="233">
        <f t="shared" si="127"/>
        <v>-87.431774503975163</v>
      </c>
      <c r="AV207" s="233">
        <f t="shared" si="128"/>
        <v>-178.33752262606538</v>
      </c>
    </row>
    <row r="208" spans="6:48" x14ac:dyDescent="0.25">
      <c r="F208" s="233">
        <v>206</v>
      </c>
      <c r="G208" s="249">
        <f t="shared" si="97"/>
        <v>87.046810132717084</v>
      </c>
      <c r="H208" s="249">
        <f t="shared" si="98"/>
        <v>86.23579239688857</v>
      </c>
      <c r="I208" s="234">
        <f t="shared" si="99"/>
        <v>0</v>
      </c>
      <c r="J208" s="233">
        <f t="shared" si="121"/>
        <v>0</v>
      </c>
      <c r="K208" s="233">
        <f t="shared" si="122"/>
        <v>0</v>
      </c>
      <c r="L208" s="233">
        <f>10^('Small Signal'!F208/30)</f>
        <v>7356422.5445964225</v>
      </c>
      <c r="M208" s="233" t="str">
        <f t="shared" si="100"/>
        <v>46221766.0456129i</v>
      </c>
      <c r="N208" s="233">
        <f>IF(D$31=1, IF(AND('Small Signal'!$B$61&gt;=1,FCCM=0),V208+0,S208+0), 0)</f>
        <v>-88.770036786911731</v>
      </c>
      <c r="O208" s="233">
        <f>IF(D$31=1, IF(AND('Small Signal'!$B$61&gt;=1,FCCM=0),W208,T208), 0)</f>
        <v>-178.24332052888656</v>
      </c>
      <c r="P208" s="233">
        <f>IF(AND('Small Signal'!$B$61&gt;=1,FCCM=0),AF208+0,AC208+0)</f>
        <v>-105.57695975122525</v>
      </c>
      <c r="Q208" s="233">
        <f>IF(AND('Small Signal'!$B$61&gt;=1,FCCM=0),AG208,AD208)</f>
        <v>-85.404996599425431</v>
      </c>
      <c r="R208" s="233" t="str">
        <f>IMDIV(IMSUM('Small Signal'!$B$2*'Small Signal'!$B$38*'Small Signal'!$B$62,IMPRODUCT(M208,'Small Signal'!$B$2*'Small Signal'!$B$38*'Small Signal'!$B$62*'Small Signal'!$B$14*'Small Signal'!$B$15)),IMSUM(IMPRODUCT('Small Signal'!$B$12*'Small Signal'!$B$14*('Small Signal'!$B$15+'Small Signal'!$B$38),IMPOWER(M208,2)),IMSUM(IMPRODUCT(M208,('Small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-0.0000190177016150097-0.000184775824873279i</v>
      </c>
      <c r="S208" s="233">
        <f t="shared" si="123"/>
        <v>-88.770036786911731</v>
      </c>
      <c r="T208" s="233">
        <f t="shared" si="124"/>
        <v>-178.24332052888656</v>
      </c>
      <c r="U208" s="233" t="str">
        <f>IMDIV(IMSUM('Small Signal'!$B$74,IMPRODUCT(M208,'Small Signal'!$B$75)),IMSUM(IMPRODUCT('Small Signal'!$B$78,IMPOWER(M208,2)),IMSUM(IMPRODUCT(M208,'Small Signal'!$B$77),'Small Signal'!$B$76)))</f>
        <v>-0.0000101834718803879-0.0000975053222612637i</v>
      </c>
      <c r="V208" s="233">
        <f t="shared" si="101"/>
        <v>-80.172318308435834</v>
      </c>
      <c r="W208" s="233">
        <f t="shared" si="102"/>
        <v>-95.962364670688174</v>
      </c>
      <c r="X208" s="233" t="str">
        <f>IMPRODUCT(IMDIV(IMSUM(IMPRODUCT(M208,'Small Signal'!$B$57*'Small Signal'!$B$6*'Small Signal'!$B$50*'Small Signal'!$B$7*'Small Signal'!$B$8),'Small Signal'!$B$57*'Small Signal'!$B$6*'Small Signal'!$B$50),IMSUM(IMSUM(IMPRODUCT(M208,('Small Signal'!$B$5+'Small Signal'!$B$6)*('Small Signal'!$B$56*'Small Signal'!$B$57)+'Small Signal'!$B$5*'Small Signal'!$B$57*('Small Signal'!$B$8+'Small Signal'!$B$9)+'Small Signal'!$B$6*'Small Signal'!$B$57*('Small Signal'!$B$8+'Small Signal'!$B$9)+'Small Signal'!$B$7*'Small Signal'!$B$8*('Small Signal'!$B$5+'Small Signal'!$B$6)),'Small Signal'!$B$6+'Small Signal'!$B$5),IMPRODUCT(IMPOWER(M208,2),'Small Signal'!$B$56*'Small Signal'!$B$57*'Small Signal'!$B$8*'Small Signal'!$B$7*('Small Signal'!$B$5+'Small Signal'!$B$6)+('Small Signal'!$B$5+'Small Signal'!$B$6)*('Small Signal'!$B$9*'Small Signal'!$B$8*'Small Signal'!$B$57*'Small Signal'!$B$7)))),-1)</f>
        <v>-0.00233007067908712+0.0642819032590173i</v>
      </c>
      <c r="Y208" s="233">
        <f t="shared" si="103"/>
        <v>-16.806922964313497</v>
      </c>
      <c r="Z208" s="233">
        <f t="shared" si="104"/>
        <v>92.838323929461126</v>
      </c>
      <c r="AA208" s="233" t="str">
        <f t="shared" si="105"/>
        <v>2.24513031981631+0.0298760684920626i</v>
      </c>
      <c r="AB208" s="233" t="str">
        <f t="shared" si="106"/>
        <v>4.21550466908138E-07-5.24510135506117E-06i</v>
      </c>
      <c r="AC208" s="230">
        <f t="shared" si="107"/>
        <v>-105.57695975122525</v>
      </c>
      <c r="AD208" s="233">
        <f t="shared" si="108"/>
        <v>-85.404996599425431</v>
      </c>
      <c r="AE208" s="233" t="str">
        <f t="shared" si="109"/>
        <v>6.29155590207766E-06-4.27418661800107E-07i</v>
      </c>
      <c r="AF208" s="230">
        <f t="shared" si="110"/>
        <v>-104.00484134181954</v>
      </c>
      <c r="AG208" s="233">
        <f t="shared" si="111"/>
        <v>-3.8864337256188279</v>
      </c>
      <c r="AI208" s="233" t="str">
        <f t="shared" si="112"/>
        <v>0.002-0.000219197861227838i</v>
      </c>
      <c r="AJ208" s="233">
        <f t="shared" si="113"/>
        <v>0.33750000000000002</v>
      </c>
      <c r="AK208" s="233" t="str">
        <f t="shared" si="114"/>
        <v>0.15-0.216348289031876i</v>
      </c>
      <c r="AL208" s="233" t="str">
        <f t="shared" si="115"/>
        <v>0.00197721048572999-0.00022683854044531i</v>
      </c>
      <c r="AM208" s="233" t="str">
        <f t="shared" si="116"/>
        <v>0.00761037605163722-0.052273830883974i</v>
      </c>
      <c r="AN208" s="233" t="str">
        <f t="shared" si="117"/>
        <v>0.005+46.2217660456129i</v>
      </c>
      <c r="AO208" s="233" t="str">
        <f t="shared" si="118"/>
        <v>-0.0000364161479361386-1.11686327569354E-06i</v>
      </c>
      <c r="AP208" s="233">
        <f t="shared" si="125"/>
        <v>-88.770036786911731</v>
      </c>
      <c r="AQ208" s="233">
        <f t="shared" si="126"/>
        <v>-178.24332052888656</v>
      </c>
      <c r="AS208" s="233" t="str">
        <f t="shared" si="119"/>
        <v>0.00738996893905757-0.0523383664515345i</v>
      </c>
      <c r="AT208" s="233" t="str">
        <f t="shared" si="120"/>
        <v>-0.0000364431464217399-9.60602114435462E-07i</v>
      </c>
      <c r="AU208" s="233">
        <f t="shared" si="127"/>
        <v>-88.764666281576382</v>
      </c>
      <c r="AV208" s="233">
        <f t="shared" si="128"/>
        <v>-178.4900945475554</v>
      </c>
    </row>
    <row r="209" spans="6:48" x14ac:dyDescent="0.25">
      <c r="F209" s="233">
        <v>207</v>
      </c>
      <c r="G209" s="249">
        <f t="shared" si="97"/>
        <v>86.843226321175592</v>
      </c>
      <c r="H209" s="249">
        <f t="shared" si="98"/>
        <v>86.092089619328959</v>
      </c>
      <c r="I209" s="234">
        <f t="shared" si="99"/>
        <v>0</v>
      </c>
      <c r="J209" s="233">
        <f t="shared" si="121"/>
        <v>0</v>
      </c>
      <c r="K209" s="233">
        <f t="shared" si="122"/>
        <v>0</v>
      </c>
      <c r="L209" s="233">
        <f>10^('Small Signal'!F209/30)</f>
        <v>7943282.3472428275</v>
      </c>
      <c r="M209" s="233" t="str">
        <f t="shared" si="100"/>
        <v>49909114.9349751i</v>
      </c>
      <c r="N209" s="233">
        <f>IF(D$31=1, IF(AND('Small Signal'!$B$61&gt;=1,FCCM=0),V209+0,S209+0), 0)</f>
        <v>-90.102906998482041</v>
      </c>
      <c r="O209" s="233">
        <f>IF(D$31=1, IF(AND('Small Signal'!$B$61&gt;=1,FCCM=0),W209,T209), 0)</f>
        <v>-178.40208225198566</v>
      </c>
      <c r="P209" s="233">
        <f>IF(AND('Small Signal'!$B$61&gt;=1,FCCM=0),AF209+0,AC209+0)</f>
        <v>-107.57537205938152</v>
      </c>
      <c r="Q209" s="233">
        <f>IF(AND('Small Signal'!$B$61&gt;=1,FCCM=0),AG209,AD209)</f>
        <v>-85.773299512063332</v>
      </c>
      <c r="R209" s="233" t="str">
        <f>IMDIV(IMSUM('Small Signal'!$B$2*'Small Signal'!$B$38*'Small Signal'!$B$62,IMPRODUCT(M209,'Small Signal'!$B$2*'Small Signal'!$B$38*'Small Signal'!$B$62*'Small Signal'!$B$14*'Small Signal'!$B$15)),IMSUM(IMPRODUCT('Small Signal'!$B$12*'Small Signal'!$B$14*('Small Signal'!$B$15+'Small Signal'!$B$38),IMPOWER(M209,2)),IMSUM(IMPRODUCT(M209,('Small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-0.0000163114872908496-0.000171107599343756i</v>
      </c>
      <c r="S209" s="233">
        <f t="shared" si="123"/>
        <v>-90.102906998482041</v>
      </c>
      <c r="T209" s="233">
        <f t="shared" si="124"/>
        <v>-178.40208225198566</v>
      </c>
      <c r="U209" s="233" t="str">
        <f>IMDIV(IMSUM('Small Signal'!$B$74,IMPRODUCT(M209,'Small Signal'!$B$75)),IMSUM(IMPRODUCT('Small Signal'!$B$78,IMPOWER(M209,2)),IMSUM(IMPRODUCT(M209,'Small Signal'!$B$77),'Small Signal'!$B$76)))</f>
        <v>-8.73434689448063E-06-0.0000902945784527068i</v>
      </c>
      <c r="V209" s="233">
        <f t="shared" si="101"/>
        <v>-80.846318428640643</v>
      </c>
      <c r="W209" s="233">
        <f t="shared" si="102"/>
        <v>-95.525127289020148</v>
      </c>
      <c r="X209" s="233" t="str">
        <f>IMPRODUCT(IMDIV(IMSUM(IMPRODUCT(M209,'Small Signal'!$B$57*'Small Signal'!$B$6*'Small Signal'!$B$50*'Small Signal'!$B$7*'Small Signal'!$B$8),'Small Signal'!$B$57*'Small Signal'!$B$6*'Small Signal'!$B$50),IMSUM(IMSUM(IMPRODUCT(M209,('Small Signal'!$B$5+'Small Signal'!$B$6)*('Small Signal'!$B$56*'Small Signal'!$B$57)+'Small Signal'!$B$5*'Small Signal'!$B$57*('Small Signal'!$B$8+'Small Signal'!$B$9)+'Small Signal'!$B$6*'Small Signal'!$B$57*('Small Signal'!$B$8+'Small Signal'!$B$9)+'Small Signal'!$B$7*'Small Signal'!$B$8*('Small Signal'!$B$5+'Small Signal'!$B$6)),'Small Signal'!$B$6+'Small Signal'!$B$5),IMPRODUCT(IMPOWER(M209,2),'Small Signal'!$B$56*'Small Signal'!$B$57*'Small Signal'!$B$8*'Small Signal'!$B$7*('Small Signal'!$B$5+'Small Signal'!$B$6)+('Small Signal'!$B$5+'Small Signal'!$B$6)*('Small Signal'!$B$9*'Small Signal'!$B$8*'Small Signal'!$B$57*'Small Signal'!$B$7)))),-1)</f>
        <v>-0.00199887852377868+0.0595439878430052i</v>
      </c>
      <c r="Y209" s="233">
        <f t="shared" si="103"/>
        <v>-17.472465060899488</v>
      </c>
      <c r="Z209" s="233">
        <f t="shared" si="104"/>
        <v>92.628782739922329</v>
      </c>
      <c r="AA209" s="233" t="str">
        <f t="shared" si="105"/>
        <v>2.24523228105432+0.0276710522950928i</v>
      </c>
      <c r="AB209" s="233" t="str">
        <f t="shared" si="106"/>
        <v>3.08117427191693E-07-4.16916046386397E-06i</v>
      </c>
      <c r="AC209" s="230">
        <f t="shared" si="107"/>
        <v>-107.57537205938152</v>
      </c>
      <c r="AD209" s="233">
        <f t="shared" si="108"/>
        <v>-85.773299512063332</v>
      </c>
      <c r="AE209" s="233" t="str">
        <f t="shared" si="109"/>
        <v>5.39395818010386E-06-3.3958995161878E-07i</v>
      </c>
      <c r="AF209" s="230">
        <f t="shared" si="110"/>
        <v>-105.34466864285621</v>
      </c>
      <c r="AG209" s="233">
        <f t="shared" si="111"/>
        <v>-3.6024426492404884</v>
      </c>
      <c r="AI209" s="233" t="str">
        <f t="shared" si="112"/>
        <v>0.002-0.000203003244448877i</v>
      </c>
      <c r="AJ209" s="233">
        <f t="shared" si="113"/>
        <v>0.33750000000000002</v>
      </c>
      <c r="AK209" s="233" t="str">
        <f t="shared" si="114"/>
        <v>0.15-0.200364202271041i</v>
      </c>
      <c r="AL209" s="233" t="str">
        <f t="shared" si="115"/>
        <v>0.00197641915786013-0.000211097463361243i</v>
      </c>
      <c r="AM209" s="233" t="str">
        <f t="shared" si="116"/>
        <v>0.00654672475135285-0.0485551865117697i</v>
      </c>
      <c r="AN209" s="233" t="str">
        <f t="shared" si="117"/>
        <v>0.005+49.9091149349751i</v>
      </c>
      <c r="AO209" s="233" t="str">
        <f t="shared" si="118"/>
        <v>-0.0000312381806968859-8.71425247012636E-07i</v>
      </c>
      <c r="AP209" s="233">
        <f t="shared" si="125"/>
        <v>-90.102906998482041</v>
      </c>
      <c r="AQ209" s="233">
        <f t="shared" si="126"/>
        <v>-178.40208225198566</v>
      </c>
      <c r="AS209" s="233" t="str">
        <f t="shared" si="119"/>
        <v>0.00635602575044664-0.0486067442036823i</v>
      </c>
      <c r="AT209" s="233" t="str">
        <f t="shared" si="120"/>
        <v>-0.0000312580308370787-7.46873136808846E-07i</v>
      </c>
      <c r="AU209" s="233">
        <f t="shared" si="127"/>
        <v>-90.098288955207039</v>
      </c>
      <c r="AV209" s="233">
        <f t="shared" si="128"/>
        <v>-178.63124654459327</v>
      </c>
    </row>
    <row r="210" spans="6:48" x14ac:dyDescent="0.25">
      <c r="F210" s="233">
        <v>208</v>
      </c>
      <c r="G210" s="249">
        <f t="shared" si="97"/>
        <v>86.654655453388415</v>
      </c>
      <c r="H210" s="249">
        <f t="shared" si="98"/>
        <v>85.958983508252629</v>
      </c>
      <c r="I210" s="234">
        <f t="shared" si="99"/>
        <v>0</v>
      </c>
      <c r="J210" s="233">
        <f t="shared" si="121"/>
        <v>0</v>
      </c>
      <c r="K210" s="233">
        <f t="shared" si="122"/>
        <v>0</v>
      </c>
      <c r="L210" s="233">
        <f>10^('Small Signal'!F210/30)</f>
        <v>8576958.9859089572</v>
      </c>
      <c r="M210" s="233" t="str">
        <f t="shared" si="100"/>
        <v>53890622.6805451i</v>
      </c>
      <c r="N210" s="233">
        <f>IF(D$31=1, IF(AND('Small Signal'!$B$61&gt;=1,FCCM=0),V210+0,S210+0), 0)</f>
        <v>-91.436508294750183</v>
      </c>
      <c r="O210" s="233">
        <f>IF(D$31=1, IF(AND('Small Signal'!$B$61&gt;=1,FCCM=0),W210,T210), 0)</f>
        <v>-178.54865453609546</v>
      </c>
      <c r="P210" s="233">
        <f>IF(AND('Small Signal'!$B$61&gt;=1,FCCM=0),AF210+0,AC210+0)</f>
        <v>-109.57467533150565</v>
      </c>
      <c r="Q210" s="233">
        <f>IF(AND('Small Signal'!$B$61&gt;=1,FCCM=0),AG210,AD210)</f>
        <v>-86.113964245480304</v>
      </c>
      <c r="R210" s="233" t="str">
        <f>IMDIV(IMSUM('Small Signal'!$B$2*'Small Signal'!$B$38*'Small Signal'!$B$62,IMPRODUCT(M210,'Small Signal'!$B$2*'Small Signal'!$B$38*'Small Signal'!$B$62*'Small Signal'!$B$14*'Small Signal'!$B$15)),IMSUM(IMPRODUCT('Small Signal'!$B$12*'Small Signal'!$B$14*('Small Signal'!$B$15+'Small Signal'!$B$38),IMPOWER(M210,2)),IMSUM(IMPRODUCT(M210,('Small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-0.0000139903565247795-0.000158452645138989i</v>
      </c>
      <c r="S210" s="233">
        <f t="shared" si="123"/>
        <v>-91.436508294750183</v>
      </c>
      <c r="T210" s="233">
        <f t="shared" si="124"/>
        <v>-178.54865453609546</v>
      </c>
      <c r="U210" s="233" t="str">
        <f>IMDIV(IMSUM('Small Signal'!$B$74,IMPRODUCT(M210,'Small Signal'!$B$75)),IMSUM(IMPRODUCT('Small Signal'!$B$78,IMPOWER(M210,2)),IMSUM(IMPRODUCT(M210,'Small Signal'!$B$77),'Small Signal'!$B$76)))</f>
        <v>-0.0000074914317737708-0.0000836179981514867i</v>
      </c>
      <c r="V210" s="233">
        <f t="shared" si="101"/>
        <v>-81.51928487094645</v>
      </c>
      <c r="W210" s="233">
        <f t="shared" si="102"/>
        <v>-95.119525980592627</v>
      </c>
      <c r="X210" s="233" t="str">
        <f>IMPRODUCT(IMDIV(IMSUM(IMPRODUCT(M210,'Small Signal'!$B$57*'Small Signal'!$B$6*'Small Signal'!$B$50*'Small Signal'!$B$7*'Small Signal'!$B$8),'Small Signal'!$B$57*'Small Signal'!$B$6*'Small Signal'!$B$50),IMSUM(IMSUM(IMPRODUCT(M210,('Small Signal'!$B$5+'Small Signal'!$B$6)*('Small Signal'!$B$56*'Small Signal'!$B$57)+'Small Signal'!$B$5*'Small Signal'!$B$57*('Small Signal'!$B$8+'Small Signal'!$B$9)+'Small Signal'!$B$6*'Small Signal'!$B$57*('Small Signal'!$B$8+'Small Signal'!$B$9)+'Small Signal'!$B$7*'Small Signal'!$B$8*('Small Signal'!$B$5+'Small Signal'!$B$6)),'Small Signal'!$B$6+'Small Signal'!$B$5),IMPRODUCT(IMPOWER(M210,2),'Small Signal'!$B$56*'Small Signal'!$B$57*'Small Signal'!$B$8*'Small Signal'!$B$7*('Small Signal'!$B$5+'Small Signal'!$B$6)+('Small Signal'!$B$5+'Small Signal'!$B$6)*('Small Signal'!$B$9*'Small Signal'!$B$8*'Small Signal'!$B$57*'Small Signal'!$B$7)))),-1)</f>
        <v>-0.00171471430926714+0.055153792035026i</v>
      </c>
      <c r="Y210" s="233">
        <f t="shared" si="103"/>
        <v>-18.138167036755448</v>
      </c>
      <c r="Z210" s="233">
        <f t="shared" si="104"/>
        <v>92.434690290615151</v>
      </c>
      <c r="AA210" s="233" t="str">
        <f t="shared" si="105"/>
        <v>2.24531974609432+0.0256284797739507i</v>
      </c>
      <c r="AB210" s="233" t="str">
        <f t="shared" si="106"/>
        <v>2.25069877689403E-07-0.0000033133442853647i</v>
      </c>
      <c r="AC210" s="230">
        <f t="shared" si="107"/>
        <v>-109.57467533150565</v>
      </c>
      <c r="AD210" s="233">
        <f t="shared" si="108"/>
        <v>-86.113964245480304</v>
      </c>
      <c r="AE210" s="233" t="str">
        <f t="shared" si="109"/>
        <v>4.62469534569167E-06-2.69799892152513E-07i</v>
      </c>
      <c r="AF210" s="230">
        <f t="shared" si="110"/>
        <v>-106.68358159889425</v>
      </c>
      <c r="AG210" s="233">
        <f t="shared" si="111"/>
        <v>-3.3387915304974207</v>
      </c>
      <c r="AI210" s="233" t="str">
        <f t="shared" si="112"/>
        <v>0.002-0.000188005106555012i</v>
      </c>
      <c r="AJ210" s="233">
        <f t="shared" si="113"/>
        <v>0.33750000000000002</v>
      </c>
      <c r="AK210" s="233" t="str">
        <f t="shared" si="114"/>
        <v>0.15-0.185561040169797i</v>
      </c>
      <c r="AL210" s="233" t="str">
        <f t="shared" si="115"/>
        <v>0.00197559801695789-0.000196484030610323i</v>
      </c>
      <c r="AM210" s="233" t="str">
        <f t="shared" si="116"/>
        <v>0.00562940213982749-0.0450824128622776i</v>
      </c>
      <c r="AN210" s="233" t="str">
        <f t="shared" si="117"/>
        <v>0.005+53.8906226805451i</v>
      </c>
      <c r="AO210" s="233" t="str">
        <f t="shared" si="118"/>
        <v>-0.0000267938571997516-6.78853885037782E-07i</v>
      </c>
      <c r="AP210" s="233">
        <f t="shared" si="125"/>
        <v>-91.436508294750183</v>
      </c>
      <c r="AQ210" s="233">
        <f t="shared" si="126"/>
        <v>-178.54865453609546</v>
      </c>
      <c r="AS210" s="233" t="str">
        <f t="shared" si="119"/>
        <v>0.00546461070705408-0.0451235693753794i</v>
      </c>
      <c r="AT210" s="233" t="str">
        <f t="shared" si="120"/>
        <v>-0.0000268084420632955-5.79633017747462E-07i</v>
      </c>
      <c r="AU210" s="233">
        <f t="shared" si="127"/>
        <v>-91.432538708866403</v>
      </c>
      <c r="AV210" s="233">
        <f t="shared" si="128"/>
        <v>-178.76138449709256</v>
      </c>
    </row>
    <row r="211" spans="6:48" x14ac:dyDescent="0.25">
      <c r="F211" s="233">
        <v>209</v>
      </c>
      <c r="G211" s="249">
        <f t="shared" si="97"/>
        <v>86.47999412508014</v>
      </c>
      <c r="H211" s="249">
        <f t="shared" si="98"/>
        <v>85.83569533440172</v>
      </c>
      <c r="I211" s="234">
        <f t="shared" si="99"/>
        <v>0</v>
      </c>
      <c r="J211" s="233">
        <f t="shared" si="121"/>
        <v>0</v>
      </c>
      <c r="K211" s="233">
        <f t="shared" si="122"/>
        <v>0</v>
      </c>
      <c r="L211" s="233">
        <f>10^('Small Signal'!F211/30)</f>
        <v>9261187.2812879551</v>
      </c>
      <c r="M211" s="233" t="str">
        <f t="shared" si="100"/>
        <v>58189755.8528269i</v>
      </c>
      <c r="N211" s="233">
        <f>IF(D$31=1, IF(AND('Small Signal'!$B$61&gt;=1,FCCM=0),V211+0,S211+0), 0)</f>
        <v>-92.770725753030106</v>
      </c>
      <c r="O211" s="233">
        <f>IF(D$31=1, IF(AND('Small Signal'!$B$61&gt;=1,FCCM=0),W211,T211), 0)</f>
        <v>-178.68351929823231</v>
      </c>
      <c r="P211" s="233">
        <f>IF(AND('Small Signal'!$B$61&gt;=1,FCCM=0),AF211+0,AC211+0)</f>
        <v>-111.5747319334951</v>
      </c>
      <c r="Q211" s="233">
        <f>IF(AND('Small Signal'!$B$61&gt;=1,FCCM=0),AG211,AD211)</f>
        <v>-86.428607427131951</v>
      </c>
      <c r="R211" s="233" t="str">
        <f>IMDIV(IMSUM('Small Signal'!$B$2*'Small Signal'!$B$38*'Small Signal'!$B$62,IMPRODUCT(M211,'Small Signal'!$B$2*'Small Signal'!$B$38*'Small Signal'!$B$62*'Small Signal'!$B$14*'Small Signal'!$B$15)),IMSUM(IMPRODUCT('Small Signal'!$B$12*'Small Signal'!$B$14*('Small Signal'!$B$15+'Small Signal'!$B$38),IMPOWER(M211,2)),IMSUM(IMPRODUCT(M211,('Small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-0.0000119995161204019-0.000146735391885194i</v>
      </c>
      <c r="S211" s="233">
        <f t="shared" si="123"/>
        <v>-92.770725753030106</v>
      </c>
      <c r="T211" s="233">
        <f t="shared" si="124"/>
        <v>-178.68351929823231</v>
      </c>
      <c r="U211" s="233" t="str">
        <f>IMDIV(IMSUM('Small Signal'!$B$74,IMPRODUCT(M211,'Small Signal'!$B$75)),IMSUM(IMPRODUCT('Small Signal'!$B$78,IMPOWER(M211,2)),IMSUM(IMPRODUCT(M211,'Small Signal'!$B$77),'Small Signal'!$B$76)))</f>
        <v>-6.42538374384819E-06-0.000077435823687874i</v>
      </c>
      <c r="V211" s="233">
        <f t="shared" si="101"/>
        <v>-82.191362135476126</v>
      </c>
      <c r="W211" s="233">
        <f t="shared" si="102"/>
        <v>-94.743359181775418</v>
      </c>
      <c r="X211" s="233" t="str">
        <f>IMPRODUCT(IMDIV(IMSUM(IMPRODUCT(M211,'Small Signal'!$B$57*'Small Signal'!$B$6*'Small Signal'!$B$50*'Small Signal'!$B$7*'Small Signal'!$B$8),'Small Signal'!$B$57*'Small Signal'!$B$6*'Small Signal'!$B$50),IMSUM(IMSUM(IMPRODUCT(M211,('Small Signal'!$B$5+'Small Signal'!$B$6)*('Small Signal'!$B$56*'Small Signal'!$B$57)+'Small Signal'!$B$5*'Small Signal'!$B$57*('Small Signal'!$B$8+'Small Signal'!$B$9)+'Small Signal'!$B$6*'Small Signal'!$B$57*('Small Signal'!$B$8+'Small Signal'!$B$9)+'Small Signal'!$B$7*'Small Signal'!$B$8*('Small Signal'!$B$5+'Small Signal'!$B$6)),'Small Signal'!$B$6+'Small Signal'!$B$5),IMPRODUCT(IMPOWER(M211,2),'Small Signal'!$B$56*'Small Signal'!$B$57*'Small Signal'!$B$8*'Small Signal'!$B$7*('Small Signal'!$B$5+'Small Signal'!$B$6)+('Small Signal'!$B$5+'Small Signal'!$B$6)*('Small Signal'!$B$9*'Small Signal'!$B$8*'Small Signal'!$B$57*'Small Signal'!$B$7)))),-1)</f>
        <v>-0.00147091270971676+0.0510861027409961i</v>
      </c>
      <c r="Y211" s="233">
        <f t="shared" si="103"/>
        <v>-18.804006180464999</v>
      </c>
      <c r="Z211" s="233">
        <f t="shared" si="104"/>
        <v>92.254911871100376</v>
      </c>
      <c r="AA211" s="233" t="str">
        <f t="shared" si="105"/>
        <v>2.24539477428971+0.0237364450825804i</v>
      </c>
      <c r="AB211" s="233" t="str">
        <f t="shared" si="106"/>
        <v>1.64322523114994E-07-2.63280784786615E-06i</v>
      </c>
      <c r="AC211" s="230">
        <f t="shared" si="107"/>
        <v>-111.5747319334951</v>
      </c>
      <c r="AD211" s="233">
        <f t="shared" si="108"/>
        <v>-86.428607427131951</v>
      </c>
      <c r="AE211" s="233" t="str">
        <f t="shared" si="109"/>
        <v>3.96534562336602E-06-2.14346476838675E-07i</v>
      </c>
      <c r="AF211" s="230">
        <f t="shared" si="110"/>
        <v>-108.0217077626653</v>
      </c>
      <c r="AG211" s="233">
        <f t="shared" si="111"/>
        <v>-3.0941080537656673</v>
      </c>
      <c r="AI211" s="233" t="str">
        <f t="shared" si="112"/>
        <v>0.002-0.000174115050164446i</v>
      </c>
      <c r="AJ211" s="233">
        <f t="shared" si="113"/>
        <v>0.33750000000000002</v>
      </c>
      <c r="AK211" s="233" t="str">
        <f t="shared" si="114"/>
        <v>0.15-0.171851554512308i</v>
      </c>
      <c r="AL211" s="233" t="str">
        <f t="shared" si="115"/>
        <v>0.00197475454092702-0.000182905674674186i</v>
      </c>
      <c r="AM211" s="233" t="str">
        <f t="shared" si="116"/>
        <v>0.00483888704385279-0.0418430849116417i</v>
      </c>
      <c r="AN211" s="233" t="str">
        <f t="shared" si="117"/>
        <v>0.005+58.1897558528269i</v>
      </c>
      <c r="AO211" s="233" t="str">
        <f t="shared" si="118"/>
        <v>-0.0000229799490663833-5.28101453682679E-07i</v>
      </c>
      <c r="AP211" s="233">
        <f t="shared" si="125"/>
        <v>-92.770725753030106</v>
      </c>
      <c r="AQ211" s="233">
        <f t="shared" si="126"/>
        <v>-178.68351929823231</v>
      </c>
      <c r="AS211" s="233" t="str">
        <f t="shared" si="119"/>
        <v>0.00469663453599122-0.0418759158015902i</v>
      </c>
      <c r="AT211" s="233" t="str">
        <f t="shared" si="120"/>
        <v>-0.0000229906593474195-4.49098729259118E-07i</v>
      </c>
      <c r="AU211" s="233">
        <f t="shared" si="127"/>
        <v>-92.767314622590064</v>
      </c>
      <c r="AV211" s="233">
        <f t="shared" si="128"/>
        <v>-178.88092858506769</v>
      </c>
    </row>
    <row r="212" spans="6:48" x14ac:dyDescent="0.25">
      <c r="F212" s="233">
        <v>210</v>
      </c>
      <c r="G212" s="249">
        <f t="shared" si="97"/>
        <v>86.318219267728054</v>
      </c>
      <c r="H212" s="249">
        <f t="shared" si="98"/>
        <v>85.721503046665006</v>
      </c>
      <c r="I212" s="234">
        <f t="shared" si="99"/>
        <v>0</v>
      </c>
      <c r="J212" s="233">
        <f t="shared" si="121"/>
        <v>0</v>
      </c>
      <c r="K212" s="233">
        <f t="shared" si="122"/>
        <v>0</v>
      </c>
      <c r="L212" s="233">
        <f>10^('Small Signal'!F212/30)</f>
        <v>10000000</v>
      </c>
      <c r="M212" s="233" t="str">
        <f t="shared" si="100"/>
        <v>62831853.0717959i</v>
      </c>
      <c r="N212" s="233">
        <f>IF(D$31=1, IF(AND('Small Signal'!$B$61&gt;=1,FCCM=0),V212+0,S212+0), 0)</f>
        <v>-94.105449288885438</v>
      </c>
      <c r="O212" s="233">
        <f>IF(D$31=1, IF(AND('Small Signal'!$B$61&gt;=1,FCCM=0),W212,T212), 0)</f>
        <v>-178.80718068858849</v>
      </c>
      <c r="P212" s="233">
        <f>IF(AND('Small Signal'!$B$61&gt;=1,FCCM=0),AF212+0,AC212+0)</f>
        <v>-113.57541229084747</v>
      </c>
      <c r="Q212" s="233">
        <f>IF(AND('Small Signal'!$B$61&gt;=1,FCCM=0),AG212,AD212)</f>
        <v>-86.718785451571989</v>
      </c>
      <c r="R212" s="233" t="str">
        <f>IMDIV(IMSUM('Small Signal'!$B$2*'Small Signal'!$B$38*'Small Signal'!$B$62,IMPRODUCT(M212,'Small Signal'!$B$2*'Small Signal'!$B$38*'Small Signal'!$B$62*'Small Signal'!$B$14*'Small Signal'!$B$15)),IMSUM(IMPRODUCT('Small Signal'!$B$12*'Small Signal'!$B$14*('Small Signal'!$B$15+'Small Signal'!$B$38),IMPOWER(M212,2)),IMSUM(IMPRODUCT(M212,('Small Signal'!$B$12+'Small Signal'!$B$14*'Small Signal'!$B$38*'Small Signal'!$B$15+'Small Signal'!$B$14*'Small Signal'!$B$38*'Small Signal'!$B$13+'Small Signal'!$B$14*'Small Signal'!$B$15*'Small Signal'!$B$13+'Small Signal'!$B$14*1*'Small Signal'!$B$62*'Small Signal'!$B$38*'Small Signal'!$B$53*'Small Signal'!$B$2+'Small Signal'!$B$14*'Small Signal'!$B$62*1*'Small Signal'!$B$15*'Small Signal'!$B$53*'Small Signal'!$B$2)),('Small Signal'!$B$13+'Small Signal'!$B$38+'Small Signal'!$B$62*1*'Small Signal'!$B$53*'Small Signal'!$B$2))))</f>
        <v>-0.0000102919686517317-0.000135885998173334i</v>
      </c>
      <c r="S212" s="233">
        <f t="shared" si="123"/>
        <v>-94.105449288885438</v>
      </c>
      <c r="T212" s="233">
        <f t="shared" si="124"/>
        <v>-178.80718068858849</v>
      </c>
      <c r="U212" s="233" t="str">
        <f>IMDIV(IMSUM('Small Signal'!$B$74,IMPRODUCT(M212,'Small Signal'!$B$75)),IMSUM(IMPRODUCT('Small Signal'!$B$78,IMPOWER(M212,2)),IMSUM(IMPRODUCT(M212,'Small Signal'!$B$77),'Small Signal'!$B$76)))</f>
        <v>-5.51103516875276E-06-0.0000717112949972244i</v>
      </c>
      <c r="V212" s="233">
        <f t="shared" si="101"/>
        <v>-82.862674837967987</v>
      </c>
      <c r="W212" s="233">
        <f t="shared" si="102"/>
        <v>-94.394560553927491</v>
      </c>
      <c r="X212" s="233" t="str">
        <f>IMPRODUCT(IMDIV(IMSUM(IMPRODUCT(M212,'Small Signal'!$B$57*'Small Signal'!$B$6*'Small Signal'!$B$50*'Small Signal'!$B$7*'Small Signal'!$B$8),'Small Signal'!$B$57*'Small Signal'!$B$6*'Small Signal'!$B$50),IMSUM(IMSUM(IMPRODUCT(M212,('Small Signal'!$B$5+'Small Signal'!$B$6)*('Small Signal'!$B$56*'Small Signal'!$B$57)+'Small Signal'!$B$5*'Small Signal'!$B$57*('Small Signal'!$B$8+'Small Signal'!$B$9)+'Small Signal'!$B$6*'Small Signal'!$B$57*('Small Signal'!$B$8+'Small Signal'!$B$9)+'Small Signal'!$B$7*'Small Signal'!$B$8*('Small Signal'!$B$5+'Small Signal'!$B$6)),'Small Signal'!$B$6+'Small Signal'!$B$5),IMPRODUCT(IMPOWER(M212,2),'Small Signal'!$B$56*'Small Signal'!$B$57*'Small Signal'!$B$8*'Small Signal'!$B$7*('Small Signal'!$B$5+'Small Signal'!$B$6)+('Small Signal'!$B$5+'Small Signal'!$B$6)*('Small Signal'!$B$9*'Small Signal'!$B$8*'Small Signal'!$B$57*'Small Signal'!$B$7)))),-1)</f>
        <v>-0.00126174979378393+0.0473174718901694i</v>
      </c>
      <c r="Y212" s="233">
        <f t="shared" si="103"/>
        <v>-19.469963001962046</v>
      </c>
      <c r="Z212" s="233">
        <f t="shared" si="104"/>
        <v>92.088395237016499</v>
      </c>
      <c r="AA212" s="233" t="str">
        <f t="shared" si="105"/>
        <v>2.24545913286796+0.02198390233911i</v>
      </c>
      <c r="AB212" s="233" t="str">
        <f t="shared" si="106"/>
        <v>1.19923409836582E-07-2.09178398979385E-06i</v>
      </c>
      <c r="AC212" s="230">
        <f t="shared" si="107"/>
        <v>-113.57541229084747</v>
      </c>
      <c r="AD212" s="233">
        <f t="shared" si="108"/>
        <v>-86.718785451571989</v>
      </c>
      <c r="AE212" s="233" t="str">
        <f t="shared" si="109"/>
        <v>3.40015073272652E-06-1.70286540008467E-07i</v>
      </c>
      <c r="AF212" s="230">
        <f t="shared" si="110"/>
        <v>-109.35915720517853</v>
      </c>
      <c r="AG212" s="233">
        <f t="shared" si="111"/>
        <v>-2.8670949551927198</v>
      </c>
      <c r="AI212" s="233" t="str">
        <f t="shared" si="112"/>
        <v>0.002-0.000161251208806378i</v>
      </c>
      <c r="AJ212" s="233">
        <f t="shared" si="113"/>
        <v>0.33750000000000002</v>
      </c>
      <c r="AK212" s="233" t="str">
        <f t="shared" si="114"/>
        <v>0.15-0.159154943091895i</v>
      </c>
      <c r="AL212" s="233" t="str">
        <f t="shared" si="115"/>
        <v>0.00197389735053615-0.000170277748462298i</v>
      </c>
      <c r="AM212" s="233" t="str">
        <f t="shared" si="116"/>
        <v>0.00415810241356722-0.0388245764427586i</v>
      </c>
      <c r="AN212" s="233" t="str">
        <f t="shared" si="117"/>
        <v>0.005+62.8318530717959i</v>
      </c>
      <c r="AO212" s="233" t="str">
        <f t="shared" ref="AO212" si="129">IMDIV(IMPRODUCT(AL212,AM212),IMPRODUCT(Ri,IMSUM(AM212,AL212,AN212)))</f>
        <v>-0.0000197075852487498-4.1034409927026E-07i</v>
      </c>
      <c r="AP212" s="233">
        <f t="shared" ref="AP212" si="130">20*LOG(IMABS(AO212))</f>
        <v>-94.105449288885438</v>
      </c>
      <c r="AQ212" s="233">
        <f t="shared" ref="AQ212" si="131">(180/PI())*IMARGUMENT(AO212)</f>
        <v>-178.80718068858849</v>
      </c>
      <c r="AS212" s="233" t="str">
        <f t="shared" si="119"/>
        <v>0.00403541799531924-0.038850750282872i</v>
      </c>
      <c r="AT212" s="233" t="str">
        <f t="shared" si="120"/>
        <v>-0.0000197154467060031-3.47466017064081E-07i</v>
      </c>
      <c r="AU212" s="233">
        <f t="shared" si="127"/>
        <v>-94.102518827402903</v>
      </c>
      <c r="AV212" s="233">
        <f t="shared" si="128"/>
        <v>-178.99032085049271</v>
      </c>
    </row>
  </sheetData>
  <sheetProtection sheet="1" objects="1" scenarios="1" selectLockedCells="1"/>
  <phoneticPr fontId="2" type="noConversion"/>
  <conditionalFormatting sqref="C19">
    <cfRule type="cellIs" dxfId="3" priority="8" operator="greaterThan">
      <formula>fsw/5</formula>
    </cfRule>
  </conditionalFormatting>
  <conditionalFormatting sqref="C20">
    <cfRule type="cellIs" dxfId="2" priority="7" operator="lessThan">
      <formula>60</formula>
    </cfRule>
  </conditionalFormatting>
  <conditionalFormatting sqref="C21">
    <cfRule type="cellIs" dxfId="1" priority="6" operator="greaterThan">
      <formula>-10</formula>
    </cfRule>
  </conditionalFormatting>
  <dataValidations count="1">
    <dataValidation type="list" allowBlank="1" showInputMessage="1" showErrorMessage="1" sqref="C31:C32">
      <formula1>$B$34:$B$35</formula1>
    </dataValidation>
  </dataValidations>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zoomScaleNormal="100" workbookViewId="0">
      <selection activeCell="F9" sqref="F9"/>
    </sheetView>
  </sheetViews>
  <sheetFormatPr defaultColWidth="0" defaultRowHeight="13.2" zeroHeight="1" x14ac:dyDescent="0.25"/>
  <cols>
    <col min="1" max="1" width="25" style="125" bestFit="1" customWidth="1"/>
    <col min="2" max="2" width="10.88671875" style="125" bestFit="1" customWidth="1"/>
    <col min="3" max="3" width="10.109375" style="125" bestFit="1" customWidth="1"/>
    <col min="4" max="4" width="10.6640625" style="125" bestFit="1" customWidth="1"/>
    <col min="5" max="5" width="10.109375" style="125" bestFit="1" customWidth="1"/>
    <col min="6" max="6" width="9.109375" style="125" customWidth="1"/>
    <col min="7" max="7" width="18.6640625" style="125" bestFit="1" customWidth="1"/>
    <col min="8" max="8" width="0" style="125" hidden="1" customWidth="1"/>
    <col min="9" max="16384" width="9.109375" style="125" hidden="1"/>
  </cols>
  <sheetData>
    <row r="1" spans="1:7" x14ac:dyDescent="0.25">
      <c r="A1" s="135"/>
    </row>
    <row r="2" spans="1:7" x14ac:dyDescent="0.25">
      <c r="A2" s="135" t="s">
        <v>246</v>
      </c>
      <c r="B2" s="218">
        <f>Vout</f>
        <v>1.35</v>
      </c>
      <c r="C2" s="135" t="s">
        <v>247</v>
      </c>
      <c r="D2" s="135"/>
      <c r="E2" s="135"/>
      <c r="G2" s="134" t="s">
        <v>135</v>
      </c>
    </row>
    <row r="3" spans="1:7" x14ac:dyDescent="0.25">
      <c r="A3" s="135"/>
      <c r="B3" s="135"/>
      <c r="C3" s="135"/>
      <c r="D3" s="135"/>
      <c r="E3" s="135"/>
      <c r="G3" s="136" t="s">
        <v>19</v>
      </c>
    </row>
    <row r="4" spans="1:7" ht="13.8" x14ac:dyDescent="0.25">
      <c r="A4" s="135"/>
      <c r="B4" s="4" t="s">
        <v>257</v>
      </c>
      <c r="C4" s="4" t="s">
        <v>248</v>
      </c>
      <c r="D4" s="4" t="s">
        <v>249</v>
      </c>
      <c r="E4" s="4" t="s">
        <v>250</v>
      </c>
      <c r="G4" s="137" t="s">
        <v>20</v>
      </c>
    </row>
    <row r="5" spans="1:7" x14ac:dyDescent="0.25">
      <c r="A5" s="135" t="s">
        <v>251</v>
      </c>
      <c r="B5" s="219">
        <f>Rhs</f>
        <v>7500</v>
      </c>
      <c r="C5" s="220">
        <v>0.01</v>
      </c>
      <c r="D5" s="193">
        <f>(C5+1)*B5</f>
        <v>7575</v>
      </c>
      <c r="E5" s="193">
        <f>((1-C5)*B5)</f>
        <v>7425</v>
      </c>
    </row>
    <row r="6" spans="1:7" x14ac:dyDescent="0.25">
      <c r="A6" s="135" t="s">
        <v>252</v>
      </c>
      <c r="B6" s="219">
        <f>Rls</f>
        <v>6020</v>
      </c>
      <c r="C6" s="220">
        <v>0.01</v>
      </c>
      <c r="D6" s="193">
        <f>(C6+1)*B6</f>
        <v>6080.2</v>
      </c>
      <c r="E6" s="193">
        <f>((1-C6)*B6)</f>
        <v>5959.8</v>
      </c>
    </row>
    <row r="7" spans="1:7" x14ac:dyDescent="0.25">
      <c r="A7" s="135" t="s">
        <v>258</v>
      </c>
      <c r="B7" s="194">
        <f>LOOKUP('Design Equations CCM'!B3,partdata!A2:A11,partdata!K2:K11)</f>
        <v>0.6</v>
      </c>
      <c r="C7" s="200">
        <f>LOOKUP('Design Equations CCM'!B3,partdata!A2:A11,partdata!L2:L11)</f>
        <v>0.01</v>
      </c>
      <c r="D7" s="195">
        <f>(C7+1)*B7</f>
        <v>0.60599999999999998</v>
      </c>
      <c r="E7" s="195">
        <f>((1-C7)*B7)</f>
        <v>0.59399999999999997</v>
      </c>
    </row>
    <row r="8" spans="1:7" x14ac:dyDescent="0.25">
      <c r="A8" s="135"/>
      <c r="B8" s="135"/>
      <c r="C8" s="135"/>
      <c r="D8" s="135"/>
      <c r="E8" s="135"/>
    </row>
    <row r="9" spans="1:7" x14ac:dyDescent="0.25">
      <c r="A9" s="135"/>
      <c r="B9" s="4" t="s">
        <v>39</v>
      </c>
      <c r="C9" s="135"/>
      <c r="D9" s="4" t="s">
        <v>253</v>
      </c>
      <c r="E9" s="135"/>
    </row>
    <row r="10" spans="1:7" x14ac:dyDescent="0.25">
      <c r="A10" s="135" t="s">
        <v>254</v>
      </c>
      <c r="B10" s="196">
        <f>(B7/B6)*B5+B7</f>
        <v>1.3475083056478403</v>
      </c>
      <c r="C10" s="135" t="s">
        <v>247</v>
      </c>
      <c r="D10" s="197">
        <f>(B10-$B$2)/$B$2</f>
        <v>-1.845699520118363E-3</v>
      </c>
      <c r="E10" s="135"/>
    </row>
    <row r="11" spans="1:7" x14ac:dyDescent="0.25">
      <c r="A11" s="135" t="s">
        <v>255</v>
      </c>
      <c r="B11" s="196">
        <f>(E7/D6*E5+E7)*(1-B15)</f>
        <v>1.3193790993717311</v>
      </c>
      <c r="C11" s="135" t="s">
        <v>247</v>
      </c>
      <c r="D11" s="197">
        <f>(B11-$B$2)/$B$2</f>
        <v>-2.268214861353255E-2</v>
      </c>
      <c r="E11" s="135"/>
    </row>
    <row r="12" spans="1:7" x14ac:dyDescent="0.25">
      <c r="A12" s="135" t="s">
        <v>256</v>
      </c>
      <c r="B12" s="196">
        <f>(D7/E6*D5+D7)</f>
        <v>1.3762355783751132</v>
      </c>
      <c r="C12" s="135" t="s">
        <v>247</v>
      </c>
      <c r="D12" s="197">
        <f>(B12-$B$2)/$B$2</f>
        <v>1.9433761759343068E-2</v>
      </c>
      <c r="E12" s="135"/>
    </row>
    <row r="13" spans="1:7" x14ac:dyDescent="0.25">
      <c r="A13" s="135"/>
      <c r="C13" s="135"/>
      <c r="E13" s="135"/>
    </row>
    <row r="14" spans="1:7" x14ac:dyDescent="0.25">
      <c r="C14" s="135"/>
      <c r="E14" s="135"/>
    </row>
    <row r="15" spans="1:7" x14ac:dyDescent="0.25">
      <c r="A15" s="135" t="s">
        <v>260</v>
      </c>
      <c r="B15" s="221">
        <f>C15</f>
        <v>0</v>
      </c>
      <c r="C15" s="201">
        <f>LOOKUP('Design Equations CCM'!B3,partdata!A2:A11,partdata!M2:M11)</f>
        <v>0</v>
      </c>
      <c r="D15" s="135"/>
      <c r="E15" s="135"/>
    </row>
    <row r="16" spans="1:7" x14ac:dyDescent="0.25">
      <c r="A16" s="135"/>
      <c r="C16" s="135"/>
      <c r="D16" s="135"/>
      <c r="E16" s="135"/>
    </row>
    <row r="17" spans="1:5" hidden="1" x14ac:dyDescent="0.25">
      <c r="A17" s="135"/>
      <c r="B17" s="135"/>
      <c r="C17" s="135"/>
      <c r="D17" s="135"/>
      <c r="E17" s="135"/>
    </row>
    <row r="18" spans="1:5" hidden="1" x14ac:dyDescent="0.25">
      <c r="A18" s="135"/>
      <c r="C18" s="135"/>
      <c r="E18" s="135"/>
    </row>
    <row r="19" spans="1:5" hidden="1" x14ac:dyDescent="0.25">
      <c r="A19" s="135"/>
    </row>
  </sheetData>
  <sheetProtection sheet="1" objects="1" scenarios="1"/>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E23"/>
  <sheetViews>
    <sheetView zoomScale="80" zoomScaleNormal="80" workbookViewId="0">
      <pane xSplit="1" topLeftCell="E1" activePane="topRight" state="frozen"/>
      <selection pane="topRight" activeCell="A5" sqref="A5"/>
    </sheetView>
  </sheetViews>
  <sheetFormatPr defaultColWidth="8.6640625" defaultRowHeight="13.2" x14ac:dyDescent="0.25"/>
  <cols>
    <col min="1" max="1" width="22.109375" bestFit="1" customWidth="1"/>
    <col min="2" max="2" width="16.6640625" bestFit="1" customWidth="1"/>
    <col min="3" max="3" width="10.33203125" bestFit="1" customWidth="1"/>
    <col min="4" max="4" width="12.44140625" bestFit="1" customWidth="1"/>
    <col min="5" max="5" width="13.44140625" bestFit="1" customWidth="1"/>
    <col min="6" max="6" width="13.6640625" bestFit="1" customWidth="1"/>
    <col min="7" max="7" width="8.109375" bestFit="1" customWidth="1"/>
    <col min="8" max="8" width="9.5546875" bestFit="1" customWidth="1"/>
    <col min="9" max="9" width="9.88671875" bestFit="1" customWidth="1"/>
    <col min="10" max="10" width="6.5546875" bestFit="1" customWidth="1"/>
    <col min="11" max="11" width="8.44140625" bestFit="1" customWidth="1"/>
    <col min="12" max="12" width="11.44140625" bestFit="1" customWidth="1"/>
    <col min="13" max="13" width="18.109375" bestFit="1" customWidth="1"/>
    <col min="14" max="14" width="5.6640625" bestFit="1" customWidth="1"/>
    <col min="15" max="15" width="8.88671875" bestFit="1" customWidth="1"/>
    <col min="16" max="16" width="14.33203125" bestFit="1" customWidth="1"/>
    <col min="17" max="17" width="14.109375" bestFit="1" customWidth="1"/>
    <col min="18" max="18" width="10.109375" bestFit="1" customWidth="1"/>
    <col min="19" max="19" width="12.44140625" bestFit="1" customWidth="1"/>
    <col min="20" max="20" width="18.5546875" bestFit="1" customWidth="1"/>
    <col min="21" max="21" width="17.44140625" bestFit="1" customWidth="1"/>
    <col min="22" max="22" width="20.5546875" bestFit="1" customWidth="1"/>
    <col min="23" max="23" width="11.5546875" bestFit="1" customWidth="1"/>
    <col min="24" max="24" width="7.88671875" bestFit="1" customWidth="1"/>
    <col min="25" max="25" width="7.109375" bestFit="1" customWidth="1"/>
    <col min="26" max="26" width="6" bestFit="1" customWidth="1"/>
    <col min="27" max="27" width="8.109375" bestFit="1" customWidth="1"/>
    <col min="28" max="28" width="7.109375" bestFit="1" customWidth="1"/>
    <col min="29" max="29" width="12.6640625" bestFit="1" customWidth="1"/>
    <col min="30" max="30" width="9.88671875" bestFit="1" customWidth="1"/>
  </cols>
  <sheetData>
    <row r="1" spans="1:31" s="217" customFormat="1" x14ac:dyDescent="0.25">
      <c r="A1" s="212" t="s">
        <v>128</v>
      </c>
      <c r="B1" s="212" t="s">
        <v>148</v>
      </c>
      <c r="C1" s="212" t="s">
        <v>210</v>
      </c>
      <c r="D1" s="212" t="s">
        <v>211</v>
      </c>
      <c r="E1" s="212" t="s">
        <v>130</v>
      </c>
      <c r="F1" s="212" t="s">
        <v>131</v>
      </c>
      <c r="G1" s="135" t="s">
        <v>292</v>
      </c>
      <c r="H1" s="213" t="s">
        <v>0</v>
      </c>
      <c r="I1" s="213" t="s">
        <v>1</v>
      </c>
      <c r="J1" s="214" t="s">
        <v>45</v>
      </c>
      <c r="K1" s="213" t="s">
        <v>3</v>
      </c>
      <c r="L1" s="215" t="s">
        <v>259</v>
      </c>
      <c r="M1" s="215" t="s">
        <v>261</v>
      </c>
      <c r="N1" s="216" t="s">
        <v>124</v>
      </c>
      <c r="O1" s="212" t="s">
        <v>125</v>
      </c>
      <c r="P1" s="217" t="s">
        <v>11</v>
      </c>
      <c r="Q1" s="216" t="s">
        <v>216</v>
      </c>
      <c r="R1" s="212" t="s">
        <v>233</v>
      </c>
      <c r="S1" s="212" t="s">
        <v>127</v>
      </c>
      <c r="T1" s="217" t="s">
        <v>29</v>
      </c>
      <c r="U1" s="212" t="s">
        <v>83</v>
      </c>
      <c r="V1" s="217" t="s">
        <v>15</v>
      </c>
      <c r="W1" s="217" t="s">
        <v>16</v>
      </c>
      <c r="X1" s="217" t="s">
        <v>31</v>
      </c>
      <c r="Y1" s="217" t="s">
        <v>217</v>
      </c>
      <c r="Z1" s="212" t="s">
        <v>150</v>
      </c>
      <c r="AA1" s="212" t="s">
        <v>33</v>
      </c>
      <c r="AB1" s="212" t="s">
        <v>151</v>
      </c>
      <c r="AC1" s="212" t="s">
        <v>169</v>
      </c>
      <c r="AD1" s="212" t="s">
        <v>236</v>
      </c>
    </row>
    <row r="2" spans="1:31" x14ac:dyDescent="0.25">
      <c r="A2" s="125" t="s">
        <v>307</v>
      </c>
      <c r="B2" s="5"/>
      <c r="C2" s="102"/>
      <c r="D2" s="102"/>
      <c r="E2" s="6">
        <v>4.5</v>
      </c>
      <c r="F2" s="6">
        <v>17</v>
      </c>
      <c r="G2" s="6">
        <v>8</v>
      </c>
      <c r="H2" s="41">
        <v>1300</v>
      </c>
      <c r="I2" s="114">
        <v>13</v>
      </c>
      <c r="J2" s="36">
        <v>9</v>
      </c>
      <c r="K2" s="2">
        <v>0.6</v>
      </c>
      <c r="L2" s="223">
        <v>0.01</v>
      </c>
      <c r="M2" s="224">
        <v>7.0000000000000001E-3</v>
      </c>
      <c r="N2" s="42">
        <v>1.1499999999999999</v>
      </c>
      <c r="O2" s="6">
        <f>3.3-Table1[[#This Row],[I1]]</f>
        <v>2.15</v>
      </c>
      <c r="P2" s="6">
        <v>1.22</v>
      </c>
      <c r="Q2" s="6">
        <v>1.17</v>
      </c>
      <c r="R2" s="41">
        <v>10000000</v>
      </c>
      <c r="S2" s="115">
        <v>1200</v>
      </c>
      <c r="T2" s="115">
        <v>200</v>
      </c>
      <c r="U2" s="42">
        <v>8</v>
      </c>
      <c r="V2" s="41">
        <v>600</v>
      </c>
      <c r="W2" s="116">
        <v>165</v>
      </c>
      <c r="X2" s="41">
        <v>8</v>
      </c>
      <c r="Y2" s="41">
        <v>6</v>
      </c>
      <c r="Z2" s="41">
        <f>10^((LOG(fsw/1000)-LOG(42533.5))/-0.964356)</f>
        <v>100.25081085639273</v>
      </c>
      <c r="AA2" s="41">
        <f>42533.5*(Rt/1000)^-(0.964356)</f>
        <v>1790.8797569606138</v>
      </c>
      <c r="AB2" s="9">
        <v>2.2999999999999998</v>
      </c>
      <c r="AC2" s="42">
        <v>6</v>
      </c>
      <c r="AD2" s="2">
        <v>0</v>
      </c>
    </row>
    <row r="3" spans="1:31" x14ac:dyDescent="0.25">
      <c r="A3" s="125" t="s">
        <v>305</v>
      </c>
      <c r="B3" s="5"/>
      <c r="C3" s="102"/>
      <c r="D3" s="102"/>
      <c r="E3" s="6">
        <v>4.5</v>
      </c>
      <c r="F3" s="6">
        <v>17</v>
      </c>
      <c r="G3" s="6">
        <v>8</v>
      </c>
      <c r="H3" s="41">
        <v>1300</v>
      </c>
      <c r="I3" s="114">
        <v>20</v>
      </c>
      <c r="J3" s="36">
        <v>9</v>
      </c>
      <c r="K3" s="2">
        <v>0.6</v>
      </c>
      <c r="L3" s="223">
        <v>0.01</v>
      </c>
      <c r="M3" s="224">
        <v>7.0000000000000001E-3</v>
      </c>
      <c r="N3" s="42">
        <v>1.1499999999999999</v>
      </c>
      <c r="O3" s="6">
        <f>3.3-Table1[[#This Row],[I1]]</f>
        <v>2.15</v>
      </c>
      <c r="P3" s="6">
        <v>1.22</v>
      </c>
      <c r="Q3" s="6">
        <v>1.17</v>
      </c>
      <c r="R3" s="41">
        <v>10000000</v>
      </c>
      <c r="S3" s="115">
        <v>1200</v>
      </c>
      <c r="T3" s="115">
        <v>200</v>
      </c>
      <c r="U3" s="42">
        <v>15.1</v>
      </c>
      <c r="V3" s="41">
        <v>600</v>
      </c>
      <c r="W3" s="116">
        <v>165</v>
      </c>
      <c r="X3" s="41">
        <v>8</v>
      </c>
      <c r="Y3" s="41">
        <v>6</v>
      </c>
      <c r="Z3" s="41">
        <f>10^((LOG(fsw/1000)-LOG(42533.5))/-0.964356)</f>
        <v>100.25081085639273</v>
      </c>
      <c r="AA3" s="41">
        <f>42533.5*(Rt/1000)^-(0.964356)</f>
        <v>1790.8797569606138</v>
      </c>
      <c r="AB3" s="9">
        <v>2.2999999999999998</v>
      </c>
      <c r="AC3" s="42">
        <v>6</v>
      </c>
      <c r="AD3" s="2">
        <v>0</v>
      </c>
      <c r="AE3" s="2"/>
    </row>
    <row r="4" spans="1:31" x14ac:dyDescent="0.25">
      <c r="A4" s="125" t="s">
        <v>306</v>
      </c>
      <c r="B4" s="5"/>
      <c r="C4" s="102"/>
      <c r="D4" s="102"/>
      <c r="E4" s="6">
        <v>4.5</v>
      </c>
      <c r="F4" s="6">
        <v>17</v>
      </c>
      <c r="G4" s="6">
        <v>8</v>
      </c>
      <c r="H4" s="41">
        <v>1300</v>
      </c>
      <c r="I4" s="114">
        <v>17</v>
      </c>
      <c r="J4" s="36">
        <v>9</v>
      </c>
      <c r="K4" s="2">
        <v>0.6</v>
      </c>
      <c r="L4" s="223">
        <v>0.01</v>
      </c>
      <c r="M4" s="224">
        <v>7.0000000000000001E-3</v>
      </c>
      <c r="N4" s="42">
        <v>1.1499999999999999</v>
      </c>
      <c r="O4" s="6">
        <f>3.3-Table1[[#This Row],[I1]]</f>
        <v>2.15</v>
      </c>
      <c r="P4" s="6">
        <v>1.22</v>
      </c>
      <c r="Q4" s="6">
        <v>1.17</v>
      </c>
      <c r="R4" s="41">
        <v>10000000</v>
      </c>
      <c r="S4" s="115">
        <v>1200</v>
      </c>
      <c r="T4" s="115">
        <v>200</v>
      </c>
      <c r="U4" s="42">
        <v>12.75</v>
      </c>
      <c r="V4" s="41">
        <v>600</v>
      </c>
      <c r="W4" s="116">
        <v>165</v>
      </c>
      <c r="X4" s="41">
        <v>8</v>
      </c>
      <c r="Y4" s="41">
        <v>6</v>
      </c>
      <c r="Z4" s="41">
        <f>10^((LOG(fsw/1000)-LOG(42533.5))/-0.964356)</f>
        <v>100.25081085639273</v>
      </c>
      <c r="AA4" s="41">
        <f>42533.5*(Rt/1000)^-(0.964356)</f>
        <v>1790.8797569606138</v>
      </c>
      <c r="AB4" s="9">
        <v>2.2999999999999998</v>
      </c>
      <c r="AC4" s="42">
        <v>6</v>
      </c>
      <c r="AD4" s="2">
        <v>0</v>
      </c>
      <c r="AE4" s="2"/>
    </row>
    <row r="5" spans="1:31" x14ac:dyDescent="0.25">
      <c r="A5" s="5" t="s">
        <v>239</v>
      </c>
      <c r="B5" s="5"/>
      <c r="C5" s="102"/>
      <c r="D5" s="102"/>
      <c r="E5" s="32">
        <v>2.95</v>
      </c>
      <c r="F5" s="32">
        <v>6</v>
      </c>
      <c r="G5" s="32">
        <v>4</v>
      </c>
      <c r="H5" s="107">
        <v>260</v>
      </c>
      <c r="I5" s="109">
        <v>16</v>
      </c>
      <c r="J5" s="38">
        <v>8.4</v>
      </c>
      <c r="K5" s="8">
        <v>0.6</v>
      </c>
      <c r="L5" s="198">
        <v>0.01</v>
      </c>
      <c r="M5" s="198">
        <v>0</v>
      </c>
      <c r="N5" s="105">
        <v>1.3</v>
      </c>
      <c r="O5" s="105">
        <f>3.8-N5</f>
        <v>2.5</v>
      </c>
      <c r="P5" s="32">
        <v>1.28</v>
      </c>
      <c r="Q5" s="32">
        <v>1.2</v>
      </c>
      <c r="R5" s="104">
        <v>7000000</v>
      </c>
      <c r="S5" s="103">
        <v>2500</v>
      </c>
      <c r="T5" s="103">
        <v>100</v>
      </c>
      <c r="U5" s="105">
        <v>6.6</v>
      </c>
      <c r="V5" s="107">
        <v>650</v>
      </c>
      <c r="W5" s="106">
        <v>110</v>
      </c>
      <c r="X5" s="107">
        <v>35</v>
      </c>
      <c r="Y5" s="107">
        <v>25</v>
      </c>
      <c r="Z5" s="104">
        <f>72540/(fsw/1000)^(1.033)</f>
        <v>118.17933361431419</v>
      </c>
      <c r="AA5" s="104">
        <f>50740*(Rt/1000)^-(0.968)</f>
        <v>2110.9967363791011</v>
      </c>
      <c r="AB5" s="97">
        <v>2.2000000000000002</v>
      </c>
      <c r="AC5" s="108">
        <v>6</v>
      </c>
      <c r="AD5" s="104">
        <v>1</v>
      </c>
      <c r="AE5" s="2"/>
    </row>
    <row r="6" spans="1:31" x14ac:dyDescent="0.25">
      <c r="A6" s="125" t="s">
        <v>244</v>
      </c>
      <c r="B6" s="5"/>
      <c r="C6" s="102"/>
      <c r="D6" s="102"/>
      <c r="E6" s="32">
        <v>4.5</v>
      </c>
      <c r="F6" s="32">
        <v>17</v>
      </c>
      <c r="G6" s="32">
        <v>3</v>
      </c>
      <c r="H6" s="107">
        <v>1300</v>
      </c>
      <c r="I6" s="109">
        <v>12</v>
      </c>
      <c r="J6" s="38">
        <f>9*12/16</f>
        <v>6.75</v>
      </c>
      <c r="K6" s="8">
        <v>0.8</v>
      </c>
      <c r="L6" s="198">
        <v>0.01</v>
      </c>
      <c r="M6" s="198">
        <v>0</v>
      </c>
      <c r="N6" s="10">
        <v>1.1499999999999999</v>
      </c>
      <c r="O6" s="105">
        <f>3.4-Table1[[#This Row],[I1]]</f>
        <v>2.25</v>
      </c>
      <c r="P6" s="32">
        <v>1.21</v>
      </c>
      <c r="Q6" s="32">
        <v>1.17</v>
      </c>
      <c r="R6" s="104">
        <v>10000000</v>
      </c>
      <c r="S6" s="103">
        <v>1600</v>
      </c>
      <c r="T6" s="103">
        <v>200</v>
      </c>
      <c r="U6" s="105">
        <v>6.2</v>
      </c>
      <c r="V6" s="107">
        <v>600</v>
      </c>
      <c r="W6" s="106">
        <v>135</v>
      </c>
      <c r="X6" s="107">
        <v>57</v>
      </c>
      <c r="Y6" s="107">
        <v>50</v>
      </c>
      <c r="Z6" s="108">
        <f>48000*(fsw/1000)^-(0.997)-2</f>
        <v>95.80659572944532</v>
      </c>
      <c r="AA6" s="124">
        <f>43660*(Rt/1000)^-(0.973)+2</f>
        <v>1788.8507306268668</v>
      </c>
      <c r="AB6" s="97">
        <v>2.2999999999999998</v>
      </c>
      <c r="AC6" s="108">
        <v>6</v>
      </c>
      <c r="AD6" s="104">
        <v>1</v>
      </c>
      <c r="AE6" s="2"/>
    </row>
    <row r="7" spans="1:31" x14ac:dyDescent="0.25">
      <c r="A7" t="s">
        <v>324</v>
      </c>
      <c r="E7">
        <v>2.95</v>
      </c>
      <c r="F7">
        <v>6</v>
      </c>
      <c r="G7">
        <v>4</v>
      </c>
      <c r="H7">
        <v>225</v>
      </c>
      <c r="I7">
        <v>13</v>
      </c>
      <c r="J7" s="2">
        <v>8.4</v>
      </c>
      <c r="K7">
        <v>0.80300000000000005</v>
      </c>
      <c r="L7">
        <v>0.01</v>
      </c>
      <c r="M7">
        <v>0</v>
      </c>
      <c r="N7">
        <v>0.65</v>
      </c>
      <c r="O7">
        <f>3.2-0.65</f>
        <v>2.5500000000000003</v>
      </c>
      <c r="P7">
        <v>1.25</v>
      </c>
      <c r="Q7">
        <v>1.18</v>
      </c>
      <c r="R7">
        <v>7000000</v>
      </c>
      <c r="S7">
        <v>2000</v>
      </c>
      <c r="T7">
        <v>200</v>
      </c>
      <c r="U7">
        <v>6.4</v>
      </c>
      <c r="V7">
        <v>350</v>
      </c>
      <c r="W7">
        <v>120</v>
      </c>
      <c r="X7">
        <v>30</v>
      </c>
      <c r="Y7">
        <v>30</v>
      </c>
      <c r="Z7">
        <f>311890/((fsw/1000)^(1.0793))</f>
        <v>381.06856512613314</v>
      </c>
      <c r="AA7">
        <f>133870*(Rt/1000)^-(0.9393)</f>
        <v>6120.1382908420737</v>
      </c>
      <c r="AB7">
        <v>1.8</v>
      </c>
      <c r="AC7">
        <v>7</v>
      </c>
      <c r="AD7">
        <v>1</v>
      </c>
      <c r="AE7" s="2"/>
    </row>
    <row r="8" spans="1:31" x14ac:dyDescent="0.25">
      <c r="A8" t="s">
        <v>325</v>
      </c>
      <c r="E8">
        <v>4.5</v>
      </c>
      <c r="F8">
        <v>17</v>
      </c>
      <c r="G8">
        <v>4</v>
      </c>
      <c r="H8">
        <v>1100</v>
      </c>
      <c r="I8">
        <f>16.52*1.4</f>
        <v>23.127999999999997</v>
      </c>
      <c r="J8" s="2">
        <v>6</v>
      </c>
      <c r="K8">
        <v>0.6</v>
      </c>
      <c r="L8">
        <v>8.5000000000000006E-3</v>
      </c>
      <c r="M8">
        <v>2E-3</v>
      </c>
      <c r="N8">
        <v>1.2</v>
      </c>
      <c r="O8">
        <v>3.6</v>
      </c>
      <c r="P8">
        <v>1.2</v>
      </c>
      <c r="Q8">
        <v>1.1499999999999999</v>
      </c>
      <c r="R8">
        <v>10000000</v>
      </c>
      <c r="S8">
        <v>1600</v>
      </c>
      <c r="T8">
        <v>200</v>
      </c>
      <c r="U8">
        <v>6.8</v>
      </c>
      <c r="V8">
        <v>560</v>
      </c>
      <c r="W8">
        <v>130</v>
      </c>
      <c r="X8">
        <v>14</v>
      </c>
      <c r="Y8">
        <v>6</v>
      </c>
      <c r="Z8">
        <f>58650*(fsw/1000)^-(1.028)</f>
        <v>98.565936360678492</v>
      </c>
      <c r="AA8">
        <f>43660*(Rt/1000)^-(0.973)</f>
        <v>1786.8507306268668</v>
      </c>
      <c r="AB8">
        <v>5</v>
      </c>
      <c r="AC8">
        <v>6.5</v>
      </c>
      <c r="AD8">
        <v>1</v>
      </c>
      <c r="AE8" s="2"/>
    </row>
    <row r="9" spans="1:31" x14ac:dyDescent="0.25">
      <c r="A9" s="5" t="s">
        <v>215</v>
      </c>
      <c r="B9" s="5"/>
      <c r="C9" s="102"/>
      <c r="D9" s="102"/>
      <c r="E9" s="117">
        <v>2.95</v>
      </c>
      <c r="F9" s="117">
        <v>6</v>
      </c>
      <c r="G9" s="117">
        <v>4</v>
      </c>
      <c r="H9" s="104">
        <v>225</v>
      </c>
      <c r="I9" s="118">
        <v>14</v>
      </c>
      <c r="J9" s="119">
        <v>8.4</v>
      </c>
      <c r="K9" s="120">
        <v>0.6</v>
      </c>
      <c r="L9" s="198">
        <v>0.01</v>
      </c>
      <c r="M9" s="198">
        <v>0</v>
      </c>
      <c r="N9" s="108">
        <v>0.6</v>
      </c>
      <c r="O9" s="108">
        <f>3.4-N9</f>
        <v>2.8</v>
      </c>
      <c r="P9" s="117">
        <v>1.3</v>
      </c>
      <c r="Q9" s="117">
        <v>1.21</v>
      </c>
      <c r="R9" s="104">
        <v>7000000</v>
      </c>
      <c r="S9" s="103">
        <v>2000</v>
      </c>
      <c r="T9" s="103">
        <v>200</v>
      </c>
      <c r="U9" s="105">
        <v>6.5</v>
      </c>
      <c r="V9" s="107">
        <v>525</v>
      </c>
      <c r="W9" s="106">
        <v>120</v>
      </c>
      <c r="X9" s="107">
        <v>30</v>
      </c>
      <c r="Y9" s="107">
        <v>30</v>
      </c>
      <c r="Z9" s="108">
        <f>90066/((fsw/1000)^(1.135))</f>
        <v>77.844856145484783</v>
      </c>
      <c r="AA9" s="108" t="s">
        <v>214</v>
      </c>
      <c r="AB9" s="97">
        <v>2.2000000000000002</v>
      </c>
      <c r="AC9" s="108">
        <v>6</v>
      </c>
      <c r="AD9" s="104">
        <v>1</v>
      </c>
      <c r="AE9" s="2"/>
    </row>
    <row r="10" spans="1:31" x14ac:dyDescent="0.25">
      <c r="A10" s="125" t="s">
        <v>243</v>
      </c>
      <c r="B10" s="5"/>
      <c r="C10" s="102"/>
      <c r="D10" s="102"/>
      <c r="E10" s="32">
        <v>4.5</v>
      </c>
      <c r="F10" s="32">
        <v>17</v>
      </c>
      <c r="G10" s="32">
        <v>6</v>
      </c>
      <c r="H10" s="107">
        <v>1300</v>
      </c>
      <c r="I10" s="109">
        <v>16</v>
      </c>
      <c r="J10" s="38">
        <v>9</v>
      </c>
      <c r="K10" s="8">
        <v>0.8</v>
      </c>
      <c r="L10" s="198">
        <v>0.01</v>
      </c>
      <c r="M10" s="198">
        <v>0</v>
      </c>
      <c r="N10" s="10">
        <v>1.1499999999999999</v>
      </c>
      <c r="O10" s="105">
        <f>3.4-Table1[[#This Row],[I1]]</f>
        <v>2.25</v>
      </c>
      <c r="P10" s="32">
        <v>1.21</v>
      </c>
      <c r="Q10" s="32">
        <v>1.17</v>
      </c>
      <c r="R10" s="104">
        <v>10000000</v>
      </c>
      <c r="S10" s="103">
        <v>1600</v>
      </c>
      <c r="T10" s="103">
        <v>200</v>
      </c>
      <c r="U10" s="105">
        <v>11</v>
      </c>
      <c r="V10" s="107">
        <v>600</v>
      </c>
      <c r="W10" s="106">
        <v>135</v>
      </c>
      <c r="X10" s="107">
        <v>26</v>
      </c>
      <c r="Y10" s="107">
        <v>19</v>
      </c>
      <c r="Z10" s="108">
        <f>48000*(fsw/1000)^-(0.997)-2</f>
        <v>95.80659572944532</v>
      </c>
      <c r="AA10" s="124">
        <f>43660*(Rt/1000)^-(0.973)+2</f>
        <v>1788.8507306268668</v>
      </c>
      <c r="AB10" s="97">
        <v>2.2999999999999998</v>
      </c>
      <c r="AC10" s="108">
        <v>6</v>
      </c>
      <c r="AD10" s="104">
        <v>1</v>
      </c>
      <c r="AE10" s="2"/>
    </row>
    <row r="11" spans="1:31" x14ac:dyDescent="0.25">
      <c r="A11" s="125" t="s">
        <v>245</v>
      </c>
      <c r="B11" s="5"/>
      <c r="C11" s="102"/>
      <c r="D11" s="102"/>
      <c r="E11" s="32">
        <v>4.5</v>
      </c>
      <c r="F11" s="32">
        <v>17</v>
      </c>
      <c r="G11" s="32">
        <v>6</v>
      </c>
      <c r="H11" s="107">
        <v>1300</v>
      </c>
      <c r="I11" s="109">
        <v>16</v>
      </c>
      <c r="J11" s="38">
        <v>6</v>
      </c>
      <c r="K11" s="8">
        <v>0.6</v>
      </c>
      <c r="L11" s="198">
        <v>0.01</v>
      </c>
      <c r="M11" s="198">
        <v>0</v>
      </c>
      <c r="N11" s="10">
        <v>1.1499999999999999</v>
      </c>
      <c r="O11" s="105">
        <f>3.3-Table1[[#This Row],[I1]]</f>
        <v>2.15</v>
      </c>
      <c r="P11" s="32">
        <v>1.21</v>
      </c>
      <c r="Q11" s="32">
        <v>1.17</v>
      </c>
      <c r="R11" s="104">
        <v>10000000</v>
      </c>
      <c r="S11" s="103">
        <v>1600</v>
      </c>
      <c r="T11" s="103">
        <v>200</v>
      </c>
      <c r="U11" s="105">
        <v>11</v>
      </c>
      <c r="V11" s="107">
        <v>600</v>
      </c>
      <c r="W11" s="106">
        <v>145</v>
      </c>
      <c r="X11" s="107">
        <v>26</v>
      </c>
      <c r="Y11" s="107">
        <v>19</v>
      </c>
      <c r="Z11" s="108">
        <f>48000*(fsw/1000)^-(0.997)-2</f>
        <v>95.80659572944532</v>
      </c>
      <c r="AA11" s="124">
        <f>43660*(Rt/1000)^-(0.973)+2</f>
        <v>1788.8507306268668</v>
      </c>
      <c r="AB11" s="97">
        <v>2.2999999999999998</v>
      </c>
      <c r="AC11" s="108">
        <v>6</v>
      </c>
      <c r="AD11" s="104">
        <v>1</v>
      </c>
      <c r="AE11" s="2"/>
    </row>
    <row r="12" spans="1:31" x14ac:dyDescent="0.25">
      <c r="A12" s="125" t="s">
        <v>242</v>
      </c>
      <c r="B12" s="5"/>
      <c r="C12" s="102"/>
      <c r="D12" s="102"/>
      <c r="E12" s="32">
        <v>4.5</v>
      </c>
      <c r="F12" s="32">
        <v>17</v>
      </c>
      <c r="G12" s="32">
        <v>6</v>
      </c>
      <c r="H12" s="107">
        <v>1300</v>
      </c>
      <c r="I12" s="109">
        <v>16</v>
      </c>
      <c r="J12" s="38">
        <v>6</v>
      </c>
      <c r="K12" s="8">
        <v>0.6</v>
      </c>
      <c r="L12" s="198">
        <v>0.01</v>
      </c>
      <c r="M12" s="198">
        <v>0</v>
      </c>
      <c r="N12" s="10">
        <v>1.1499999999999999</v>
      </c>
      <c r="O12" s="105">
        <f>3.3-Table1[[#This Row],[I1]]</f>
        <v>2.15</v>
      </c>
      <c r="P12" s="32">
        <v>1.21</v>
      </c>
      <c r="Q12" s="32">
        <v>1.17</v>
      </c>
      <c r="R12" s="104">
        <v>10000000</v>
      </c>
      <c r="S12" s="103">
        <v>1600</v>
      </c>
      <c r="T12" s="103">
        <v>200</v>
      </c>
      <c r="U12" s="105">
        <v>11</v>
      </c>
      <c r="V12" s="107">
        <v>250</v>
      </c>
      <c r="W12" s="106">
        <v>145</v>
      </c>
      <c r="X12" s="107">
        <v>26</v>
      </c>
      <c r="Y12" s="107">
        <v>19</v>
      </c>
      <c r="Z12" s="108">
        <f>48000*(fsw/1000)^-(0.997)-2</f>
        <v>95.80659572944532</v>
      </c>
      <c r="AA12" s="124">
        <f>43660*(Rt/1000)^-(0.973)+2</f>
        <v>1788.8507306268668</v>
      </c>
      <c r="AB12" s="97">
        <v>2.2999999999999998</v>
      </c>
      <c r="AC12" s="108">
        <v>6</v>
      </c>
      <c r="AD12" s="104">
        <v>0</v>
      </c>
    </row>
    <row r="13" spans="1:31" x14ac:dyDescent="0.25">
      <c r="A13" s="125" t="s">
        <v>280</v>
      </c>
      <c r="B13" s="5"/>
      <c r="C13" s="102"/>
      <c r="D13" s="102"/>
      <c r="E13" s="32">
        <v>4.5</v>
      </c>
      <c r="F13" s="32">
        <v>17</v>
      </c>
      <c r="G13" s="32">
        <v>8</v>
      </c>
      <c r="H13" s="107">
        <v>1300</v>
      </c>
      <c r="I13" s="109">
        <v>21</v>
      </c>
      <c r="J13" s="38">
        <v>9</v>
      </c>
      <c r="K13" s="8">
        <v>0.6</v>
      </c>
      <c r="L13" s="198">
        <v>0.01</v>
      </c>
      <c r="M13" s="198">
        <v>0</v>
      </c>
      <c r="N13" s="10">
        <v>1.1499999999999999</v>
      </c>
      <c r="O13" s="105">
        <f>3.3-Table1[[#This Row],[I1]]</f>
        <v>2.15</v>
      </c>
      <c r="P13" s="32">
        <v>1.21</v>
      </c>
      <c r="Q13" s="32">
        <v>1.17</v>
      </c>
      <c r="R13" s="104">
        <v>10000000</v>
      </c>
      <c r="S13" s="103">
        <v>1600</v>
      </c>
      <c r="T13" s="103">
        <v>200</v>
      </c>
      <c r="U13" s="105">
        <v>14.5</v>
      </c>
      <c r="V13" s="107">
        <v>600</v>
      </c>
      <c r="W13" s="106">
        <v>145</v>
      </c>
      <c r="X13" s="107">
        <v>26</v>
      </c>
      <c r="Y13" s="107">
        <v>19</v>
      </c>
      <c r="Z13" s="108">
        <f>48000*(fsw/1000)^-(0.997)-2</f>
        <v>95.80659572944532</v>
      </c>
      <c r="AA13" s="124">
        <f>43660*(Rt/1000)^-(0.973)+2</f>
        <v>1788.8507306268668</v>
      </c>
      <c r="AB13" s="97">
        <v>2.2999999999999998</v>
      </c>
      <c r="AC13" s="108">
        <v>6</v>
      </c>
      <c r="AD13" s="104">
        <v>1</v>
      </c>
    </row>
    <row r="14" spans="1:31" x14ac:dyDescent="0.25">
      <c r="A14" s="5" t="s">
        <v>237</v>
      </c>
      <c r="B14" s="5"/>
      <c r="C14" s="102"/>
      <c r="D14" s="102"/>
      <c r="E14" s="32">
        <v>4.5</v>
      </c>
      <c r="F14" s="242">
        <v>17</v>
      </c>
      <c r="G14" s="32">
        <v>8</v>
      </c>
      <c r="H14" s="107">
        <v>1100</v>
      </c>
      <c r="I14" s="109">
        <f>16.52*1.4</f>
        <v>23.127999999999997</v>
      </c>
      <c r="J14" s="38">
        <v>8</v>
      </c>
      <c r="K14" s="8">
        <v>0.6</v>
      </c>
      <c r="L14" s="199">
        <v>8.5000000000000006E-3</v>
      </c>
      <c r="M14" s="199">
        <v>2E-3</v>
      </c>
      <c r="N14" s="105">
        <v>1.2</v>
      </c>
      <c r="O14" s="105">
        <v>3.6</v>
      </c>
      <c r="P14" s="32">
        <v>1.2</v>
      </c>
      <c r="Q14" s="32">
        <v>1.1499999999999999</v>
      </c>
      <c r="R14" s="104">
        <v>10000000</v>
      </c>
      <c r="S14" s="103">
        <v>1600</v>
      </c>
      <c r="T14" s="103">
        <v>200</v>
      </c>
      <c r="U14" s="105">
        <v>12.9</v>
      </c>
      <c r="V14" s="107">
        <v>560</v>
      </c>
      <c r="W14" s="106">
        <v>145</v>
      </c>
      <c r="X14" s="107">
        <v>14</v>
      </c>
      <c r="Y14" s="107">
        <v>6</v>
      </c>
      <c r="Z14" s="108">
        <f>58650*(fsw/1000)^-(1.028)</f>
        <v>98.565936360678492</v>
      </c>
      <c r="AA14" s="124">
        <f>43660*(Rt/1000)^-(0.973)</f>
        <v>1786.8507306268668</v>
      </c>
      <c r="AB14" s="97">
        <v>5</v>
      </c>
      <c r="AC14" s="108">
        <v>6.5</v>
      </c>
      <c r="AD14" s="104">
        <v>1</v>
      </c>
    </row>
    <row r="15" spans="1:31" x14ac:dyDescent="0.25">
      <c r="A15" s="125" t="s">
        <v>364</v>
      </c>
      <c r="E15">
        <v>4.5</v>
      </c>
      <c r="F15">
        <v>17</v>
      </c>
      <c r="G15">
        <v>10</v>
      </c>
      <c r="H15">
        <v>1100</v>
      </c>
      <c r="I15">
        <f>16.52*1.4</f>
        <v>23.127999999999997</v>
      </c>
      <c r="J15" s="2">
        <v>10</v>
      </c>
      <c r="K15">
        <v>0.6</v>
      </c>
      <c r="L15">
        <v>8.5000000000000006E-3</v>
      </c>
      <c r="M15">
        <v>2E-3</v>
      </c>
      <c r="N15">
        <v>1.2</v>
      </c>
      <c r="O15">
        <v>3.6</v>
      </c>
      <c r="P15">
        <v>1.2</v>
      </c>
      <c r="Q15">
        <v>1.1499999999999999</v>
      </c>
      <c r="R15">
        <v>10000000</v>
      </c>
      <c r="S15">
        <v>1600</v>
      </c>
      <c r="T15">
        <v>200</v>
      </c>
      <c r="U15">
        <v>14.6</v>
      </c>
      <c r="V15">
        <v>560</v>
      </c>
      <c r="W15">
        <v>130</v>
      </c>
      <c r="X15">
        <v>16</v>
      </c>
      <c r="Y15">
        <v>8</v>
      </c>
      <c r="Z15">
        <f>58650*(fsw/1000)^-(1.028)</f>
        <v>98.565936360678492</v>
      </c>
      <c r="AA15">
        <f>43660*(Rt/1000)^-(0.973)</f>
        <v>1786.8507306268668</v>
      </c>
      <c r="AB15">
        <v>5</v>
      </c>
      <c r="AC15">
        <v>6.5</v>
      </c>
      <c r="AD15">
        <v>1</v>
      </c>
    </row>
    <row r="16" spans="1:31" x14ac:dyDescent="0.25">
      <c r="J16" s="2"/>
    </row>
    <row r="17" spans="10:10" x14ac:dyDescent="0.25">
      <c r="J17" s="2"/>
    </row>
    <row r="18" spans="10:10" x14ac:dyDescent="0.25">
      <c r="J18" s="2"/>
    </row>
    <row r="19" spans="10:10" x14ac:dyDescent="0.25">
      <c r="J19" s="2"/>
    </row>
    <row r="20" spans="10:10" x14ac:dyDescent="0.25">
      <c r="J20" s="2"/>
    </row>
    <row r="21" spans="10:10" x14ac:dyDescent="0.25">
      <c r="J21" s="2"/>
    </row>
    <row r="22" spans="10:10" x14ac:dyDescent="0.25">
      <c r="J22" s="2"/>
    </row>
    <row r="23" spans="10:10" x14ac:dyDescent="0.25">
      <c r="J23" s="2"/>
    </row>
  </sheetData>
  <pageMargins left="0.7" right="0.7" top="0.75" bottom="0.75" header="0.3" footer="0.3"/>
  <legacy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146"/>
  <sheetViews>
    <sheetView zoomScaleNormal="100" workbookViewId="0">
      <selection activeCell="K4" sqref="K4"/>
    </sheetView>
  </sheetViews>
  <sheetFormatPr defaultColWidth="9.109375" defaultRowHeight="13.2" x14ac:dyDescent="0.25"/>
  <cols>
    <col min="1" max="1" width="9.109375" style="45"/>
    <col min="2" max="2" width="19.33203125" style="45" bestFit="1" customWidth="1"/>
    <col min="3" max="3" width="12.44140625" style="45" bestFit="1" customWidth="1"/>
    <col min="4" max="4" width="7.6640625" style="45" customWidth="1"/>
    <col min="5" max="5" width="8.6640625" style="46" customWidth="1"/>
    <col min="6" max="8" width="8.6640625" style="47" customWidth="1"/>
    <col min="9" max="9" width="8.6640625" style="48" customWidth="1"/>
    <col min="10" max="11" width="9.109375" style="85"/>
    <col min="12" max="12" width="8.5546875" style="85" bestFit="1" customWidth="1"/>
    <col min="13" max="17" width="9.109375" style="46"/>
    <col min="18" max="16384" width="9.109375" style="50"/>
  </cols>
  <sheetData>
    <row r="1" spans="1:17" ht="17.399999999999999" x14ac:dyDescent="0.3">
      <c r="A1" s="44" t="s">
        <v>89</v>
      </c>
      <c r="J1" s="49"/>
      <c r="K1" s="49"/>
      <c r="L1" s="49"/>
      <c r="M1" s="47"/>
    </row>
    <row r="2" spans="1:17" ht="18" thickBot="1" x14ac:dyDescent="0.35">
      <c r="A2" s="51"/>
      <c r="B2" s="46"/>
      <c r="C2" s="46"/>
      <c r="D2" s="46"/>
      <c r="E2" s="52" t="s">
        <v>90</v>
      </c>
      <c r="J2" s="52" t="s">
        <v>91</v>
      </c>
      <c r="K2" s="53"/>
      <c r="L2" s="53"/>
      <c r="N2" s="50"/>
      <c r="O2" s="50"/>
      <c r="P2" s="50"/>
      <c r="Q2" s="50"/>
    </row>
    <row r="3" spans="1:17" ht="13.8" thickBot="1" x14ac:dyDescent="0.3">
      <c r="A3" s="46"/>
      <c r="B3" s="54" t="s">
        <v>92</v>
      </c>
      <c r="C3" s="55">
        <v>100</v>
      </c>
      <c r="D3" s="46"/>
      <c r="E3" s="259" t="s">
        <v>93</v>
      </c>
      <c r="F3" s="260"/>
      <c r="G3" s="261" t="s">
        <v>94</v>
      </c>
      <c r="H3" s="262"/>
      <c r="J3" s="56" t="s">
        <v>95</v>
      </c>
      <c r="K3" s="57">
        <v>8.2000000000000006E-8</v>
      </c>
      <c r="L3" s="58" t="s">
        <v>160</v>
      </c>
      <c r="N3" s="50"/>
      <c r="O3" s="50"/>
      <c r="P3" s="50"/>
      <c r="Q3" s="50"/>
    </row>
    <row r="4" spans="1:17" ht="13.8" thickBot="1" x14ac:dyDescent="0.3">
      <c r="B4" s="46"/>
      <c r="E4" s="59">
        <v>100</v>
      </c>
      <c r="F4" s="60">
        <v>150</v>
      </c>
      <c r="G4" s="61">
        <v>100</v>
      </c>
      <c r="H4" s="62">
        <v>102</v>
      </c>
      <c r="K4" s="63">
        <f>IF(K3*10^12&lt;10000,IF((10^(LOG(K3*10^12)-INT(LOG(K3*10^12))))-VLOOKUP((10^(LOG(K3*10^12)-INT(LOG(K3*10^12)))),c_s1:C_f1,1)&lt;VLOOKUP((10^(LOG(K3*10^12)-INT(LOG(K3*10^12)))),c_s1:C_f1,2)-(10^(LOG(K3*10^12)-INT(LOG(K3*10^12)))),VLOOKUP((10^(LOG(K3*10^12)-INT(LOG(K3*10^12)))),c_s1:C_f1,1),VLOOKUP((10^(LOG(K3*10^12)-INT(LOG(K3*10^12)))),c_s1:C_f1,2))*10^INT(LOG(K3*10^12)),IF((10^(LOG(K3*10^12)-INT(LOG(K3*10^12))))-VLOOKUP((10^(LOG(K3*10^12)-INT(LOG(K3*10^12)))),C_s2:C_f2,1)&lt;VLOOKUP((10^(LOG(K3*10^12)-INT(LOG(K3*10^12)))),C_s2:C_f2,2)-(10^(LOG(K3*10^12)-INT(LOG(K3*10^12)))),VLOOKUP((10^(LOG(K3*10^12)-INT(LOG(K3*10^12)))),C_s2:C_f2,1),VLOOKUP((10^(LOG(K3*10^12)-INT(LOG(K3*10^12)))),C_s2:C_f2,2))*10^INT(LOG(K3*10^12)))*10^-12</f>
        <v>6.8E-8</v>
      </c>
      <c r="L4" s="64" t="s">
        <v>160</v>
      </c>
      <c r="P4" s="50"/>
      <c r="Q4" s="50"/>
    </row>
    <row r="5" spans="1:17" ht="13.8" thickBot="1" x14ac:dyDescent="0.3">
      <c r="B5" s="65" t="s">
        <v>96</v>
      </c>
      <c r="C5" s="66">
        <f>(IF((10^(LOG(C3)-INT(LOG(C3)))*100)-VLOOKUP((10^(LOG(C3)-INT(LOG(C3)))*100),E6_s:E6_f,1)&lt;VLOOKUP((10^(LOG(C3)-INT(LOG(C3)))*100),E6_s:E6_f,2)-(10^(LOG(C3)-INT(LOG(C3)))*100),VLOOKUP((10^(LOG(C3)-INT(LOG(C3)))*100),E6_s:E6_f,1),VLOOKUP((10^(LOG(C3)-INT(LOG(C3)))*100),E6_s:E6_f,2)))*10^INT(LOG(C3))/100</f>
        <v>100</v>
      </c>
      <c r="E5" s="60">
        <v>150</v>
      </c>
      <c r="F5" s="59">
        <v>220</v>
      </c>
      <c r="G5" s="62">
        <v>102</v>
      </c>
      <c r="H5" s="61">
        <v>105</v>
      </c>
      <c r="J5" s="67"/>
      <c r="K5" s="68"/>
      <c r="L5" s="69"/>
      <c r="M5" s="47"/>
      <c r="N5" s="50"/>
      <c r="O5" s="50"/>
      <c r="P5" s="50"/>
      <c r="Q5" s="50"/>
    </row>
    <row r="6" spans="1:17" ht="13.8" thickBot="1" x14ac:dyDescent="0.3">
      <c r="B6" s="70" t="s">
        <v>97</v>
      </c>
      <c r="C6" s="71">
        <f>(IF((10^(LOG(C3)-INT(LOG(C3)))*100)-VLOOKUP((10^(LOG(C3)-INT(LOG(C3)))*100),E12_s:E12_f,1)&lt;VLOOKUP((10^(LOG(C3)-INT(LOG(C3)))*100),E12_s:E12_f,2)-(10^(LOG(C3)-INT(LOG(C3)))*100),VLOOKUP((10^(LOG(C3)-INT(LOG(C3)))*100),E12_s:E12_f,1),VLOOKUP((10^(LOG(C3)-INT(LOG(C3)))*100),E12_s:E12_f,2)))*10^INT(LOG(C3))/100</f>
        <v>100</v>
      </c>
      <c r="E6" s="59">
        <v>220</v>
      </c>
      <c r="F6" s="60">
        <v>330</v>
      </c>
      <c r="G6" s="61">
        <v>105</v>
      </c>
      <c r="H6" s="62">
        <v>107</v>
      </c>
      <c r="J6" s="72" t="s">
        <v>98</v>
      </c>
      <c r="K6" s="73"/>
      <c r="L6" s="47"/>
      <c r="N6" s="50"/>
      <c r="O6" s="50"/>
      <c r="P6" s="50"/>
      <c r="Q6" s="50"/>
    </row>
    <row r="7" spans="1:17" ht="13.8" thickBot="1" x14ac:dyDescent="0.3">
      <c r="B7" s="70" t="s">
        <v>99</v>
      </c>
      <c r="C7" s="71">
        <f>(IF((10^(LOG(C3)-INT(LOG(C3)))*100)-VLOOKUP((10^(LOG(C3)-INT(LOG(C3)))*100),E24_s:E24_f,1)&lt;VLOOKUP((10^(LOG(C3)-INT(LOG(C3)))*100),E24_s:E24_f,2)-(10^(LOG(C3)-INT(LOG(C3)))*100),VLOOKUP((10^(LOG(C3)-INT(LOG(C3)))*100),E24_s:E24_f,1),VLOOKUP((10^(LOG(C3)-INT(LOG(C3)))*100),E24_s:E24_f,2)))*10^INT(LOG(C3))/100</f>
        <v>100</v>
      </c>
      <c r="E7" s="60">
        <v>330</v>
      </c>
      <c r="F7" s="59">
        <v>470</v>
      </c>
      <c r="G7" s="62">
        <v>107</v>
      </c>
      <c r="H7" s="61">
        <v>110</v>
      </c>
      <c r="J7" s="73">
        <v>1</v>
      </c>
      <c r="K7" s="73">
        <v>1.2</v>
      </c>
      <c r="L7" s="74">
        <f>IF((10^(LOG(K3)-INT(LOG(K3))))-VLOOKUP((10^(LOG(K3)-INT(LOG(K3)))),c_s1:C_f1,1)&lt;VLOOKUP((10^(LOG(K3)-INT(LOG(K3)))),c_s1:C_f1,2)-(10^(LOG(K3)-INT(LOG(K3)))),VLOOKUP((10^(LOG(K3)-INT(LOG(K3)))),c_s1:C_f1,1),VLOOKUP((10^(LOG(K3)-INT(LOG(K3)))),c_s1:C_f1,2))</f>
        <v>8.1999999999999993</v>
      </c>
      <c r="N7" s="50"/>
      <c r="O7" s="50"/>
      <c r="P7" s="50"/>
      <c r="Q7" s="50"/>
    </row>
    <row r="8" spans="1:17" ht="13.8" thickBot="1" x14ac:dyDescent="0.3">
      <c r="B8" s="70" t="s">
        <v>100</v>
      </c>
      <c r="C8" s="71">
        <f>(IF((10^(LOG(C3)-INT(LOG(C3)))*100)-VLOOKUP((10^(LOG(C3)-INT(LOG(C3)))*100),E48_s:E48_f,1)&lt;VLOOKUP((10^(LOG(C3)-INT(LOG(C3)))*100),E48_s:E48_f,2)-(10^(LOG(C3)-INT(LOG(C3)))*100),VLOOKUP((10^(LOG(C3)-INT(LOG(C3)))*100),E48_s:E48_f,1),VLOOKUP((10^(LOG(C3)-INT(LOG(C3)))*100),E48_s:E48_f,2)))*10^INT(LOG(C3))/100</f>
        <v>100</v>
      </c>
      <c r="D8" s="53"/>
      <c r="E8" s="59">
        <v>470</v>
      </c>
      <c r="F8" s="60">
        <v>680</v>
      </c>
      <c r="G8" s="61">
        <v>110</v>
      </c>
      <c r="H8" s="62">
        <v>113</v>
      </c>
      <c r="J8" s="73">
        <v>1.2</v>
      </c>
      <c r="K8" s="73">
        <v>1.5</v>
      </c>
      <c r="L8" s="75"/>
      <c r="M8" s="50"/>
      <c r="N8" s="50"/>
      <c r="O8" s="50"/>
      <c r="P8" s="50"/>
      <c r="Q8" s="50"/>
    </row>
    <row r="9" spans="1:17" ht="13.8" thickBot="1" x14ac:dyDescent="0.3">
      <c r="B9" s="76" t="s">
        <v>101</v>
      </c>
      <c r="C9" s="77">
        <f>(IF((10^(LOG(C3)-INT(LOG(C3)))*100)-VLOOKUP((10^(LOG(C3)-INT(LOG(C3)))*100),E96_s:E96_f,1)&lt;VLOOKUP((10^(LOG(C3)-INT(LOG(C3)))*100),E96_s:E96_f,2)-(10^(LOG(C3)-INT(LOG(C3)))*100),VLOOKUP((10^(LOG(C3)-INT(LOG(C3)))*100),E96_s:E96_f,1),VLOOKUP((10^(LOG(C3)-INT(LOG(C3)))*100),E96_s:E96_f,2)))*10^INT(LOG(C3))/100</f>
        <v>100</v>
      </c>
      <c r="D9" s="47"/>
      <c r="E9" s="60">
        <v>680</v>
      </c>
      <c r="F9" s="60">
        <v>1000</v>
      </c>
      <c r="G9" s="62">
        <v>113</v>
      </c>
      <c r="H9" s="61">
        <v>115</v>
      </c>
      <c r="J9" s="73">
        <v>1.5</v>
      </c>
      <c r="K9" s="73">
        <v>1.8</v>
      </c>
      <c r="L9" s="75"/>
      <c r="N9" s="50"/>
      <c r="O9" s="50"/>
      <c r="P9" s="50"/>
      <c r="Q9" s="50"/>
    </row>
    <row r="10" spans="1:17" ht="13.8" thickBot="1" x14ac:dyDescent="0.3">
      <c r="B10" s="53"/>
      <c r="C10" s="53"/>
      <c r="D10" s="53"/>
      <c r="E10" s="263" t="s">
        <v>102</v>
      </c>
      <c r="F10" s="264"/>
      <c r="G10" s="61">
        <v>115</v>
      </c>
      <c r="H10" s="62">
        <v>118</v>
      </c>
      <c r="J10" s="73">
        <v>1.8</v>
      </c>
      <c r="K10" s="73">
        <v>2.2000000000000002</v>
      </c>
      <c r="L10" s="47"/>
      <c r="N10" s="50"/>
      <c r="O10" s="50"/>
      <c r="P10" s="50"/>
      <c r="Q10" s="50"/>
    </row>
    <row r="11" spans="1:17" ht="13.8" thickBot="1" x14ac:dyDescent="0.3">
      <c r="E11" s="79">
        <v>100</v>
      </c>
      <c r="F11" s="80">
        <v>120</v>
      </c>
      <c r="G11" s="62">
        <v>118</v>
      </c>
      <c r="H11" s="61">
        <v>121</v>
      </c>
      <c r="J11" s="73">
        <v>2.2000000000000002</v>
      </c>
      <c r="K11" s="73">
        <v>2.7</v>
      </c>
      <c r="L11" s="47"/>
      <c r="N11" s="50"/>
      <c r="O11" s="50"/>
      <c r="P11" s="50"/>
      <c r="Q11" s="50"/>
    </row>
    <row r="12" spans="1:17" ht="13.8" thickBot="1" x14ac:dyDescent="0.3">
      <c r="E12" s="80">
        <v>120</v>
      </c>
      <c r="F12" s="80">
        <v>150</v>
      </c>
      <c r="G12" s="61">
        <v>121</v>
      </c>
      <c r="H12" s="62">
        <v>124</v>
      </c>
      <c r="J12" s="73">
        <v>2.7</v>
      </c>
      <c r="K12" s="73">
        <v>3.3</v>
      </c>
      <c r="L12" s="47"/>
      <c r="N12" s="50"/>
      <c r="O12" s="50"/>
      <c r="P12" s="50"/>
      <c r="Q12" s="50"/>
    </row>
    <row r="13" spans="1:17" ht="13.8" thickBot="1" x14ac:dyDescent="0.3">
      <c r="E13" s="80">
        <v>150</v>
      </c>
      <c r="F13" s="80">
        <v>180</v>
      </c>
      <c r="G13" s="62">
        <v>124</v>
      </c>
      <c r="H13" s="61">
        <v>127</v>
      </c>
      <c r="J13" s="73">
        <v>3.3</v>
      </c>
      <c r="K13" s="73">
        <v>3.9</v>
      </c>
      <c r="L13" s="47"/>
      <c r="N13" s="50"/>
      <c r="O13" s="50"/>
      <c r="P13" s="50"/>
      <c r="Q13" s="50"/>
    </row>
    <row r="14" spans="1:17" ht="13.8" thickBot="1" x14ac:dyDescent="0.3">
      <c r="A14" s="53"/>
      <c r="B14" s="53"/>
      <c r="C14" s="53"/>
      <c r="D14" s="53"/>
      <c r="E14" s="80">
        <v>180</v>
      </c>
      <c r="F14" s="79">
        <v>220</v>
      </c>
      <c r="G14" s="61">
        <v>127</v>
      </c>
      <c r="H14" s="62">
        <v>130</v>
      </c>
      <c r="J14" s="73">
        <v>3.9</v>
      </c>
      <c r="K14" s="73">
        <v>4.7</v>
      </c>
      <c r="L14" s="47"/>
      <c r="N14" s="50"/>
      <c r="O14" s="50"/>
      <c r="P14" s="50"/>
      <c r="Q14" s="50"/>
    </row>
    <row r="15" spans="1:17" ht="13.8" thickBot="1" x14ac:dyDescent="0.3">
      <c r="A15" s="53"/>
      <c r="B15" s="53"/>
      <c r="C15" s="53"/>
      <c r="D15" s="81"/>
      <c r="E15" s="79">
        <v>220</v>
      </c>
      <c r="F15" s="80">
        <v>270</v>
      </c>
      <c r="G15" s="62">
        <v>130</v>
      </c>
      <c r="H15" s="61">
        <v>133</v>
      </c>
      <c r="J15" s="73">
        <v>4.7</v>
      </c>
      <c r="K15" s="73">
        <v>5.6</v>
      </c>
      <c r="L15" s="47"/>
      <c r="N15" s="50"/>
      <c r="O15" s="50"/>
      <c r="P15" s="50"/>
      <c r="Q15" s="50"/>
    </row>
    <row r="16" spans="1:17" ht="13.8" thickBot="1" x14ac:dyDescent="0.3">
      <c r="A16" s="82"/>
      <c r="B16" s="83"/>
      <c r="C16" s="53"/>
      <c r="D16" s="84"/>
      <c r="E16" s="80">
        <v>270</v>
      </c>
      <c r="F16" s="80">
        <v>330</v>
      </c>
      <c r="G16" s="61">
        <v>133</v>
      </c>
      <c r="H16" s="62">
        <v>137</v>
      </c>
      <c r="J16" s="73">
        <v>5.6</v>
      </c>
      <c r="K16" s="73">
        <v>6.8</v>
      </c>
      <c r="L16" s="47"/>
      <c r="N16" s="50"/>
      <c r="O16" s="50"/>
      <c r="P16" s="50"/>
      <c r="Q16" s="50"/>
    </row>
    <row r="17" spans="1:17" ht="13.8" thickBot="1" x14ac:dyDescent="0.3">
      <c r="A17" s="82"/>
      <c r="B17" s="83"/>
      <c r="C17" s="53"/>
      <c r="D17" s="84"/>
      <c r="E17" s="80">
        <v>330</v>
      </c>
      <c r="F17" s="80">
        <v>390</v>
      </c>
      <c r="G17" s="62">
        <v>137</v>
      </c>
      <c r="H17" s="61">
        <v>140</v>
      </c>
      <c r="J17" s="73">
        <v>6.8</v>
      </c>
      <c r="K17" s="73">
        <v>8.1999999999999993</v>
      </c>
      <c r="L17" s="47"/>
      <c r="N17" s="50"/>
      <c r="O17" s="50"/>
      <c r="P17" s="50"/>
      <c r="Q17" s="50"/>
    </row>
    <row r="18" spans="1:17" ht="13.8" thickBot="1" x14ac:dyDescent="0.3">
      <c r="A18" s="82"/>
      <c r="B18" s="83"/>
      <c r="C18" s="53"/>
      <c r="D18" s="84"/>
      <c r="E18" s="80">
        <v>390</v>
      </c>
      <c r="F18" s="79">
        <v>470</v>
      </c>
      <c r="G18" s="61">
        <v>140</v>
      </c>
      <c r="H18" s="62">
        <v>143</v>
      </c>
      <c r="J18" s="73">
        <v>8.1999999999999993</v>
      </c>
      <c r="K18" s="73">
        <v>10</v>
      </c>
      <c r="L18" s="47"/>
      <c r="M18" s="50"/>
      <c r="N18" s="50"/>
      <c r="O18" s="50"/>
      <c r="P18" s="50"/>
      <c r="Q18" s="50"/>
    </row>
    <row r="19" spans="1:17" ht="13.8" thickBot="1" x14ac:dyDescent="0.3">
      <c r="A19" s="82"/>
      <c r="B19" s="83"/>
      <c r="C19" s="53"/>
      <c r="D19" s="84"/>
      <c r="E19" s="79">
        <v>470</v>
      </c>
      <c r="F19" s="80">
        <v>560</v>
      </c>
      <c r="G19" s="62">
        <v>143</v>
      </c>
      <c r="H19" s="61">
        <v>147</v>
      </c>
      <c r="J19" s="72" t="s">
        <v>103</v>
      </c>
      <c r="K19" s="73"/>
      <c r="L19" s="73"/>
      <c r="M19" s="50"/>
      <c r="N19" s="50"/>
      <c r="O19" s="50"/>
      <c r="P19" s="50"/>
      <c r="Q19" s="50"/>
    </row>
    <row r="20" spans="1:17" ht="13.8" thickBot="1" x14ac:dyDescent="0.3">
      <c r="A20" s="82"/>
      <c r="B20" s="83"/>
      <c r="C20" s="53"/>
      <c r="D20" s="84"/>
      <c r="E20" s="80">
        <v>560</v>
      </c>
      <c r="F20" s="80">
        <v>680</v>
      </c>
      <c r="G20" s="61">
        <v>147</v>
      </c>
      <c r="H20" s="62">
        <v>150</v>
      </c>
      <c r="J20" s="73">
        <v>1</v>
      </c>
      <c r="K20" s="73">
        <v>1.5</v>
      </c>
      <c r="L20" s="74">
        <f>IF((10^(LOG(K3)-INT(LOG(K3))))-VLOOKUP((10^(LOG(K3)-INT(LOG(K3)))),C_s2:C_f2,1)&lt;VLOOKUP((10^(LOG(K3)-INT(LOG(K3)))),C_s2:C_f2,2)-(10^(LOG(K3)-INT(LOG(K3)))),VLOOKUP((10^(LOG(K3)-INT(LOG(K3)))),C_s2:C_f2,1),VLOOKUP((10^(LOG(K3)-INT(LOG(K3)))),C_s2:C_f2,2))</f>
        <v>6.8</v>
      </c>
      <c r="M20" s="50"/>
      <c r="N20" s="50"/>
      <c r="O20" s="50"/>
      <c r="P20" s="50"/>
      <c r="Q20" s="50"/>
    </row>
    <row r="21" spans="1:17" ht="13.8" thickBot="1" x14ac:dyDescent="0.3">
      <c r="A21" s="82"/>
      <c r="B21" s="83"/>
      <c r="C21" s="53"/>
      <c r="D21" s="84"/>
      <c r="E21" s="78">
        <v>680</v>
      </c>
      <c r="F21" s="80">
        <v>820</v>
      </c>
      <c r="G21" s="62">
        <v>150</v>
      </c>
      <c r="H21" s="61">
        <v>154</v>
      </c>
      <c r="J21" s="73">
        <v>1.5</v>
      </c>
      <c r="K21" s="73">
        <v>2.2000000000000002</v>
      </c>
      <c r="M21" s="50"/>
      <c r="N21" s="50"/>
      <c r="O21" s="50"/>
      <c r="P21" s="50"/>
      <c r="Q21" s="50"/>
    </row>
    <row r="22" spans="1:17" ht="13.8" thickBot="1" x14ac:dyDescent="0.3">
      <c r="A22" s="82"/>
      <c r="B22" s="83"/>
      <c r="C22" s="53"/>
      <c r="D22" s="84"/>
      <c r="E22" s="78">
        <v>820</v>
      </c>
      <c r="F22" s="80">
        <v>1000</v>
      </c>
      <c r="G22" s="61">
        <v>154</v>
      </c>
      <c r="H22" s="62">
        <v>158</v>
      </c>
      <c r="J22" s="73">
        <v>2.2000000000000002</v>
      </c>
      <c r="K22" s="73">
        <v>3.3</v>
      </c>
      <c r="L22" s="74"/>
      <c r="M22" s="50"/>
      <c r="N22" s="50"/>
      <c r="O22" s="50"/>
      <c r="P22" s="50"/>
      <c r="Q22" s="50"/>
    </row>
    <row r="23" spans="1:17" ht="13.8" thickBot="1" x14ac:dyDescent="0.3">
      <c r="A23" s="82"/>
      <c r="B23" s="83"/>
      <c r="C23" s="53"/>
      <c r="D23" s="84"/>
      <c r="E23" s="265" t="s">
        <v>104</v>
      </c>
      <c r="F23" s="266"/>
      <c r="G23" s="62">
        <v>158</v>
      </c>
      <c r="H23" s="61">
        <v>162</v>
      </c>
      <c r="J23" s="73">
        <v>3.3</v>
      </c>
      <c r="K23" s="73">
        <v>4.7</v>
      </c>
      <c r="L23" s="74"/>
      <c r="M23" s="50"/>
      <c r="N23" s="50"/>
      <c r="O23" s="50"/>
      <c r="P23" s="50"/>
      <c r="Q23" s="50"/>
    </row>
    <row r="24" spans="1:17" ht="13.8" thickBot="1" x14ac:dyDescent="0.3">
      <c r="A24" s="82"/>
      <c r="B24" s="83"/>
      <c r="C24" s="53"/>
      <c r="D24" s="84"/>
      <c r="E24" s="86">
        <v>100</v>
      </c>
      <c r="F24" s="87">
        <v>110</v>
      </c>
      <c r="G24" s="61">
        <v>162</v>
      </c>
      <c r="H24" s="62">
        <v>165</v>
      </c>
      <c r="J24" s="73">
        <v>4.7</v>
      </c>
      <c r="K24" s="73">
        <v>6.8</v>
      </c>
      <c r="L24" s="47"/>
      <c r="M24" s="50"/>
      <c r="N24" s="50"/>
      <c r="O24" s="50"/>
      <c r="P24" s="50"/>
      <c r="Q24" s="50"/>
    </row>
    <row r="25" spans="1:17" ht="13.8" thickBot="1" x14ac:dyDescent="0.3">
      <c r="A25" s="82"/>
      <c r="B25" s="83"/>
      <c r="C25" s="53"/>
      <c r="D25" s="84"/>
      <c r="E25" s="87">
        <v>110</v>
      </c>
      <c r="F25" s="87">
        <v>120</v>
      </c>
      <c r="G25" s="62">
        <v>165</v>
      </c>
      <c r="H25" s="61">
        <v>169</v>
      </c>
      <c r="J25" s="73">
        <v>6.8</v>
      </c>
      <c r="K25" s="73">
        <v>10</v>
      </c>
      <c r="L25" s="47"/>
      <c r="M25" s="50"/>
      <c r="N25" s="50"/>
      <c r="O25" s="50"/>
      <c r="P25" s="50"/>
      <c r="Q25" s="50"/>
    </row>
    <row r="26" spans="1:17" ht="13.8" thickBot="1" x14ac:dyDescent="0.3">
      <c r="A26" s="82"/>
      <c r="B26" s="83"/>
      <c r="C26" s="53"/>
      <c r="D26" s="84"/>
      <c r="E26" s="87">
        <v>120</v>
      </c>
      <c r="F26" s="87">
        <v>130</v>
      </c>
      <c r="G26" s="61">
        <v>169</v>
      </c>
      <c r="H26" s="62">
        <v>174</v>
      </c>
      <c r="J26" s="88"/>
      <c r="K26" s="88"/>
      <c r="L26" s="88"/>
      <c r="M26" s="50"/>
      <c r="N26" s="50"/>
      <c r="O26" s="50"/>
      <c r="P26" s="50"/>
      <c r="Q26" s="50"/>
    </row>
    <row r="27" spans="1:17" ht="13.8" thickBot="1" x14ac:dyDescent="0.3">
      <c r="A27" s="82"/>
      <c r="B27" s="83"/>
      <c r="C27" s="53"/>
      <c r="D27" s="84"/>
      <c r="E27" s="87">
        <v>130</v>
      </c>
      <c r="F27" s="87">
        <v>150</v>
      </c>
      <c r="G27" s="62">
        <v>174</v>
      </c>
      <c r="H27" s="61">
        <v>178</v>
      </c>
      <c r="J27" s="88"/>
      <c r="K27" s="88"/>
      <c r="L27" s="88"/>
      <c r="M27" s="50"/>
      <c r="N27" s="50"/>
      <c r="O27" s="50"/>
      <c r="P27" s="50"/>
      <c r="Q27" s="50"/>
    </row>
    <row r="28" spans="1:17" ht="13.8" thickBot="1" x14ac:dyDescent="0.3">
      <c r="A28" s="82"/>
      <c r="B28" s="83"/>
      <c r="C28" s="53"/>
      <c r="D28" s="84"/>
      <c r="E28" s="87">
        <v>150</v>
      </c>
      <c r="F28" s="87">
        <v>160</v>
      </c>
      <c r="G28" s="61">
        <v>178</v>
      </c>
      <c r="H28" s="62">
        <v>182</v>
      </c>
      <c r="I28" s="89"/>
      <c r="J28" s="88"/>
      <c r="K28" s="88"/>
      <c r="L28" s="88"/>
      <c r="M28" s="50"/>
      <c r="N28" s="50"/>
      <c r="O28" s="50"/>
      <c r="P28" s="50"/>
      <c r="Q28" s="50"/>
    </row>
    <row r="29" spans="1:17" ht="13.8" thickBot="1" x14ac:dyDescent="0.3">
      <c r="A29" s="82"/>
      <c r="B29" s="83"/>
      <c r="C29" s="53"/>
      <c r="D29" s="84"/>
      <c r="E29" s="87">
        <v>160</v>
      </c>
      <c r="F29" s="87">
        <v>180</v>
      </c>
      <c r="G29" s="62">
        <v>182</v>
      </c>
      <c r="H29" s="61">
        <v>187</v>
      </c>
      <c r="I29" s="89"/>
      <c r="J29" s="88"/>
      <c r="K29" s="88"/>
      <c r="L29" s="88"/>
      <c r="M29" s="50"/>
      <c r="N29" s="50"/>
      <c r="O29" s="50"/>
      <c r="P29" s="50"/>
      <c r="Q29" s="50"/>
    </row>
    <row r="30" spans="1:17" ht="13.8" thickBot="1" x14ac:dyDescent="0.3">
      <c r="A30" s="82"/>
      <c r="B30" s="83"/>
      <c r="C30" s="53"/>
      <c r="D30" s="84"/>
      <c r="E30" s="87">
        <v>180</v>
      </c>
      <c r="F30" s="90">
        <v>200</v>
      </c>
      <c r="G30" s="61">
        <v>187</v>
      </c>
      <c r="H30" s="62">
        <v>191</v>
      </c>
      <c r="I30" s="89"/>
      <c r="J30" s="88"/>
      <c r="K30" s="88"/>
      <c r="L30" s="88"/>
      <c r="M30" s="50"/>
      <c r="N30" s="50"/>
      <c r="O30" s="50"/>
      <c r="P30" s="50"/>
      <c r="Q30" s="50"/>
    </row>
    <row r="31" spans="1:17" ht="13.8" thickBot="1" x14ac:dyDescent="0.3">
      <c r="A31" s="82"/>
      <c r="B31" s="83"/>
      <c r="C31" s="53"/>
      <c r="D31" s="84"/>
      <c r="E31" s="90">
        <v>200</v>
      </c>
      <c r="F31" s="86">
        <v>220</v>
      </c>
      <c r="G31" s="62">
        <v>191</v>
      </c>
      <c r="H31" s="61">
        <v>196</v>
      </c>
      <c r="I31" s="89"/>
      <c r="J31" s="88"/>
      <c r="K31" s="88"/>
      <c r="L31" s="88"/>
      <c r="M31" s="50"/>
      <c r="N31" s="50"/>
      <c r="O31" s="50"/>
      <c r="P31" s="50"/>
      <c r="Q31" s="50"/>
    </row>
    <row r="32" spans="1:17" ht="13.8" thickBot="1" x14ac:dyDescent="0.3">
      <c r="A32" s="82"/>
      <c r="B32" s="83"/>
      <c r="C32" s="53"/>
      <c r="D32" s="84"/>
      <c r="E32" s="86">
        <v>220</v>
      </c>
      <c r="F32" s="87">
        <v>240</v>
      </c>
      <c r="G32" s="61">
        <v>196</v>
      </c>
      <c r="H32" s="62">
        <v>200</v>
      </c>
      <c r="I32" s="89"/>
      <c r="J32" s="88"/>
      <c r="K32" s="88"/>
      <c r="L32" s="88"/>
      <c r="M32" s="50"/>
      <c r="N32" s="50"/>
      <c r="O32" s="50"/>
      <c r="P32" s="50"/>
      <c r="Q32" s="50"/>
    </row>
    <row r="33" spans="1:17" ht="13.8" thickBot="1" x14ac:dyDescent="0.3">
      <c r="A33" s="82"/>
      <c r="B33" s="83"/>
      <c r="C33" s="53"/>
      <c r="D33" s="84"/>
      <c r="E33" s="87">
        <v>240</v>
      </c>
      <c r="F33" s="87">
        <v>270</v>
      </c>
      <c r="G33" s="62">
        <v>200</v>
      </c>
      <c r="H33" s="61">
        <v>205</v>
      </c>
      <c r="I33" s="89"/>
      <c r="J33" s="88"/>
      <c r="K33" s="88"/>
      <c r="L33" s="88"/>
      <c r="M33" s="50"/>
      <c r="N33" s="50"/>
      <c r="O33" s="50"/>
      <c r="P33" s="50"/>
      <c r="Q33" s="50"/>
    </row>
    <row r="34" spans="1:17" s="92" customFormat="1" ht="13.8" thickBot="1" x14ac:dyDescent="0.3">
      <c r="A34" s="82"/>
      <c r="B34" s="83"/>
      <c r="C34" s="53"/>
      <c r="D34" s="84"/>
      <c r="E34" s="87">
        <v>270</v>
      </c>
      <c r="F34" s="87">
        <v>300</v>
      </c>
      <c r="G34" s="61">
        <v>205</v>
      </c>
      <c r="H34" s="62">
        <v>210</v>
      </c>
      <c r="I34" s="91"/>
      <c r="J34" s="88"/>
      <c r="K34" s="88"/>
      <c r="L34" s="88"/>
    </row>
    <row r="35" spans="1:17" s="92" customFormat="1" ht="13.8" thickBot="1" x14ac:dyDescent="0.3">
      <c r="A35" s="93"/>
      <c r="B35" s="93"/>
      <c r="C35" s="93"/>
      <c r="D35" s="93"/>
      <c r="E35" s="87">
        <v>300</v>
      </c>
      <c r="F35" s="87">
        <v>330</v>
      </c>
      <c r="G35" s="62">
        <v>210</v>
      </c>
      <c r="H35" s="61">
        <v>215</v>
      </c>
      <c r="I35" s="48"/>
      <c r="J35" s="88"/>
      <c r="K35" s="88"/>
      <c r="L35" s="88"/>
    </row>
    <row r="36" spans="1:17" s="92" customFormat="1" ht="13.8" thickBot="1" x14ac:dyDescent="0.3">
      <c r="E36" s="87">
        <v>330</v>
      </c>
      <c r="F36" s="87">
        <v>360</v>
      </c>
      <c r="G36" s="61">
        <v>215</v>
      </c>
      <c r="H36" s="62">
        <v>221</v>
      </c>
      <c r="I36" s="48"/>
      <c r="J36" s="88"/>
      <c r="K36" s="88"/>
      <c r="L36" s="88"/>
    </row>
    <row r="37" spans="1:17" s="92" customFormat="1" ht="13.8" thickBot="1" x14ac:dyDescent="0.3">
      <c r="E37" s="87">
        <v>360</v>
      </c>
      <c r="F37" s="87">
        <v>390</v>
      </c>
      <c r="G37" s="62">
        <v>221</v>
      </c>
      <c r="H37" s="61">
        <v>226</v>
      </c>
      <c r="I37" s="48"/>
      <c r="J37" s="88"/>
      <c r="K37" s="88"/>
      <c r="L37" s="88"/>
    </row>
    <row r="38" spans="1:17" s="92" customFormat="1" ht="13.8" thickBot="1" x14ac:dyDescent="0.3">
      <c r="E38" s="87">
        <v>390</v>
      </c>
      <c r="F38" s="90">
        <v>430</v>
      </c>
      <c r="G38" s="61">
        <v>226</v>
      </c>
      <c r="H38" s="62">
        <v>232</v>
      </c>
      <c r="I38" s="89"/>
      <c r="J38" s="88"/>
      <c r="K38" s="88"/>
      <c r="L38" s="88"/>
    </row>
    <row r="39" spans="1:17" ht="13.8" thickBot="1" x14ac:dyDescent="0.3">
      <c r="E39" s="90">
        <v>430</v>
      </c>
      <c r="F39" s="86">
        <v>470</v>
      </c>
      <c r="G39" s="62">
        <v>232</v>
      </c>
      <c r="H39" s="61">
        <v>237</v>
      </c>
      <c r="I39" s="89"/>
      <c r="J39" s="88"/>
      <c r="K39" s="88"/>
      <c r="L39" s="88"/>
      <c r="M39" s="50"/>
      <c r="N39" s="50"/>
      <c r="O39" s="50"/>
      <c r="P39" s="50"/>
      <c r="Q39" s="50"/>
    </row>
    <row r="40" spans="1:17" ht="13.8" thickBot="1" x14ac:dyDescent="0.3">
      <c r="E40" s="86">
        <v>470</v>
      </c>
      <c r="F40" s="87">
        <v>510</v>
      </c>
      <c r="G40" s="61">
        <v>237</v>
      </c>
      <c r="H40" s="62">
        <v>243</v>
      </c>
      <c r="I40" s="89"/>
      <c r="J40" s="88"/>
      <c r="K40" s="88"/>
      <c r="L40" s="88"/>
      <c r="M40" s="50"/>
      <c r="N40" s="50"/>
      <c r="O40" s="50"/>
      <c r="P40" s="50"/>
      <c r="Q40" s="50"/>
    </row>
    <row r="41" spans="1:17" ht="13.8" thickBot="1" x14ac:dyDescent="0.3">
      <c r="E41" s="87">
        <v>510</v>
      </c>
      <c r="F41" s="87">
        <v>560</v>
      </c>
      <c r="G41" s="62">
        <v>243</v>
      </c>
      <c r="H41" s="61">
        <v>249</v>
      </c>
      <c r="I41" s="89"/>
      <c r="J41" s="88"/>
      <c r="K41" s="88"/>
      <c r="L41" s="88"/>
      <c r="M41" s="50"/>
      <c r="N41" s="50"/>
      <c r="O41" s="50"/>
      <c r="P41" s="50"/>
      <c r="Q41" s="50"/>
    </row>
    <row r="42" spans="1:17" ht="13.8" thickBot="1" x14ac:dyDescent="0.3">
      <c r="E42" s="87">
        <v>560</v>
      </c>
      <c r="F42" s="87">
        <v>620</v>
      </c>
      <c r="G42" s="61">
        <v>249</v>
      </c>
      <c r="H42" s="62">
        <v>255</v>
      </c>
      <c r="I42" s="89"/>
      <c r="J42" s="88"/>
      <c r="K42" s="88"/>
      <c r="L42" s="88"/>
      <c r="M42" s="50"/>
      <c r="N42" s="50"/>
      <c r="O42" s="50"/>
      <c r="P42" s="50"/>
      <c r="Q42" s="50"/>
    </row>
    <row r="43" spans="1:17" ht="13.8" thickBot="1" x14ac:dyDescent="0.3">
      <c r="E43" s="87">
        <v>620</v>
      </c>
      <c r="F43" s="87">
        <v>680</v>
      </c>
      <c r="G43" s="62">
        <v>255</v>
      </c>
      <c r="H43" s="61">
        <v>261</v>
      </c>
      <c r="I43" s="89"/>
      <c r="J43" s="88"/>
      <c r="K43" s="88"/>
      <c r="L43" s="88"/>
      <c r="M43" s="50"/>
      <c r="N43" s="50"/>
      <c r="O43" s="50"/>
      <c r="P43" s="50"/>
      <c r="Q43" s="50"/>
    </row>
    <row r="44" spans="1:17" ht="13.8" thickBot="1" x14ac:dyDescent="0.3">
      <c r="E44" s="87">
        <v>680</v>
      </c>
      <c r="F44" s="87">
        <v>750</v>
      </c>
      <c r="G44" s="61">
        <v>261</v>
      </c>
      <c r="H44" s="62">
        <v>267</v>
      </c>
      <c r="I44" s="89"/>
      <c r="J44" s="88"/>
      <c r="K44" s="88"/>
      <c r="L44" s="88"/>
      <c r="M44" s="50"/>
      <c r="N44" s="50"/>
      <c r="O44" s="50"/>
      <c r="P44" s="50"/>
      <c r="Q44" s="50"/>
    </row>
    <row r="45" spans="1:17" ht="13.8" thickBot="1" x14ac:dyDescent="0.3">
      <c r="E45" s="87">
        <v>750</v>
      </c>
      <c r="F45" s="87">
        <v>820</v>
      </c>
      <c r="G45" s="62">
        <v>267</v>
      </c>
      <c r="H45" s="61">
        <v>274</v>
      </c>
      <c r="J45" s="88"/>
      <c r="K45" s="88"/>
      <c r="L45" s="88"/>
      <c r="M45" s="50"/>
      <c r="N45" s="50"/>
      <c r="O45" s="50"/>
      <c r="P45" s="50"/>
      <c r="Q45" s="50"/>
    </row>
    <row r="46" spans="1:17" ht="13.8" thickBot="1" x14ac:dyDescent="0.3">
      <c r="E46" s="87">
        <v>820</v>
      </c>
      <c r="F46" s="90">
        <v>910</v>
      </c>
      <c r="G46" s="61">
        <v>274</v>
      </c>
      <c r="H46" s="62">
        <v>280</v>
      </c>
      <c r="J46" s="88"/>
      <c r="K46" s="88"/>
      <c r="L46" s="88"/>
      <c r="M46" s="50"/>
      <c r="N46" s="50"/>
      <c r="O46" s="50"/>
      <c r="P46" s="50"/>
      <c r="Q46" s="50"/>
    </row>
    <row r="47" spans="1:17" ht="13.8" thickBot="1" x14ac:dyDescent="0.3">
      <c r="E47" s="90">
        <v>910</v>
      </c>
      <c r="F47" s="90">
        <v>1000</v>
      </c>
      <c r="G47" s="62">
        <v>280</v>
      </c>
      <c r="H47" s="61">
        <v>287</v>
      </c>
      <c r="J47" s="88"/>
      <c r="K47" s="88"/>
      <c r="L47" s="88"/>
      <c r="M47" s="50"/>
      <c r="N47" s="50"/>
      <c r="O47" s="50"/>
      <c r="P47" s="50"/>
      <c r="Q47" s="50"/>
    </row>
    <row r="48" spans="1:17" ht="13.8" thickBot="1" x14ac:dyDescent="0.3">
      <c r="E48" s="267" t="s">
        <v>105</v>
      </c>
      <c r="F48" s="267"/>
      <c r="G48" s="61">
        <v>287</v>
      </c>
      <c r="H48" s="62">
        <v>294</v>
      </c>
      <c r="J48" s="88"/>
      <c r="K48" s="88"/>
      <c r="L48" s="88"/>
      <c r="M48" s="50"/>
      <c r="N48" s="50"/>
      <c r="O48" s="50"/>
      <c r="P48" s="50"/>
      <c r="Q48" s="50"/>
    </row>
    <row r="49" spans="1:17" ht="13.8" thickBot="1" x14ac:dyDescent="0.3">
      <c r="E49" s="94">
        <v>100</v>
      </c>
      <c r="F49" s="94">
        <v>105</v>
      </c>
      <c r="G49" s="62">
        <v>294</v>
      </c>
      <c r="H49" s="61">
        <v>301</v>
      </c>
      <c r="J49" s="88"/>
      <c r="K49" s="88"/>
      <c r="L49" s="88"/>
      <c r="M49" s="50"/>
      <c r="N49" s="50"/>
      <c r="O49" s="50"/>
      <c r="P49" s="50"/>
      <c r="Q49" s="50"/>
    </row>
    <row r="50" spans="1:17" ht="13.8" thickBot="1" x14ac:dyDescent="0.3">
      <c r="A50" s="50"/>
      <c r="B50" s="50"/>
      <c r="C50" s="50"/>
      <c r="D50" s="50"/>
      <c r="E50" s="94">
        <v>105</v>
      </c>
      <c r="F50" s="94">
        <v>110</v>
      </c>
      <c r="G50" s="61">
        <v>301</v>
      </c>
      <c r="H50" s="62">
        <v>309</v>
      </c>
      <c r="J50" s="88"/>
      <c r="K50" s="88"/>
      <c r="L50" s="88"/>
      <c r="M50" s="50"/>
      <c r="N50" s="50"/>
      <c r="O50" s="50"/>
      <c r="P50" s="50"/>
      <c r="Q50" s="50"/>
    </row>
    <row r="51" spans="1:17" ht="13.8" thickBot="1" x14ac:dyDescent="0.3">
      <c r="A51" s="50"/>
      <c r="B51" s="50"/>
      <c r="C51" s="50"/>
      <c r="D51" s="50"/>
      <c r="E51" s="94">
        <v>110</v>
      </c>
      <c r="F51" s="94">
        <v>115</v>
      </c>
      <c r="G51" s="62">
        <v>309</v>
      </c>
      <c r="H51" s="61">
        <v>316</v>
      </c>
      <c r="J51" s="88"/>
      <c r="K51" s="88"/>
      <c r="L51" s="88"/>
      <c r="M51" s="50"/>
      <c r="N51" s="50"/>
      <c r="O51" s="50"/>
      <c r="P51" s="50"/>
      <c r="Q51" s="50"/>
    </row>
    <row r="52" spans="1:17" ht="13.8" thickBot="1" x14ac:dyDescent="0.3">
      <c r="A52" s="50"/>
      <c r="B52" s="50"/>
      <c r="C52" s="50"/>
      <c r="D52" s="50"/>
      <c r="E52" s="94">
        <v>115</v>
      </c>
      <c r="F52" s="94">
        <v>121</v>
      </c>
      <c r="G52" s="61">
        <v>316</v>
      </c>
      <c r="H52" s="62">
        <v>324</v>
      </c>
      <c r="J52" s="88"/>
      <c r="K52" s="88"/>
      <c r="L52" s="88"/>
      <c r="M52" s="50"/>
      <c r="N52" s="50"/>
      <c r="O52" s="50"/>
      <c r="P52" s="50"/>
      <c r="Q52" s="50"/>
    </row>
    <row r="53" spans="1:17" ht="13.8" thickBot="1" x14ac:dyDescent="0.3">
      <c r="A53" s="50"/>
      <c r="B53" s="50"/>
      <c r="C53" s="50"/>
      <c r="D53" s="50"/>
      <c r="E53" s="94">
        <v>121</v>
      </c>
      <c r="F53" s="94">
        <v>127</v>
      </c>
      <c r="G53" s="62">
        <v>324</v>
      </c>
      <c r="H53" s="61">
        <v>332</v>
      </c>
      <c r="J53" s="88"/>
      <c r="K53" s="88"/>
      <c r="L53" s="88"/>
      <c r="M53" s="50"/>
      <c r="N53" s="50"/>
      <c r="O53" s="50"/>
      <c r="P53" s="50"/>
      <c r="Q53" s="50"/>
    </row>
    <row r="54" spans="1:17" ht="13.8" thickBot="1" x14ac:dyDescent="0.3">
      <c r="A54" s="50"/>
      <c r="B54" s="50"/>
      <c r="C54" s="50"/>
      <c r="D54" s="50"/>
      <c r="E54" s="94">
        <v>127</v>
      </c>
      <c r="F54" s="94">
        <v>133</v>
      </c>
      <c r="G54" s="61">
        <v>332</v>
      </c>
      <c r="H54" s="62">
        <v>340</v>
      </c>
      <c r="J54" s="88"/>
      <c r="K54" s="88"/>
      <c r="L54" s="88"/>
      <c r="M54" s="50"/>
      <c r="N54" s="50"/>
      <c r="O54" s="50"/>
      <c r="P54" s="50"/>
      <c r="Q54" s="50"/>
    </row>
    <row r="55" spans="1:17" ht="13.8" thickBot="1" x14ac:dyDescent="0.3">
      <c r="A55" s="50"/>
      <c r="B55" s="50"/>
      <c r="C55" s="50"/>
      <c r="D55" s="50"/>
      <c r="E55" s="94">
        <v>133</v>
      </c>
      <c r="F55" s="94">
        <v>140</v>
      </c>
      <c r="G55" s="62">
        <v>340</v>
      </c>
      <c r="H55" s="61">
        <v>348</v>
      </c>
      <c r="J55" s="88"/>
      <c r="K55" s="88"/>
      <c r="L55" s="88"/>
      <c r="M55" s="50"/>
      <c r="N55" s="50"/>
      <c r="O55" s="50"/>
      <c r="P55" s="50"/>
      <c r="Q55" s="50"/>
    </row>
    <row r="56" spans="1:17" ht="13.8" thickBot="1" x14ac:dyDescent="0.3">
      <c r="A56" s="50"/>
      <c r="B56" s="50"/>
      <c r="C56" s="50"/>
      <c r="D56" s="50"/>
      <c r="E56" s="94">
        <v>140</v>
      </c>
      <c r="F56" s="94">
        <v>147</v>
      </c>
      <c r="G56" s="61">
        <v>348</v>
      </c>
      <c r="H56" s="62">
        <v>357</v>
      </c>
      <c r="J56" s="88"/>
      <c r="K56" s="88"/>
      <c r="L56" s="88"/>
      <c r="M56" s="50"/>
      <c r="N56" s="50"/>
      <c r="O56" s="50"/>
      <c r="P56" s="50"/>
      <c r="Q56" s="50"/>
    </row>
    <row r="57" spans="1:17" ht="13.8" thickBot="1" x14ac:dyDescent="0.3">
      <c r="A57" s="50"/>
      <c r="B57" s="50"/>
      <c r="C57" s="50"/>
      <c r="D57" s="50"/>
      <c r="E57" s="94">
        <v>147</v>
      </c>
      <c r="F57" s="94">
        <v>154</v>
      </c>
      <c r="G57" s="62">
        <v>357</v>
      </c>
      <c r="H57" s="61">
        <v>365</v>
      </c>
      <c r="J57" s="88"/>
      <c r="K57" s="88"/>
      <c r="L57" s="88"/>
      <c r="M57" s="50"/>
      <c r="N57" s="50"/>
      <c r="O57" s="50"/>
      <c r="P57" s="50"/>
      <c r="Q57" s="50"/>
    </row>
    <row r="58" spans="1:17" ht="13.8" thickBot="1" x14ac:dyDescent="0.3">
      <c r="A58" s="50"/>
      <c r="B58" s="50"/>
      <c r="C58" s="50"/>
      <c r="D58" s="50"/>
      <c r="E58" s="94">
        <v>154</v>
      </c>
      <c r="F58" s="94">
        <v>162</v>
      </c>
      <c r="G58" s="61">
        <v>365</v>
      </c>
      <c r="H58" s="62">
        <v>374</v>
      </c>
      <c r="J58" s="88"/>
      <c r="K58" s="88"/>
      <c r="L58" s="88"/>
      <c r="M58" s="50"/>
      <c r="N58" s="50"/>
      <c r="O58" s="50"/>
      <c r="P58" s="50"/>
      <c r="Q58" s="50"/>
    </row>
    <row r="59" spans="1:17" ht="13.8" thickBot="1" x14ac:dyDescent="0.3">
      <c r="A59" s="50"/>
      <c r="B59" s="50"/>
      <c r="C59" s="50"/>
      <c r="D59" s="50"/>
      <c r="E59" s="94">
        <v>162</v>
      </c>
      <c r="F59" s="94">
        <v>169</v>
      </c>
      <c r="G59" s="62">
        <v>374</v>
      </c>
      <c r="H59" s="61">
        <v>383</v>
      </c>
      <c r="J59" s="88"/>
      <c r="K59" s="88"/>
      <c r="L59" s="88"/>
      <c r="M59" s="50"/>
      <c r="N59" s="50"/>
      <c r="O59" s="50"/>
      <c r="P59" s="50"/>
      <c r="Q59" s="50"/>
    </row>
    <row r="60" spans="1:17" ht="13.8" thickBot="1" x14ac:dyDescent="0.3">
      <c r="A60" s="50"/>
      <c r="B60" s="50"/>
      <c r="C60" s="50"/>
      <c r="D60" s="50"/>
      <c r="E60" s="94">
        <v>169</v>
      </c>
      <c r="F60" s="94">
        <v>178</v>
      </c>
      <c r="G60" s="61">
        <v>383</v>
      </c>
      <c r="H60" s="62">
        <v>392</v>
      </c>
      <c r="J60" s="88"/>
      <c r="K60" s="88"/>
      <c r="L60" s="88"/>
      <c r="M60" s="50"/>
      <c r="N60" s="50"/>
      <c r="O60" s="50"/>
      <c r="P60" s="50"/>
      <c r="Q60" s="50"/>
    </row>
    <row r="61" spans="1:17" ht="13.8" thickBot="1" x14ac:dyDescent="0.3">
      <c r="A61" s="50"/>
      <c r="B61" s="50"/>
      <c r="C61" s="50"/>
      <c r="D61" s="50"/>
      <c r="E61" s="94">
        <v>178</v>
      </c>
      <c r="F61" s="94">
        <v>187</v>
      </c>
      <c r="G61" s="62">
        <v>392</v>
      </c>
      <c r="H61" s="61">
        <v>402</v>
      </c>
      <c r="J61" s="88"/>
      <c r="K61" s="88"/>
      <c r="L61" s="88"/>
      <c r="M61" s="50"/>
      <c r="N61" s="50"/>
      <c r="O61" s="50"/>
      <c r="P61" s="50"/>
      <c r="Q61" s="50"/>
    </row>
    <row r="62" spans="1:17" ht="13.8" thickBot="1" x14ac:dyDescent="0.3">
      <c r="A62" s="50"/>
      <c r="B62" s="50"/>
      <c r="C62" s="50"/>
      <c r="D62" s="50"/>
      <c r="E62" s="94">
        <v>187</v>
      </c>
      <c r="F62" s="94">
        <v>196</v>
      </c>
      <c r="G62" s="61">
        <v>402</v>
      </c>
      <c r="H62" s="62">
        <v>412</v>
      </c>
      <c r="J62" s="88"/>
      <c r="K62" s="88"/>
      <c r="L62" s="88"/>
      <c r="M62" s="50"/>
      <c r="N62" s="50"/>
      <c r="O62" s="50"/>
      <c r="P62" s="50"/>
      <c r="Q62" s="50"/>
    </row>
    <row r="63" spans="1:17" ht="13.8" thickBot="1" x14ac:dyDescent="0.3">
      <c r="A63" s="50"/>
      <c r="B63" s="50"/>
      <c r="C63" s="50"/>
      <c r="D63" s="50"/>
      <c r="E63" s="94">
        <v>196</v>
      </c>
      <c r="F63" s="94">
        <v>205</v>
      </c>
      <c r="G63" s="62">
        <v>412</v>
      </c>
      <c r="H63" s="61">
        <v>422</v>
      </c>
      <c r="J63" s="88"/>
      <c r="K63" s="88"/>
      <c r="L63" s="88"/>
      <c r="M63" s="50"/>
      <c r="N63" s="50"/>
      <c r="O63" s="50"/>
      <c r="P63" s="50"/>
      <c r="Q63" s="50"/>
    </row>
    <row r="64" spans="1:17" ht="13.8" thickBot="1" x14ac:dyDescent="0.3">
      <c r="A64" s="50"/>
      <c r="B64" s="50"/>
      <c r="C64" s="50"/>
      <c r="D64" s="50"/>
      <c r="E64" s="94">
        <v>205</v>
      </c>
      <c r="F64" s="94">
        <v>215</v>
      </c>
      <c r="G64" s="61">
        <v>422</v>
      </c>
      <c r="H64" s="62">
        <v>432</v>
      </c>
      <c r="J64" s="88"/>
      <c r="K64" s="88"/>
      <c r="L64" s="88"/>
      <c r="M64" s="50"/>
      <c r="N64" s="50"/>
      <c r="O64" s="50"/>
      <c r="P64" s="50"/>
      <c r="Q64" s="50"/>
    </row>
    <row r="65" spans="1:17" ht="13.8" thickBot="1" x14ac:dyDescent="0.3">
      <c r="A65" s="50"/>
      <c r="B65" s="50"/>
      <c r="C65" s="50"/>
      <c r="D65" s="50"/>
      <c r="E65" s="94">
        <v>215</v>
      </c>
      <c r="F65" s="94">
        <v>226</v>
      </c>
      <c r="G65" s="62">
        <v>432</v>
      </c>
      <c r="H65" s="61">
        <v>442</v>
      </c>
      <c r="J65" s="88"/>
      <c r="K65" s="88"/>
      <c r="L65" s="88"/>
      <c r="M65" s="50"/>
      <c r="N65" s="50"/>
      <c r="O65" s="50"/>
      <c r="P65" s="50"/>
      <c r="Q65" s="50"/>
    </row>
    <row r="66" spans="1:17" ht="13.8" thickBot="1" x14ac:dyDescent="0.3">
      <c r="A66" s="50"/>
      <c r="B66" s="50"/>
      <c r="C66" s="50"/>
      <c r="D66" s="50"/>
      <c r="E66" s="94">
        <v>226</v>
      </c>
      <c r="F66" s="94">
        <v>237</v>
      </c>
      <c r="G66" s="61">
        <v>442</v>
      </c>
      <c r="H66" s="62">
        <v>453</v>
      </c>
      <c r="J66" s="88"/>
      <c r="K66" s="88"/>
      <c r="L66" s="88"/>
      <c r="M66" s="50"/>
      <c r="N66" s="50"/>
      <c r="O66" s="50"/>
      <c r="P66" s="50"/>
      <c r="Q66" s="50"/>
    </row>
    <row r="67" spans="1:17" ht="13.8" thickBot="1" x14ac:dyDescent="0.3">
      <c r="A67" s="50"/>
      <c r="B67" s="50"/>
      <c r="C67" s="50"/>
      <c r="D67" s="50"/>
      <c r="E67" s="94">
        <v>237</v>
      </c>
      <c r="F67" s="94">
        <v>249</v>
      </c>
      <c r="G67" s="62">
        <v>453</v>
      </c>
      <c r="H67" s="61">
        <v>464</v>
      </c>
      <c r="J67" s="88"/>
      <c r="K67" s="88"/>
      <c r="L67" s="88"/>
      <c r="M67" s="50"/>
      <c r="N67" s="50"/>
      <c r="O67" s="50"/>
      <c r="P67" s="50"/>
      <c r="Q67" s="50"/>
    </row>
    <row r="68" spans="1:17" ht="13.8" thickBot="1" x14ac:dyDescent="0.3">
      <c r="A68" s="50"/>
      <c r="B68" s="50"/>
      <c r="C68" s="50"/>
      <c r="D68" s="50"/>
      <c r="E68" s="94">
        <v>249</v>
      </c>
      <c r="F68" s="94">
        <v>261</v>
      </c>
      <c r="G68" s="61">
        <v>464</v>
      </c>
      <c r="H68" s="62">
        <v>475</v>
      </c>
      <c r="J68" s="88"/>
      <c r="K68" s="88"/>
      <c r="L68" s="88"/>
      <c r="M68" s="50"/>
      <c r="N68" s="50"/>
      <c r="O68" s="50"/>
      <c r="P68" s="50"/>
      <c r="Q68" s="50"/>
    </row>
    <row r="69" spans="1:17" ht="13.8" thickBot="1" x14ac:dyDescent="0.3">
      <c r="A69" s="50"/>
      <c r="B69" s="50"/>
      <c r="C69" s="50"/>
      <c r="D69" s="50"/>
      <c r="E69" s="94">
        <v>261</v>
      </c>
      <c r="F69" s="94">
        <v>274</v>
      </c>
      <c r="G69" s="62">
        <v>475</v>
      </c>
      <c r="H69" s="61">
        <v>487</v>
      </c>
      <c r="J69" s="88"/>
      <c r="K69" s="88"/>
      <c r="L69" s="88"/>
      <c r="M69" s="50"/>
      <c r="N69" s="50"/>
      <c r="O69" s="50"/>
      <c r="P69" s="50"/>
      <c r="Q69" s="50"/>
    </row>
    <row r="70" spans="1:17" ht="13.8" thickBot="1" x14ac:dyDescent="0.3">
      <c r="A70" s="50"/>
      <c r="B70" s="50"/>
      <c r="C70" s="50"/>
      <c r="D70" s="50"/>
      <c r="E70" s="94">
        <v>274</v>
      </c>
      <c r="F70" s="94">
        <v>287</v>
      </c>
      <c r="G70" s="61">
        <v>487</v>
      </c>
      <c r="H70" s="62">
        <v>499</v>
      </c>
      <c r="J70" s="88"/>
      <c r="K70" s="88"/>
      <c r="L70" s="88"/>
      <c r="M70" s="50"/>
      <c r="N70" s="50"/>
      <c r="O70" s="50"/>
      <c r="P70" s="50"/>
      <c r="Q70" s="50"/>
    </row>
    <row r="71" spans="1:17" ht="13.8" thickBot="1" x14ac:dyDescent="0.3">
      <c r="A71" s="50"/>
      <c r="B71" s="50"/>
      <c r="C71" s="50"/>
      <c r="D71" s="50"/>
      <c r="E71" s="94">
        <v>287</v>
      </c>
      <c r="F71" s="94">
        <v>301</v>
      </c>
      <c r="G71" s="62">
        <v>499</v>
      </c>
      <c r="H71" s="61">
        <v>511</v>
      </c>
      <c r="J71" s="88"/>
      <c r="K71" s="88"/>
      <c r="L71" s="88"/>
      <c r="M71" s="50"/>
      <c r="N71" s="50"/>
      <c r="O71" s="50"/>
      <c r="P71" s="50"/>
      <c r="Q71" s="50"/>
    </row>
    <row r="72" spans="1:17" ht="13.8" thickBot="1" x14ac:dyDescent="0.3">
      <c r="A72" s="50"/>
      <c r="B72" s="50"/>
      <c r="C72" s="50"/>
      <c r="D72" s="50"/>
      <c r="E72" s="94">
        <v>301</v>
      </c>
      <c r="F72" s="94">
        <v>316</v>
      </c>
      <c r="G72" s="61">
        <v>511</v>
      </c>
      <c r="H72" s="62">
        <v>523</v>
      </c>
      <c r="J72" s="88"/>
      <c r="K72" s="88"/>
      <c r="L72" s="88"/>
      <c r="M72" s="50"/>
      <c r="N72" s="50"/>
      <c r="O72" s="50"/>
      <c r="P72" s="50"/>
      <c r="Q72" s="50"/>
    </row>
    <row r="73" spans="1:17" ht="13.8" thickBot="1" x14ac:dyDescent="0.3">
      <c r="A73" s="50"/>
      <c r="B73" s="50"/>
      <c r="C73" s="50"/>
      <c r="D73" s="50"/>
      <c r="E73" s="94">
        <v>316</v>
      </c>
      <c r="F73" s="94">
        <v>332</v>
      </c>
      <c r="G73" s="62">
        <v>523</v>
      </c>
      <c r="H73" s="61">
        <v>536</v>
      </c>
      <c r="J73" s="88"/>
      <c r="K73" s="88"/>
      <c r="L73" s="88"/>
      <c r="M73" s="50"/>
      <c r="N73" s="50"/>
      <c r="O73" s="50"/>
      <c r="P73" s="50"/>
      <c r="Q73" s="50"/>
    </row>
    <row r="74" spans="1:17" ht="13.8" thickBot="1" x14ac:dyDescent="0.3">
      <c r="A74" s="50"/>
      <c r="B74" s="50"/>
      <c r="C74" s="50"/>
      <c r="D74" s="50"/>
      <c r="E74" s="94">
        <v>332</v>
      </c>
      <c r="F74" s="94">
        <v>348</v>
      </c>
      <c r="G74" s="61">
        <v>536</v>
      </c>
      <c r="H74" s="62">
        <v>549</v>
      </c>
      <c r="J74" s="88"/>
      <c r="K74" s="88"/>
      <c r="L74" s="88"/>
      <c r="M74" s="50"/>
      <c r="N74" s="50"/>
      <c r="O74" s="50"/>
      <c r="P74" s="50"/>
      <c r="Q74" s="50"/>
    </row>
    <row r="75" spans="1:17" ht="13.8" thickBot="1" x14ac:dyDescent="0.3">
      <c r="A75" s="50"/>
      <c r="B75" s="50"/>
      <c r="C75" s="50"/>
      <c r="D75" s="50"/>
      <c r="E75" s="94">
        <v>348</v>
      </c>
      <c r="F75" s="94">
        <v>365</v>
      </c>
      <c r="G75" s="62">
        <v>549</v>
      </c>
      <c r="H75" s="61">
        <v>562</v>
      </c>
      <c r="J75" s="88"/>
      <c r="K75" s="88"/>
      <c r="L75" s="88"/>
      <c r="M75" s="50"/>
      <c r="N75" s="50"/>
      <c r="O75" s="50"/>
      <c r="P75" s="50"/>
      <c r="Q75" s="50"/>
    </row>
    <row r="76" spans="1:17" ht="13.8" thickBot="1" x14ac:dyDescent="0.3">
      <c r="A76" s="50"/>
      <c r="B76" s="50"/>
      <c r="C76" s="50"/>
      <c r="D76" s="50"/>
      <c r="E76" s="94">
        <v>365</v>
      </c>
      <c r="F76" s="94">
        <v>383</v>
      </c>
      <c r="G76" s="61">
        <v>562</v>
      </c>
      <c r="H76" s="62">
        <v>576</v>
      </c>
      <c r="J76" s="95"/>
      <c r="K76" s="95"/>
      <c r="L76" s="95"/>
      <c r="M76" s="50"/>
      <c r="N76" s="50"/>
      <c r="O76" s="50"/>
      <c r="P76" s="50"/>
      <c r="Q76" s="50"/>
    </row>
    <row r="77" spans="1:17" ht="13.8" thickBot="1" x14ac:dyDescent="0.3">
      <c r="A77" s="50"/>
      <c r="B77" s="50"/>
      <c r="C77" s="50"/>
      <c r="D77" s="50"/>
      <c r="E77" s="94">
        <v>383</v>
      </c>
      <c r="F77" s="94">
        <v>402</v>
      </c>
      <c r="G77" s="62">
        <v>576</v>
      </c>
      <c r="H77" s="61">
        <v>590</v>
      </c>
      <c r="J77" s="95"/>
      <c r="K77" s="95"/>
      <c r="L77" s="95"/>
      <c r="M77" s="50"/>
      <c r="N77" s="50"/>
      <c r="O77" s="50"/>
      <c r="P77" s="50"/>
      <c r="Q77" s="50"/>
    </row>
    <row r="78" spans="1:17" ht="13.8" thickBot="1" x14ac:dyDescent="0.3">
      <c r="A78" s="50"/>
      <c r="B78" s="50"/>
      <c r="C78" s="50"/>
      <c r="D78" s="50"/>
      <c r="E78" s="94">
        <v>402</v>
      </c>
      <c r="F78" s="94">
        <v>422</v>
      </c>
      <c r="G78" s="61">
        <v>590</v>
      </c>
      <c r="H78" s="62">
        <v>604</v>
      </c>
      <c r="J78" s="95"/>
      <c r="K78" s="95"/>
      <c r="L78" s="95"/>
      <c r="M78" s="50"/>
      <c r="N78" s="50"/>
      <c r="O78" s="50"/>
      <c r="P78" s="50"/>
      <c r="Q78" s="50"/>
    </row>
    <row r="79" spans="1:17" ht="13.8" thickBot="1" x14ac:dyDescent="0.3">
      <c r="A79" s="50"/>
      <c r="B79" s="50"/>
      <c r="C79" s="50"/>
      <c r="D79" s="50"/>
      <c r="E79" s="94">
        <v>422</v>
      </c>
      <c r="F79" s="94">
        <v>442</v>
      </c>
      <c r="G79" s="62">
        <v>604</v>
      </c>
      <c r="H79" s="61">
        <v>619</v>
      </c>
      <c r="J79" s="95"/>
      <c r="K79" s="95"/>
      <c r="L79" s="95"/>
      <c r="M79" s="50"/>
      <c r="N79" s="50"/>
      <c r="O79" s="50"/>
      <c r="P79" s="50"/>
      <c r="Q79" s="50"/>
    </row>
    <row r="80" spans="1:17" ht="13.8" thickBot="1" x14ac:dyDescent="0.3">
      <c r="A80" s="50"/>
      <c r="B80" s="50"/>
      <c r="C80" s="50"/>
      <c r="D80" s="50"/>
      <c r="E80" s="94">
        <v>442</v>
      </c>
      <c r="F80" s="94">
        <v>464</v>
      </c>
      <c r="G80" s="61">
        <v>619</v>
      </c>
      <c r="H80" s="62">
        <v>634</v>
      </c>
      <c r="J80" s="95"/>
      <c r="K80" s="95"/>
      <c r="L80" s="95"/>
      <c r="M80" s="50"/>
      <c r="N80" s="50"/>
      <c r="O80" s="50"/>
      <c r="P80" s="50"/>
      <c r="Q80" s="50"/>
    </row>
    <row r="81" spans="1:17" ht="13.8" thickBot="1" x14ac:dyDescent="0.3">
      <c r="A81" s="50"/>
      <c r="B81" s="50"/>
      <c r="C81" s="50"/>
      <c r="D81" s="50"/>
      <c r="E81" s="94">
        <v>464</v>
      </c>
      <c r="F81" s="94">
        <v>487</v>
      </c>
      <c r="G81" s="62">
        <v>634</v>
      </c>
      <c r="H81" s="61">
        <v>649</v>
      </c>
      <c r="J81" s="95"/>
      <c r="K81" s="95"/>
      <c r="L81" s="95"/>
      <c r="M81" s="50"/>
      <c r="N81" s="50"/>
      <c r="O81" s="50"/>
      <c r="P81" s="50"/>
      <c r="Q81" s="50"/>
    </row>
    <row r="82" spans="1:17" ht="13.8" thickBot="1" x14ac:dyDescent="0.3">
      <c r="A82" s="50"/>
      <c r="B82" s="50"/>
      <c r="C82" s="50"/>
      <c r="D82" s="50"/>
      <c r="E82" s="94">
        <v>487</v>
      </c>
      <c r="F82" s="94">
        <v>511</v>
      </c>
      <c r="G82" s="61">
        <v>649</v>
      </c>
      <c r="H82" s="62">
        <v>665</v>
      </c>
      <c r="J82" s="95"/>
      <c r="K82" s="95"/>
      <c r="L82" s="95"/>
      <c r="M82" s="50"/>
      <c r="N82" s="50"/>
      <c r="O82" s="50"/>
      <c r="P82" s="50"/>
      <c r="Q82" s="50"/>
    </row>
    <row r="83" spans="1:17" ht="13.8" thickBot="1" x14ac:dyDescent="0.3">
      <c r="A83" s="50"/>
      <c r="B83" s="50"/>
      <c r="C83" s="50"/>
      <c r="D83" s="50"/>
      <c r="E83" s="94">
        <v>511</v>
      </c>
      <c r="F83" s="94">
        <v>536</v>
      </c>
      <c r="G83" s="62">
        <v>665</v>
      </c>
      <c r="H83" s="61">
        <v>681</v>
      </c>
      <c r="J83" s="95"/>
      <c r="K83" s="95"/>
      <c r="L83" s="95"/>
      <c r="M83" s="50"/>
      <c r="N83" s="50"/>
      <c r="O83" s="50"/>
      <c r="P83" s="50"/>
      <c r="Q83" s="50"/>
    </row>
    <row r="84" spans="1:17" ht="13.8" thickBot="1" x14ac:dyDescent="0.3">
      <c r="A84" s="50"/>
      <c r="B84" s="50"/>
      <c r="C84" s="50"/>
      <c r="D84" s="50"/>
      <c r="E84" s="94">
        <v>536</v>
      </c>
      <c r="F84" s="94">
        <v>562</v>
      </c>
      <c r="G84" s="61">
        <v>681</v>
      </c>
      <c r="H84" s="62">
        <v>698</v>
      </c>
      <c r="J84" s="95"/>
      <c r="K84" s="95"/>
      <c r="L84" s="95"/>
      <c r="M84" s="50"/>
      <c r="N84" s="50"/>
      <c r="O84" s="50"/>
      <c r="P84" s="50"/>
      <c r="Q84" s="50"/>
    </row>
    <row r="85" spans="1:17" ht="13.8" thickBot="1" x14ac:dyDescent="0.3">
      <c r="A85" s="50"/>
      <c r="B85" s="50"/>
      <c r="C85" s="50"/>
      <c r="D85" s="50"/>
      <c r="E85" s="94">
        <v>562</v>
      </c>
      <c r="F85" s="94">
        <v>590</v>
      </c>
      <c r="G85" s="62">
        <v>698</v>
      </c>
      <c r="H85" s="61">
        <v>715</v>
      </c>
      <c r="J85" s="95"/>
      <c r="K85" s="95"/>
      <c r="L85" s="95"/>
      <c r="M85" s="50"/>
      <c r="N85" s="50"/>
      <c r="O85" s="50"/>
      <c r="P85" s="50"/>
      <c r="Q85" s="50"/>
    </row>
    <row r="86" spans="1:17" ht="13.8" thickBot="1" x14ac:dyDescent="0.3">
      <c r="A86" s="50"/>
      <c r="B86" s="50"/>
      <c r="C86" s="50"/>
      <c r="D86" s="50"/>
      <c r="E86" s="94">
        <v>590</v>
      </c>
      <c r="F86" s="94">
        <v>619</v>
      </c>
      <c r="G86" s="61">
        <v>715</v>
      </c>
      <c r="H86" s="62">
        <v>732</v>
      </c>
      <c r="J86" s="95"/>
      <c r="K86" s="95"/>
      <c r="L86" s="95"/>
      <c r="M86" s="50"/>
      <c r="N86" s="50"/>
      <c r="O86" s="50"/>
      <c r="P86" s="50"/>
      <c r="Q86" s="50"/>
    </row>
    <row r="87" spans="1:17" ht="13.8" thickBot="1" x14ac:dyDescent="0.3">
      <c r="A87" s="50"/>
      <c r="B87" s="50"/>
      <c r="C87" s="50"/>
      <c r="D87" s="50"/>
      <c r="E87" s="94">
        <v>619</v>
      </c>
      <c r="F87" s="94">
        <v>649</v>
      </c>
      <c r="G87" s="62">
        <v>732</v>
      </c>
      <c r="H87" s="61">
        <v>750</v>
      </c>
      <c r="J87" s="95"/>
      <c r="K87" s="95"/>
      <c r="L87" s="95"/>
      <c r="M87" s="50"/>
      <c r="N87" s="50"/>
      <c r="O87" s="50"/>
      <c r="P87" s="50"/>
      <c r="Q87" s="50"/>
    </row>
    <row r="88" spans="1:17" ht="13.8" thickBot="1" x14ac:dyDescent="0.3">
      <c r="A88" s="50"/>
      <c r="B88" s="50"/>
      <c r="C88" s="50"/>
      <c r="D88" s="50"/>
      <c r="E88" s="94">
        <v>649</v>
      </c>
      <c r="F88" s="94">
        <v>681</v>
      </c>
      <c r="G88" s="61">
        <v>750</v>
      </c>
      <c r="H88" s="62">
        <v>768</v>
      </c>
      <c r="J88" s="95"/>
      <c r="K88" s="95"/>
      <c r="L88" s="95"/>
      <c r="M88" s="50"/>
      <c r="N88" s="50"/>
      <c r="O88" s="50"/>
      <c r="P88" s="50"/>
      <c r="Q88" s="50"/>
    </row>
    <row r="89" spans="1:17" ht="13.8" thickBot="1" x14ac:dyDescent="0.3">
      <c r="A89" s="50"/>
      <c r="B89" s="50"/>
      <c r="C89" s="50"/>
      <c r="D89" s="50"/>
      <c r="E89" s="94">
        <v>681</v>
      </c>
      <c r="F89" s="94">
        <v>715</v>
      </c>
      <c r="G89" s="62">
        <v>768</v>
      </c>
      <c r="H89" s="61">
        <v>787</v>
      </c>
      <c r="J89" s="95"/>
      <c r="K89" s="95"/>
      <c r="L89" s="95"/>
      <c r="M89" s="50"/>
      <c r="N89" s="50"/>
      <c r="O89" s="50"/>
      <c r="P89" s="50"/>
      <c r="Q89" s="50"/>
    </row>
    <row r="90" spans="1:17" ht="13.8" thickBot="1" x14ac:dyDescent="0.3">
      <c r="A90" s="50"/>
      <c r="B90" s="50"/>
      <c r="C90" s="50"/>
      <c r="D90" s="50"/>
      <c r="E90" s="94">
        <v>715</v>
      </c>
      <c r="F90" s="94">
        <v>750</v>
      </c>
      <c r="G90" s="61">
        <v>787</v>
      </c>
      <c r="H90" s="62">
        <v>806</v>
      </c>
      <c r="J90" s="95"/>
      <c r="K90" s="95"/>
      <c r="L90" s="95"/>
      <c r="M90" s="50"/>
      <c r="N90" s="50"/>
      <c r="O90" s="50"/>
      <c r="P90" s="50"/>
      <c r="Q90" s="50"/>
    </row>
    <row r="91" spans="1:17" ht="13.8" thickBot="1" x14ac:dyDescent="0.3">
      <c r="A91" s="50"/>
      <c r="B91" s="50"/>
      <c r="C91" s="50"/>
      <c r="D91" s="50"/>
      <c r="E91" s="94">
        <v>750</v>
      </c>
      <c r="F91" s="94">
        <v>787</v>
      </c>
      <c r="G91" s="62">
        <v>806</v>
      </c>
      <c r="H91" s="61">
        <v>825</v>
      </c>
      <c r="J91" s="95"/>
      <c r="K91" s="95"/>
      <c r="L91" s="95"/>
      <c r="M91" s="50"/>
      <c r="N91" s="50"/>
      <c r="O91" s="50"/>
      <c r="P91" s="50"/>
      <c r="Q91" s="50"/>
    </row>
    <row r="92" spans="1:17" ht="13.8" thickBot="1" x14ac:dyDescent="0.3">
      <c r="A92" s="50"/>
      <c r="B92" s="50"/>
      <c r="C92" s="50"/>
      <c r="D92" s="50"/>
      <c r="E92" s="94">
        <v>787</v>
      </c>
      <c r="F92" s="94">
        <v>825</v>
      </c>
      <c r="G92" s="61">
        <v>825</v>
      </c>
      <c r="H92" s="62">
        <v>845</v>
      </c>
      <c r="J92" s="95"/>
      <c r="K92" s="95"/>
      <c r="L92" s="95"/>
      <c r="M92" s="50"/>
      <c r="N92" s="50"/>
      <c r="O92" s="50"/>
      <c r="P92" s="50"/>
      <c r="Q92" s="50"/>
    </row>
    <row r="93" spans="1:17" ht="13.8" thickBot="1" x14ac:dyDescent="0.3">
      <c r="A93" s="50"/>
      <c r="B93" s="50"/>
      <c r="C93" s="50"/>
      <c r="D93" s="50"/>
      <c r="E93" s="94">
        <v>825</v>
      </c>
      <c r="F93" s="94">
        <v>866</v>
      </c>
      <c r="G93" s="62">
        <v>845</v>
      </c>
      <c r="H93" s="61">
        <v>866</v>
      </c>
      <c r="J93" s="95"/>
      <c r="K93" s="95"/>
      <c r="L93" s="95"/>
      <c r="M93" s="50"/>
      <c r="N93" s="50"/>
      <c r="O93" s="50"/>
      <c r="P93" s="50"/>
      <c r="Q93" s="50"/>
    </row>
    <row r="94" spans="1:17" ht="13.8" thickBot="1" x14ac:dyDescent="0.3">
      <c r="A94" s="50"/>
      <c r="B94" s="50"/>
      <c r="C94" s="50"/>
      <c r="D94" s="50"/>
      <c r="E94" s="94">
        <v>866</v>
      </c>
      <c r="F94" s="94">
        <v>909</v>
      </c>
      <c r="G94" s="61">
        <v>866</v>
      </c>
      <c r="H94" s="62">
        <v>887</v>
      </c>
      <c r="J94" s="95"/>
      <c r="K94" s="95"/>
      <c r="L94" s="95"/>
      <c r="M94" s="50"/>
      <c r="N94" s="50"/>
      <c r="O94" s="50"/>
      <c r="P94" s="50"/>
      <c r="Q94" s="50"/>
    </row>
    <row r="95" spans="1:17" ht="13.8" thickBot="1" x14ac:dyDescent="0.3">
      <c r="A95" s="50"/>
      <c r="B95" s="50"/>
      <c r="C95" s="50"/>
      <c r="D95" s="50"/>
      <c r="E95" s="94">
        <v>909</v>
      </c>
      <c r="F95" s="94">
        <v>953</v>
      </c>
      <c r="G95" s="62">
        <v>887</v>
      </c>
      <c r="H95" s="61">
        <v>909</v>
      </c>
      <c r="J95" s="95"/>
      <c r="K95" s="95"/>
      <c r="L95" s="95"/>
      <c r="M95" s="50"/>
      <c r="N95" s="50"/>
      <c r="O95" s="50"/>
      <c r="P95" s="50"/>
      <c r="Q95" s="50"/>
    </row>
    <row r="96" spans="1:17" ht="13.8" thickBot="1" x14ac:dyDescent="0.3">
      <c r="A96" s="50"/>
      <c r="B96" s="50"/>
      <c r="C96" s="50"/>
      <c r="D96" s="50"/>
      <c r="E96" s="94">
        <v>953</v>
      </c>
      <c r="F96" s="94">
        <v>1000</v>
      </c>
      <c r="G96" s="61">
        <v>909</v>
      </c>
      <c r="H96" s="62">
        <v>931</v>
      </c>
      <c r="J96" s="95"/>
      <c r="K96" s="95"/>
      <c r="L96" s="95"/>
      <c r="M96" s="50"/>
      <c r="N96" s="50"/>
      <c r="O96" s="50"/>
      <c r="P96" s="50"/>
      <c r="Q96" s="50"/>
    </row>
    <row r="97" spans="1:17" ht="13.8" thickBot="1" x14ac:dyDescent="0.3">
      <c r="A97" s="50"/>
      <c r="B97" s="50"/>
      <c r="C97" s="50"/>
      <c r="D97" s="50"/>
      <c r="G97" s="62">
        <v>931</v>
      </c>
      <c r="H97" s="61">
        <v>953</v>
      </c>
      <c r="J97" s="95"/>
      <c r="K97" s="95"/>
      <c r="L97" s="95"/>
      <c r="M97" s="50"/>
      <c r="N97" s="50"/>
      <c r="O97" s="50"/>
      <c r="P97" s="50"/>
      <c r="Q97" s="50"/>
    </row>
    <row r="98" spans="1:17" ht="13.8" thickBot="1" x14ac:dyDescent="0.3">
      <c r="A98" s="50"/>
      <c r="B98" s="50"/>
      <c r="C98" s="50"/>
      <c r="D98" s="50"/>
      <c r="E98" s="50"/>
      <c r="F98" s="50"/>
      <c r="G98" s="61">
        <v>953</v>
      </c>
      <c r="H98" s="62">
        <v>976</v>
      </c>
      <c r="J98" s="95"/>
      <c r="K98" s="95"/>
      <c r="L98" s="95"/>
      <c r="M98" s="50"/>
      <c r="N98" s="50"/>
      <c r="O98" s="50"/>
      <c r="P98" s="50"/>
      <c r="Q98" s="50"/>
    </row>
    <row r="99" spans="1:17" ht="13.8" thickBot="1" x14ac:dyDescent="0.3">
      <c r="A99" s="50"/>
      <c r="B99" s="50"/>
      <c r="C99" s="50"/>
      <c r="D99" s="50"/>
      <c r="E99" s="50"/>
      <c r="F99" s="50"/>
      <c r="G99" s="62">
        <v>976</v>
      </c>
      <c r="H99" s="62">
        <v>1000</v>
      </c>
      <c r="J99" s="95"/>
      <c r="K99" s="95"/>
      <c r="L99" s="95"/>
      <c r="M99" s="50"/>
      <c r="N99" s="50"/>
      <c r="O99" s="50"/>
      <c r="P99" s="50"/>
      <c r="Q99" s="50"/>
    </row>
    <row r="100" spans="1:17" x14ac:dyDescent="0.25">
      <c r="A100" s="50"/>
      <c r="B100" s="50"/>
      <c r="C100" s="50"/>
      <c r="D100" s="50"/>
      <c r="E100" s="50"/>
      <c r="F100" s="50"/>
      <c r="J100" s="95"/>
      <c r="K100" s="95"/>
      <c r="L100" s="95"/>
      <c r="M100" s="50"/>
      <c r="N100" s="50"/>
      <c r="O100" s="50"/>
      <c r="P100" s="50"/>
      <c r="Q100" s="50"/>
    </row>
    <row r="101" spans="1:17" x14ac:dyDescent="0.25">
      <c r="A101" s="50"/>
      <c r="B101" s="50"/>
      <c r="C101" s="50"/>
      <c r="D101" s="50"/>
      <c r="E101" s="50"/>
      <c r="F101" s="50"/>
      <c r="J101" s="95"/>
      <c r="K101" s="95"/>
      <c r="L101" s="95"/>
      <c r="M101" s="50"/>
      <c r="N101" s="50"/>
      <c r="O101" s="50"/>
      <c r="P101" s="50"/>
      <c r="Q101" s="50"/>
    </row>
    <row r="102" spans="1:17" x14ac:dyDescent="0.25">
      <c r="A102" s="50"/>
      <c r="B102" s="50"/>
      <c r="C102" s="50"/>
      <c r="D102" s="50"/>
      <c r="E102" s="50"/>
      <c r="F102" s="50"/>
      <c r="J102" s="95"/>
      <c r="K102" s="95"/>
      <c r="L102" s="95"/>
      <c r="M102" s="50"/>
      <c r="N102" s="50"/>
      <c r="O102" s="50"/>
      <c r="P102" s="50"/>
      <c r="Q102" s="50"/>
    </row>
    <row r="103" spans="1:17" x14ac:dyDescent="0.25">
      <c r="A103" s="50"/>
      <c r="B103" s="50"/>
      <c r="C103" s="50"/>
      <c r="D103" s="50"/>
      <c r="E103" s="50"/>
      <c r="F103" s="50"/>
      <c r="J103" s="95"/>
      <c r="K103" s="95"/>
      <c r="L103" s="95"/>
      <c r="M103" s="50"/>
      <c r="N103" s="50"/>
      <c r="O103" s="50"/>
      <c r="P103" s="50"/>
      <c r="Q103" s="50"/>
    </row>
    <row r="104" spans="1:17" x14ac:dyDescent="0.25">
      <c r="A104" s="50"/>
      <c r="B104" s="50"/>
      <c r="C104" s="50"/>
      <c r="D104" s="50"/>
      <c r="E104" s="50"/>
      <c r="F104" s="50"/>
      <c r="J104" s="95"/>
      <c r="K104" s="95"/>
      <c r="L104" s="95"/>
      <c r="M104" s="50"/>
      <c r="N104" s="50"/>
      <c r="O104" s="50"/>
      <c r="P104" s="50"/>
      <c r="Q104" s="50"/>
    </row>
    <row r="105" spans="1:17" x14ac:dyDescent="0.25">
      <c r="A105" s="50"/>
      <c r="B105" s="50"/>
      <c r="C105" s="50"/>
      <c r="D105" s="50"/>
      <c r="E105" s="50"/>
      <c r="F105" s="50"/>
      <c r="J105" s="95"/>
      <c r="K105" s="95"/>
      <c r="L105" s="95"/>
      <c r="M105" s="50"/>
      <c r="N105" s="50"/>
      <c r="O105" s="50"/>
      <c r="P105" s="50"/>
      <c r="Q105" s="50"/>
    </row>
    <row r="106" spans="1:17" x14ac:dyDescent="0.25">
      <c r="A106" s="50"/>
      <c r="B106" s="50"/>
      <c r="C106" s="50"/>
      <c r="D106" s="50"/>
      <c r="E106" s="50"/>
      <c r="F106" s="50"/>
      <c r="J106" s="95"/>
      <c r="K106" s="95"/>
      <c r="L106" s="95"/>
      <c r="M106" s="50"/>
      <c r="N106" s="50"/>
      <c r="O106" s="50"/>
      <c r="P106" s="50"/>
      <c r="Q106" s="50"/>
    </row>
    <row r="107" spans="1:17" x14ac:dyDescent="0.25">
      <c r="A107" s="50"/>
      <c r="B107" s="50"/>
      <c r="C107" s="50"/>
      <c r="D107" s="50"/>
      <c r="E107" s="50"/>
      <c r="F107" s="50"/>
      <c r="J107" s="95"/>
      <c r="K107" s="95"/>
      <c r="L107" s="95"/>
      <c r="M107" s="50"/>
      <c r="N107" s="50"/>
      <c r="O107" s="50"/>
      <c r="P107" s="50"/>
      <c r="Q107" s="50"/>
    </row>
    <row r="108" spans="1:17" x14ac:dyDescent="0.25">
      <c r="A108" s="50"/>
      <c r="B108" s="50"/>
      <c r="C108" s="50"/>
      <c r="D108" s="50"/>
      <c r="E108" s="50"/>
      <c r="F108" s="50"/>
      <c r="J108" s="95"/>
      <c r="K108" s="95"/>
      <c r="L108" s="95"/>
      <c r="M108" s="50"/>
      <c r="N108" s="50"/>
      <c r="O108" s="50"/>
      <c r="P108" s="50"/>
      <c r="Q108" s="50"/>
    </row>
    <row r="109" spans="1:17" x14ac:dyDescent="0.25">
      <c r="A109" s="50"/>
      <c r="B109" s="50"/>
      <c r="C109" s="50"/>
      <c r="D109" s="50"/>
      <c r="E109" s="50"/>
      <c r="F109" s="50"/>
      <c r="J109" s="95"/>
      <c r="K109" s="95"/>
      <c r="L109" s="95"/>
      <c r="M109" s="50"/>
      <c r="N109" s="50"/>
      <c r="O109" s="50"/>
      <c r="P109" s="50"/>
      <c r="Q109" s="50"/>
    </row>
    <row r="110" spans="1:17" x14ac:dyDescent="0.25">
      <c r="A110" s="50"/>
      <c r="B110" s="50"/>
      <c r="C110" s="50"/>
      <c r="D110" s="50"/>
      <c r="E110" s="50"/>
      <c r="F110" s="50"/>
      <c r="J110" s="95"/>
      <c r="K110" s="95"/>
      <c r="L110" s="95"/>
      <c r="M110" s="50"/>
      <c r="N110" s="50"/>
      <c r="O110" s="50"/>
      <c r="P110" s="50"/>
      <c r="Q110" s="50"/>
    </row>
    <row r="111" spans="1:17" x14ac:dyDescent="0.25">
      <c r="A111" s="50"/>
      <c r="B111" s="50"/>
      <c r="C111" s="50"/>
      <c r="D111" s="50"/>
      <c r="E111" s="50"/>
      <c r="F111" s="50"/>
      <c r="J111" s="95"/>
      <c r="K111" s="95"/>
      <c r="L111" s="95"/>
      <c r="M111" s="50"/>
      <c r="N111" s="50"/>
      <c r="O111" s="50"/>
      <c r="P111" s="50"/>
      <c r="Q111" s="50"/>
    </row>
    <row r="112" spans="1:17" x14ac:dyDescent="0.25">
      <c r="A112" s="50"/>
      <c r="B112" s="50"/>
      <c r="C112" s="50"/>
      <c r="D112" s="50"/>
      <c r="E112" s="50"/>
      <c r="F112" s="50"/>
      <c r="J112" s="95"/>
      <c r="K112" s="95"/>
      <c r="L112" s="95"/>
      <c r="M112" s="50"/>
      <c r="N112" s="50"/>
      <c r="O112" s="50"/>
      <c r="P112" s="50"/>
      <c r="Q112" s="50"/>
    </row>
    <row r="113" spans="1:17" x14ac:dyDescent="0.25">
      <c r="A113" s="50"/>
      <c r="B113" s="50"/>
      <c r="C113" s="50"/>
      <c r="D113" s="50"/>
      <c r="E113" s="50"/>
      <c r="F113" s="50"/>
      <c r="J113" s="95"/>
      <c r="K113" s="95"/>
      <c r="L113" s="95"/>
      <c r="M113" s="50"/>
      <c r="N113" s="50"/>
      <c r="O113" s="50"/>
      <c r="P113" s="50"/>
      <c r="Q113" s="50"/>
    </row>
    <row r="114" spans="1:17" x14ac:dyDescent="0.25">
      <c r="A114" s="50"/>
      <c r="B114" s="50"/>
      <c r="C114" s="50"/>
      <c r="D114" s="50"/>
      <c r="E114" s="50"/>
      <c r="F114" s="50"/>
      <c r="G114" s="50"/>
      <c r="H114" s="50"/>
      <c r="I114" s="50"/>
      <c r="J114" s="95"/>
      <c r="K114" s="95"/>
      <c r="L114" s="95"/>
      <c r="M114" s="50"/>
      <c r="N114" s="50"/>
      <c r="O114" s="50"/>
      <c r="P114" s="50"/>
      <c r="Q114" s="50"/>
    </row>
    <row r="115" spans="1:17" x14ac:dyDescent="0.25">
      <c r="A115" s="50"/>
      <c r="B115" s="50"/>
      <c r="C115" s="50"/>
      <c r="D115" s="50"/>
      <c r="E115" s="50"/>
      <c r="F115" s="50"/>
      <c r="G115" s="50"/>
      <c r="H115" s="50"/>
      <c r="I115" s="50"/>
      <c r="J115" s="95"/>
      <c r="K115" s="95"/>
      <c r="L115" s="95"/>
      <c r="M115" s="50"/>
      <c r="N115" s="50"/>
      <c r="O115" s="50"/>
      <c r="P115" s="50"/>
      <c r="Q115" s="50"/>
    </row>
    <row r="116" spans="1:17" x14ac:dyDescent="0.25">
      <c r="A116" s="50"/>
      <c r="B116" s="50"/>
      <c r="C116" s="50"/>
      <c r="D116" s="50"/>
      <c r="E116" s="50"/>
      <c r="F116" s="50"/>
      <c r="G116" s="50"/>
      <c r="H116" s="50"/>
      <c r="I116" s="50"/>
      <c r="J116" s="95"/>
      <c r="K116" s="95"/>
      <c r="L116" s="95"/>
      <c r="M116" s="50"/>
      <c r="N116" s="50"/>
      <c r="O116" s="50"/>
      <c r="P116" s="50"/>
      <c r="Q116" s="50"/>
    </row>
    <row r="117" spans="1:17" x14ac:dyDescent="0.25">
      <c r="A117" s="50"/>
      <c r="B117" s="50"/>
      <c r="C117" s="50"/>
      <c r="D117" s="50"/>
      <c r="E117" s="50"/>
      <c r="F117" s="50"/>
      <c r="G117" s="50"/>
      <c r="H117" s="50"/>
      <c r="I117" s="50"/>
      <c r="J117" s="95"/>
      <c r="K117" s="95"/>
      <c r="L117" s="95"/>
      <c r="M117" s="50"/>
      <c r="N117" s="50"/>
      <c r="O117" s="50"/>
      <c r="P117" s="50"/>
      <c r="Q117" s="50"/>
    </row>
    <row r="118" spans="1:17" x14ac:dyDescent="0.25">
      <c r="A118" s="50"/>
      <c r="B118" s="50"/>
      <c r="C118" s="50"/>
      <c r="D118" s="50"/>
      <c r="E118" s="50"/>
      <c r="F118" s="50"/>
      <c r="G118" s="50"/>
      <c r="H118" s="50"/>
      <c r="I118" s="50"/>
      <c r="J118" s="95"/>
      <c r="K118" s="95"/>
      <c r="L118" s="95"/>
      <c r="M118" s="50"/>
      <c r="N118" s="50"/>
      <c r="O118" s="50"/>
      <c r="P118" s="50"/>
      <c r="Q118" s="50"/>
    </row>
    <row r="119" spans="1:17" x14ac:dyDescent="0.25">
      <c r="A119" s="50"/>
      <c r="B119" s="50"/>
      <c r="C119" s="50"/>
      <c r="D119" s="50"/>
      <c r="E119" s="50"/>
      <c r="F119" s="50"/>
      <c r="G119" s="50"/>
      <c r="H119" s="50"/>
      <c r="I119" s="50"/>
      <c r="J119" s="95"/>
      <c r="K119" s="95"/>
      <c r="L119" s="95"/>
      <c r="M119" s="50"/>
      <c r="N119" s="50"/>
      <c r="O119" s="50"/>
      <c r="P119" s="50"/>
      <c r="Q119" s="50"/>
    </row>
    <row r="120" spans="1:17" x14ac:dyDescent="0.25">
      <c r="A120" s="50"/>
      <c r="B120" s="50"/>
      <c r="C120" s="50"/>
      <c r="D120" s="50"/>
      <c r="E120" s="50"/>
      <c r="F120" s="50"/>
      <c r="G120" s="50"/>
      <c r="H120" s="50"/>
      <c r="I120" s="50"/>
      <c r="J120" s="95"/>
      <c r="K120" s="95"/>
      <c r="L120" s="95"/>
      <c r="M120" s="50"/>
      <c r="N120" s="50"/>
      <c r="O120" s="50"/>
      <c r="P120" s="50"/>
      <c r="Q120" s="50"/>
    </row>
    <row r="121" spans="1:17" x14ac:dyDescent="0.25">
      <c r="A121" s="50"/>
      <c r="B121" s="50"/>
      <c r="C121" s="50"/>
      <c r="D121" s="50"/>
      <c r="E121" s="50"/>
      <c r="F121" s="50"/>
      <c r="G121" s="50"/>
      <c r="H121" s="50"/>
      <c r="I121" s="50"/>
      <c r="J121" s="95"/>
      <c r="K121" s="95"/>
      <c r="L121" s="95"/>
      <c r="M121" s="50"/>
      <c r="N121" s="50"/>
      <c r="O121" s="50"/>
      <c r="P121" s="50"/>
      <c r="Q121" s="50"/>
    </row>
    <row r="122" spans="1:17" x14ac:dyDescent="0.25">
      <c r="A122" s="50"/>
      <c r="B122" s="50"/>
      <c r="C122" s="50"/>
      <c r="D122" s="50"/>
      <c r="E122" s="50"/>
      <c r="F122" s="50"/>
      <c r="G122" s="50"/>
      <c r="H122" s="50"/>
      <c r="I122" s="50"/>
      <c r="J122" s="95"/>
      <c r="K122" s="95"/>
      <c r="L122" s="95"/>
      <c r="M122" s="50"/>
      <c r="N122" s="50"/>
      <c r="O122" s="50"/>
      <c r="P122" s="50"/>
      <c r="Q122" s="50"/>
    </row>
    <row r="123" spans="1:17" x14ac:dyDescent="0.25">
      <c r="A123" s="50"/>
      <c r="B123" s="50"/>
      <c r="C123" s="50"/>
      <c r="D123" s="50"/>
      <c r="E123" s="50"/>
      <c r="F123" s="50"/>
      <c r="G123" s="50"/>
      <c r="H123" s="50"/>
      <c r="I123" s="50"/>
      <c r="J123" s="95"/>
      <c r="K123" s="95"/>
      <c r="L123" s="95"/>
      <c r="M123" s="50"/>
      <c r="N123" s="50"/>
      <c r="O123" s="50"/>
      <c r="P123" s="50"/>
      <c r="Q123" s="50"/>
    </row>
    <row r="124" spans="1:17" x14ac:dyDescent="0.25">
      <c r="A124" s="50"/>
      <c r="B124" s="50"/>
      <c r="C124" s="50"/>
      <c r="D124" s="50"/>
      <c r="E124" s="50"/>
      <c r="F124" s="50"/>
      <c r="G124" s="50"/>
      <c r="H124" s="50"/>
      <c r="I124" s="50"/>
      <c r="J124" s="95"/>
      <c r="K124" s="95"/>
      <c r="L124" s="95"/>
      <c r="M124" s="50"/>
      <c r="N124" s="50"/>
      <c r="O124" s="50"/>
      <c r="P124" s="50"/>
      <c r="Q124" s="50"/>
    </row>
    <row r="125" spans="1:17" x14ac:dyDescent="0.25">
      <c r="A125" s="50"/>
      <c r="B125" s="50"/>
      <c r="C125" s="50"/>
      <c r="D125" s="50"/>
      <c r="E125" s="50"/>
      <c r="F125" s="50"/>
      <c r="G125" s="50"/>
      <c r="H125" s="50"/>
      <c r="I125" s="50"/>
      <c r="J125" s="95"/>
      <c r="K125" s="95"/>
      <c r="L125" s="95"/>
      <c r="M125" s="50"/>
      <c r="N125" s="50"/>
      <c r="O125" s="50"/>
      <c r="P125" s="50"/>
      <c r="Q125" s="50"/>
    </row>
    <row r="126" spans="1:17" x14ac:dyDescent="0.25">
      <c r="A126" s="50"/>
      <c r="B126" s="50"/>
      <c r="C126" s="50"/>
      <c r="D126" s="50"/>
      <c r="E126" s="50"/>
      <c r="F126" s="50"/>
      <c r="G126" s="50"/>
      <c r="H126" s="50"/>
      <c r="I126" s="50"/>
      <c r="J126" s="95"/>
      <c r="K126" s="95"/>
      <c r="L126" s="95"/>
      <c r="M126" s="50"/>
      <c r="N126" s="50"/>
      <c r="O126" s="50"/>
      <c r="P126" s="50"/>
      <c r="Q126" s="50"/>
    </row>
    <row r="127" spans="1:17" x14ac:dyDescent="0.25">
      <c r="A127" s="50"/>
      <c r="B127" s="50"/>
      <c r="C127" s="50"/>
      <c r="D127" s="50"/>
      <c r="E127" s="50"/>
      <c r="F127" s="50"/>
      <c r="G127" s="50"/>
      <c r="H127" s="50"/>
      <c r="I127" s="50"/>
      <c r="J127" s="95"/>
      <c r="K127" s="95"/>
      <c r="L127" s="95"/>
      <c r="M127" s="50"/>
      <c r="N127" s="50"/>
      <c r="O127" s="50"/>
      <c r="P127" s="50"/>
      <c r="Q127" s="50"/>
    </row>
    <row r="128" spans="1:17" x14ac:dyDescent="0.25">
      <c r="A128" s="50"/>
      <c r="B128" s="50"/>
      <c r="C128" s="50"/>
      <c r="D128" s="50"/>
      <c r="E128" s="50"/>
      <c r="F128" s="50"/>
      <c r="G128" s="50"/>
      <c r="H128" s="50"/>
      <c r="I128" s="50"/>
      <c r="J128" s="95"/>
      <c r="K128" s="95"/>
      <c r="L128" s="95"/>
      <c r="M128" s="50"/>
      <c r="N128" s="50"/>
      <c r="O128" s="50"/>
      <c r="P128" s="50"/>
      <c r="Q128" s="50"/>
    </row>
    <row r="129" spans="1:17" x14ac:dyDescent="0.25">
      <c r="A129" s="50"/>
      <c r="B129" s="50"/>
      <c r="C129" s="50"/>
      <c r="D129" s="50"/>
      <c r="E129" s="50"/>
      <c r="F129" s="50"/>
      <c r="G129" s="50"/>
      <c r="H129" s="50"/>
      <c r="I129" s="50"/>
      <c r="J129" s="95"/>
      <c r="K129" s="95"/>
      <c r="L129" s="95"/>
      <c r="M129" s="50"/>
      <c r="N129" s="50"/>
      <c r="O129" s="50"/>
      <c r="P129" s="50"/>
      <c r="Q129" s="50"/>
    </row>
    <row r="130" spans="1:17" x14ac:dyDescent="0.25">
      <c r="A130" s="50"/>
      <c r="B130" s="50"/>
      <c r="C130" s="50"/>
      <c r="D130" s="50"/>
      <c r="E130" s="50"/>
      <c r="F130" s="50"/>
      <c r="G130" s="50"/>
      <c r="H130" s="50"/>
      <c r="I130" s="50"/>
      <c r="J130" s="95"/>
      <c r="K130" s="95"/>
      <c r="L130" s="95"/>
      <c r="M130" s="50"/>
      <c r="N130" s="50"/>
      <c r="O130" s="50"/>
      <c r="P130" s="50"/>
      <c r="Q130" s="50"/>
    </row>
    <row r="131" spans="1:17" x14ac:dyDescent="0.25">
      <c r="A131" s="50"/>
      <c r="B131" s="50"/>
      <c r="C131" s="50"/>
      <c r="D131" s="50"/>
      <c r="E131" s="50"/>
      <c r="F131" s="50"/>
      <c r="G131" s="50"/>
      <c r="H131" s="50"/>
      <c r="I131" s="50"/>
      <c r="J131" s="95"/>
      <c r="K131" s="95"/>
      <c r="L131" s="95"/>
      <c r="M131" s="50"/>
      <c r="N131" s="50"/>
      <c r="O131" s="50"/>
      <c r="P131" s="50"/>
      <c r="Q131" s="50"/>
    </row>
    <row r="132" spans="1:17" x14ac:dyDescent="0.25">
      <c r="A132" s="50"/>
      <c r="B132" s="50"/>
      <c r="C132" s="50"/>
      <c r="D132" s="50"/>
      <c r="E132" s="50"/>
      <c r="F132" s="50"/>
      <c r="G132" s="50"/>
      <c r="H132" s="50"/>
      <c r="I132" s="50"/>
      <c r="J132" s="95"/>
      <c r="K132" s="95"/>
      <c r="L132" s="95"/>
      <c r="M132" s="50"/>
      <c r="N132" s="50"/>
      <c r="O132" s="50"/>
      <c r="P132" s="50"/>
      <c r="Q132" s="50"/>
    </row>
    <row r="133" spans="1:17" x14ac:dyDescent="0.25">
      <c r="A133" s="50"/>
      <c r="B133" s="50"/>
      <c r="C133" s="50"/>
      <c r="D133" s="50"/>
      <c r="E133" s="50"/>
      <c r="F133" s="50"/>
      <c r="G133" s="50"/>
      <c r="H133" s="50"/>
      <c r="I133" s="50"/>
      <c r="J133" s="95"/>
      <c r="K133" s="95"/>
      <c r="L133" s="95"/>
      <c r="M133" s="50"/>
      <c r="N133" s="50"/>
      <c r="O133" s="50"/>
      <c r="P133" s="50"/>
      <c r="Q133" s="50"/>
    </row>
    <row r="134" spans="1:17" x14ac:dyDescent="0.25">
      <c r="A134" s="50"/>
      <c r="B134" s="50"/>
      <c r="C134" s="50"/>
      <c r="D134" s="50"/>
      <c r="E134" s="50"/>
      <c r="F134" s="50"/>
      <c r="G134" s="50"/>
      <c r="H134" s="50"/>
      <c r="I134" s="50"/>
      <c r="J134" s="95"/>
      <c r="K134" s="95"/>
      <c r="L134" s="95"/>
      <c r="M134" s="50"/>
      <c r="N134" s="50"/>
      <c r="O134" s="50"/>
      <c r="P134" s="50"/>
      <c r="Q134" s="50"/>
    </row>
    <row r="135" spans="1:17" x14ac:dyDescent="0.25">
      <c r="A135" s="50"/>
      <c r="B135" s="50"/>
      <c r="C135" s="50"/>
      <c r="D135" s="50"/>
      <c r="E135" s="50"/>
      <c r="F135" s="50"/>
      <c r="G135" s="50"/>
      <c r="H135" s="50"/>
      <c r="I135" s="50"/>
      <c r="J135" s="95"/>
      <c r="K135" s="95"/>
      <c r="L135" s="95"/>
      <c r="M135" s="50"/>
      <c r="N135" s="50"/>
      <c r="O135" s="50"/>
      <c r="P135" s="50"/>
      <c r="Q135" s="50"/>
    </row>
    <row r="136" spans="1:17" x14ac:dyDescent="0.25">
      <c r="A136" s="50"/>
      <c r="B136" s="50"/>
      <c r="C136" s="50"/>
      <c r="D136" s="50"/>
      <c r="E136" s="50"/>
      <c r="F136" s="50"/>
      <c r="G136" s="50"/>
      <c r="H136" s="50"/>
      <c r="I136" s="50"/>
      <c r="J136" s="95"/>
      <c r="K136" s="95"/>
      <c r="L136" s="95"/>
      <c r="M136" s="50"/>
      <c r="N136" s="50"/>
      <c r="O136" s="50"/>
      <c r="P136" s="50"/>
      <c r="Q136" s="50"/>
    </row>
    <row r="137" spans="1:17" x14ac:dyDescent="0.25">
      <c r="A137" s="50"/>
      <c r="B137" s="50"/>
      <c r="C137" s="50"/>
      <c r="D137" s="50"/>
      <c r="E137" s="50"/>
      <c r="F137" s="50"/>
      <c r="G137" s="50"/>
      <c r="H137" s="50"/>
      <c r="I137" s="50"/>
      <c r="J137" s="95"/>
      <c r="K137" s="95"/>
      <c r="L137" s="95"/>
      <c r="M137" s="50"/>
      <c r="N137" s="50"/>
      <c r="O137" s="50"/>
      <c r="P137" s="50"/>
      <c r="Q137" s="50"/>
    </row>
    <row r="138" spans="1:17" x14ac:dyDescent="0.25">
      <c r="A138" s="50"/>
      <c r="B138" s="50"/>
      <c r="C138" s="50"/>
      <c r="D138" s="50"/>
      <c r="E138" s="50"/>
      <c r="F138" s="50"/>
      <c r="G138" s="50"/>
      <c r="H138" s="50"/>
      <c r="I138" s="50"/>
      <c r="J138" s="95"/>
      <c r="K138" s="95"/>
      <c r="L138" s="95"/>
      <c r="M138" s="50"/>
      <c r="N138" s="50"/>
      <c r="O138" s="50"/>
      <c r="P138" s="50"/>
      <c r="Q138" s="50"/>
    </row>
    <row r="139" spans="1:17" x14ac:dyDescent="0.25">
      <c r="A139" s="50"/>
      <c r="B139" s="50"/>
      <c r="C139" s="50"/>
      <c r="D139" s="50"/>
      <c r="E139" s="50"/>
      <c r="F139" s="50"/>
      <c r="G139" s="50"/>
      <c r="H139" s="50"/>
      <c r="I139" s="50"/>
      <c r="J139" s="95"/>
      <c r="K139" s="95"/>
      <c r="L139" s="95"/>
      <c r="M139" s="50"/>
      <c r="N139" s="50"/>
      <c r="O139" s="50"/>
      <c r="P139" s="50"/>
      <c r="Q139" s="50"/>
    </row>
    <row r="140" spans="1:17" x14ac:dyDescent="0.25">
      <c r="A140" s="50"/>
      <c r="B140" s="50"/>
      <c r="C140" s="50"/>
      <c r="D140" s="50"/>
      <c r="E140" s="50"/>
      <c r="F140" s="50"/>
      <c r="G140" s="50"/>
      <c r="H140" s="50"/>
      <c r="I140" s="50"/>
      <c r="J140" s="95"/>
      <c r="K140" s="95"/>
      <c r="L140" s="95"/>
      <c r="M140" s="50"/>
      <c r="N140" s="50"/>
      <c r="O140" s="50"/>
      <c r="P140" s="50"/>
      <c r="Q140" s="50"/>
    </row>
    <row r="141" spans="1:17" x14ac:dyDescent="0.25">
      <c r="A141" s="50"/>
      <c r="B141" s="50"/>
      <c r="C141" s="50"/>
      <c r="D141" s="50"/>
      <c r="E141" s="50"/>
      <c r="F141" s="50"/>
      <c r="G141" s="50"/>
      <c r="H141" s="50"/>
      <c r="I141" s="50"/>
      <c r="J141" s="95"/>
      <c r="K141" s="95"/>
      <c r="L141" s="95"/>
      <c r="M141" s="50"/>
      <c r="N141" s="50"/>
      <c r="O141" s="50"/>
      <c r="P141" s="50"/>
      <c r="Q141" s="50"/>
    </row>
    <row r="142" spans="1:17" x14ac:dyDescent="0.25">
      <c r="A142" s="50"/>
      <c r="B142" s="50"/>
      <c r="C142" s="50"/>
      <c r="D142" s="50"/>
      <c r="E142" s="50"/>
      <c r="F142" s="50"/>
      <c r="G142" s="50"/>
      <c r="H142" s="50"/>
      <c r="I142" s="50"/>
      <c r="J142" s="95"/>
      <c r="K142" s="95"/>
      <c r="L142" s="95"/>
      <c r="M142" s="50"/>
      <c r="N142" s="50"/>
      <c r="O142" s="50"/>
      <c r="P142" s="50"/>
      <c r="Q142" s="50"/>
    </row>
    <row r="143" spans="1:17" x14ac:dyDescent="0.25">
      <c r="A143" s="50"/>
      <c r="B143" s="50"/>
      <c r="C143" s="50"/>
      <c r="D143" s="50"/>
      <c r="E143" s="50"/>
      <c r="F143" s="50"/>
      <c r="G143" s="50"/>
      <c r="H143" s="50"/>
      <c r="I143" s="50"/>
      <c r="J143" s="95"/>
      <c r="K143" s="95"/>
      <c r="L143" s="95"/>
      <c r="M143" s="50"/>
      <c r="N143" s="50"/>
      <c r="O143" s="50"/>
      <c r="P143" s="50"/>
      <c r="Q143" s="50"/>
    </row>
    <row r="144" spans="1:17" x14ac:dyDescent="0.25">
      <c r="A144" s="50"/>
      <c r="B144" s="50"/>
      <c r="C144" s="50"/>
      <c r="D144" s="50"/>
      <c r="E144" s="50"/>
      <c r="F144" s="50"/>
      <c r="G144" s="50"/>
      <c r="H144" s="50"/>
      <c r="I144" s="50"/>
      <c r="J144" s="95"/>
      <c r="K144" s="95"/>
      <c r="L144" s="95"/>
      <c r="M144" s="50"/>
      <c r="N144" s="50"/>
      <c r="O144" s="50"/>
      <c r="P144" s="50"/>
      <c r="Q144" s="50"/>
    </row>
    <row r="145" spans="1:17" x14ac:dyDescent="0.25">
      <c r="A145" s="50"/>
      <c r="B145" s="50"/>
      <c r="C145" s="50"/>
      <c r="D145" s="50"/>
      <c r="E145" s="50"/>
      <c r="F145" s="50"/>
      <c r="G145" s="50"/>
      <c r="H145" s="50"/>
      <c r="I145" s="50"/>
      <c r="J145" s="95"/>
      <c r="K145" s="95"/>
      <c r="L145" s="95"/>
      <c r="M145" s="50"/>
      <c r="N145" s="50"/>
      <c r="O145" s="50"/>
      <c r="P145" s="50"/>
      <c r="Q145" s="50"/>
    </row>
    <row r="146" spans="1:17" x14ac:dyDescent="0.25">
      <c r="A146" s="50"/>
      <c r="B146" s="50"/>
      <c r="C146" s="50"/>
      <c r="D146" s="50"/>
      <c r="E146" s="50"/>
      <c r="F146" s="50"/>
      <c r="G146" s="50"/>
      <c r="H146" s="50"/>
      <c r="I146" s="50"/>
      <c r="J146" s="95"/>
      <c r="K146" s="95"/>
      <c r="L146" s="95"/>
      <c r="M146" s="50"/>
      <c r="N146" s="50"/>
      <c r="O146" s="50"/>
      <c r="P146" s="50"/>
      <c r="Q146" s="50"/>
    </row>
  </sheetData>
  <sheetProtection selectLockedCells="1"/>
  <mergeCells count="5">
    <mergeCell ref="E3:F3"/>
    <mergeCell ref="G3:H3"/>
    <mergeCell ref="E10:F10"/>
    <mergeCell ref="E23:F23"/>
    <mergeCell ref="E48:F48"/>
  </mergeCells>
  <pageMargins left="0.49" right="0.42" top="1" bottom="1" header="0.5" footer="0.5"/>
  <pageSetup scale="86"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50DAC74-7876-4315-A814-4ED974EF3A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1FFA8652-E980-4404-844F-01EC7EE0C96B}">
  <ds:schemaRefs>
    <ds:schemaRef ds:uri="http://schemas.microsoft.com/sharepoint/v3/contenttype/forms"/>
  </ds:schemaRefs>
</ds:datastoreItem>
</file>

<file path=customXml/itemProps3.xml><?xml version="1.0" encoding="utf-8"?>
<ds:datastoreItem xmlns:ds="http://schemas.openxmlformats.org/officeDocument/2006/customXml" ds:itemID="{21DF5CC7-8487-4F82-8798-80772FB97B82}">
  <ds:schemaRefs>
    <ds:schemaRef ds:uri="http://schemas.openxmlformats.org/package/2006/metadata/core-properties"/>
    <ds:schemaRef ds:uri="http://purl.org/dc/term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77</vt:i4>
      </vt:variant>
    </vt:vector>
  </HeadingPairs>
  <TitlesOfParts>
    <vt:vector size="83" baseType="lpstr">
      <vt:lpstr>Intro</vt:lpstr>
      <vt:lpstr>Design Equations CCM</vt:lpstr>
      <vt:lpstr>Small Signal</vt:lpstr>
      <vt:lpstr>Output Voltage Accuracy</vt:lpstr>
      <vt:lpstr>partdata</vt:lpstr>
      <vt:lpstr>Std. R and C Values</vt:lpstr>
      <vt:lpstr>C_f1</vt:lpstr>
      <vt:lpstr>C_f2</vt:lpstr>
      <vt:lpstr>c_s1</vt:lpstr>
      <vt:lpstr>C_s2</vt:lpstr>
      <vt:lpstr>Cc_ss</vt:lpstr>
      <vt:lpstr>Ce</vt:lpstr>
      <vt:lpstr>Cff_ss</vt:lpstr>
      <vt:lpstr>Co_derating</vt:lpstr>
      <vt:lpstr>Co_selected</vt:lpstr>
      <vt:lpstr>Co_ss</vt:lpstr>
      <vt:lpstr>Co2_ss</vt:lpstr>
      <vt:lpstr>Cp_ss</vt:lpstr>
      <vt:lpstr>dI</vt:lpstr>
      <vt:lpstr>dV</vt:lpstr>
      <vt:lpstr>dV_percent</vt:lpstr>
      <vt:lpstr>E12_f</vt:lpstr>
      <vt:lpstr>E12_s</vt:lpstr>
      <vt:lpstr>E24_f</vt:lpstr>
      <vt:lpstr>E24_s</vt:lpstr>
      <vt:lpstr>E48_f</vt:lpstr>
      <vt:lpstr>E48_s</vt:lpstr>
      <vt:lpstr>E6_f</vt:lpstr>
      <vt:lpstr>E6_s</vt:lpstr>
      <vt:lpstr>E96_f</vt:lpstr>
      <vt:lpstr>E96_s</vt:lpstr>
      <vt:lpstr>ESR</vt:lpstr>
      <vt:lpstr>ESR_2</vt:lpstr>
      <vt:lpstr>ESR_ss</vt:lpstr>
      <vt:lpstr>ESR2_ss</vt:lpstr>
      <vt:lpstr>FCCM</vt:lpstr>
      <vt:lpstr>fm</vt:lpstr>
      <vt:lpstr>fp_cff</vt:lpstr>
      <vt:lpstr>fsw_ss</vt:lpstr>
      <vt:lpstr>fz_cff</vt:lpstr>
      <vt:lpstr>gmps</vt:lpstr>
      <vt:lpstr>Ilim</vt:lpstr>
      <vt:lpstr>Io_dev</vt:lpstr>
      <vt:lpstr>Io_ss</vt:lpstr>
      <vt:lpstr>Iout</vt:lpstr>
      <vt:lpstr>Iout_min</vt:lpstr>
      <vt:lpstr>Iripple</vt:lpstr>
      <vt:lpstr>k_2</vt:lpstr>
      <vt:lpstr>Kind</vt:lpstr>
      <vt:lpstr>Lo_ss</vt:lpstr>
      <vt:lpstr>mc</vt:lpstr>
      <vt:lpstr>'Std. R and C Values'!Print_Area</vt:lpstr>
      <vt:lpstr>q_2</vt:lpstr>
      <vt:lpstr>q_2_vimax</vt:lpstr>
      <vt:lpstr>Rc_ss</vt:lpstr>
      <vt:lpstr>Rdc_ss</vt:lpstr>
      <vt:lpstr>Re</vt:lpstr>
      <vt:lpstr>Re_vimax</vt:lpstr>
      <vt:lpstr>Rhs_ss</vt:lpstr>
      <vt:lpstr>Ri</vt:lpstr>
      <vt:lpstr>Rls_ss</vt:lpstr>
      <vt:lpstr>Ro</vt:lpstr>
      <vt:lpstr>Se</vt:lpstr>
      <vt:lpstr>Se_ss</vt:lpstr>
      <vt:lpstr>Sf</vt:lpstr>
      <vt:lpstr>Sn</vt:lpstr>
      <vt:lpstr>sn_vimax</vt:lpstr>
      <vt:lpstr>Vena_start</vt:lpstr>
      <vt:lpstr>Vena_stop</vt:lpstr>
      <vt:lpstr>Vi_ss</vt:lpstr>
      <vt:lpstr>Vin_max</vt:lpstr>
      <vt:lpstr>Vin_min</vt:lpstr>
      <vt:lpstr>Vin_nom</vt:lpstr>
      <vt:lpstr>Vmax_dev</vt:lpstr>
      <vt:lpstr>Vmin_dev</vt:lpstr>
      <vt:lpstr>Vo_ss</vt:lpstr>
      <vt:lpstr>Vout</vt:lpstr>
      <vt:lpstr>Vref</vt:lpstr>
      <vt:lpstr>Vripple</vt:lpstr>
      <vt:lpstr>Vstart</vt:lpstr>
      <vt:lpstr>Vstop</vt:lpstr>
      <vt:lpstr>w_2</vt:lpstr>
      <vt:lpstr>wp</vt:lpstr>
    </vt:vector>
  </TitlesOfParts>
  <Company>Texas Instruments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a0192789</dc:creator>
  <cp:lastModifiedBy>Chen, Qian</cp:lastModifiedBy>
  <cp:lastPrinted>2009-05-21T20:23:27Z</cp:lastPrinted>
  <dcterms:created xsi:type="dcterms:W3CDTF">2009-03-26T20:28:21Z</dcterms:created>
  <dcterms:modified xsi:type="dcterms:W3CDTF">2018-06-13T21:11:58Z</dcterms:modified>
</cp:coreProperties>
</file>