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<sst xmlns="http://schemas.openxmlformats.org/spreadsheetml/2006/main" count="174" uniqueCount="100">
  <si>
    <t>Sr. No</t>
  </si>
  <si>
    <t>Parameters</t>
  </si>
  <si>
    <t>Symbol</t>
  </si>
  <si>
    <t>Formula</t>
  </si>
  <si>
    <t>Test Condition</t>
  </si>
  <si>
    <t>Min</t>
  </si>
  <si>
    <t xml:space="preserve">Typ </t>
  </si>
  <si>
    <t>Max</t>
  </si>
  <si>
    <t>Unit</t>
  </si>
  <si>
    <t>Input Voltage</t>
  </si>
  <si>
    <t>Vin</t>
  </si>
  <si>
    <t>-</t>
  </si>
  <si>
    <t>V</t>
  </si>
  <si>
    <t>Battery to 5V
(TPS61236P)</t>
  </si>
  <si>
    <t>Output Voltage</t>
  </si>
  <si>
    <t>Vout</t>
  </si>
  <si>
    <t>Max Output Current</t>
  </si>
  <si>
    <t>Ilim</t>
  </si>
  <si>
    <t>A</t>
  </si>
  <si>
    <t>Load Current</t>
  </si>
  <si>
    <t>Iout</t>
  </si>
  <si>
    <t>Junction-to-ambient thermal resistance</t>
  </si>
  <si>
    <t>RθJA</t>
  </si>
  <si>
    <t>°C/W</t>
  </si>
  <si>
    <t>Ambient Temperature</t>
  </si>
  <si>
    <t>Ta</t>
  </si>
  <si>
    <t>°C</t>
  </si>
  <si>
    <t>Max Junction Temperature</t>
  </si>
  <si>
    <t>Tj-max</t>
  </si>
  <si>
    <t>High side MOSFET on resistance</t>
  </si>
  <si>
    <t>RDS(on)-H</t>
  </si>
  <si>
    <t>VOUT = 5.1 V</t>
  </si>
  <si>
    <t>mΩ</t>
  </si>
  <si>
    <t>Low side MOSFET on resistance</t>
  </si>
  <si>
    <t>RDS(on)-L</t>
  </si>
  <si>
    <t>Switching frequency</t>
  </si>
  <si>
    <t>fsw</t>
  </si>
  <si>
    <t>kHz</t>
  </si>
  <si>
    <t>Feedback voltage</t>
  </si>
  <si>
    <t>VFB</t>
  </si>
  <si>
    <t>Output Voltage - Required</t>
  </si>
  <si>
    <t>Vout-Req</t>
  </si>
  <si>
    <t>Feedback Resistors</t>
  </si>
  <si>
    <t>R1-Calculated</t>
  </si>
  <si>
    <t>(Vout/Vfb-1)*R2</t>
  </si>
  <si>
    <t>1% Tolerance</t>
  </si>
  <si>
    <t>K</t>
  </si>
  <si>
    <t>R2-Selected</t>
  </si>
  <si>
    <t>R1-Selected</t>
  </si>
  <si>
    <t>Output Voltage - Calculated</t>
  </si>
  <si>
    <t>Vout-Cal</t>
  </si>
  <si>
    <t>Vfb*(1+R1/R2)</t>
  </si>
  <si>
    <t>Output Current - CC</t>
  </si>
  <si>
    <t>Iout-CC</t>
  </si>
  <si>
    <t>Vref*K/Rcc</t>
  </si>
  <si>
    <t>CC Programmable Resistor</t>
  </si>
  <si>
    <t>Rcc</t>
  </si>
  <si>
    <t>Duty Cycle</t>
  </si>
  <si>
    <t>D</t>
  </si>
  <si>
    <t>1-(Vin*η/Vout)</t>
  </si>
  <si>
    <t>Inductance</t>
  </si>
  <si>
    <t>L</t>
  </si>
  <si>
    <t>uH</t>
  </si>
  <si>
    <t>Inductor Ripple</t>
  </si>
  <si>
    <t>ΔIL</t>
  </si>
  <si>
    <t>Vin*D/(Fsw*L)</t>
  </si>
  <si>
    <t>Inductor Current - Avg</t>
  </si>
  <si>
    <t>IL-Avg</t>
  </si>
  <si>
    <t>Iout/(1-D)</t>
  </si>
  <si>
    <t>Inductor Ripple - Peak</t>
  </si>
  <si>
    <t>IL-peak</t>
  </si>
  <si>
    <t>Il-avg + ΔIL/2</t>
  </si>
  <si>
    <t>Inductor RMS Current</t>
  </si>
  <si>
    <t>IL-rms</t>
  </si>
  <si>
    <t>SQRT(IL-avg^2+ΔIL^2/12)</t>
  </si>
  <si>
    <t>DC Resistance - Inductor</t>
  </si>
  <si>
    <t>IR</t>
  </si>
  <si>
    <t>Operating Temperature - Inductor</t>
  </si>
  <si>
    <t>T_L</t>
  </si>
  <si>
    <t>Inductor Saturation Current</t>
  </si>
  <si>
    <t>Isat</t>
  </si>
  <si>
    <t>Inductor Rated Current</t>
  </si>
  <si>
    <t>Irated</t>
  </si>
  <si>
    <t>DC Loss - Inductor</t>
  </si>
  <si>
    <t>Pdc-loss</t>
  </si>
  <si>
    <t>IL-rms^2*IR</t>
  </si>
  <si>
    <t>mW</t>
  </si>
  <si>
    <t>Conduction Loss - MOSFET</t>
  </si>
  <si>
    <t>Pcond-Loss</t>
  </si>
  <si>
    <t>IL-rms^2*(RDS(on)-H+RDS(on)-L)</t>
  </si>
  <si>
    <t>Junction Temperature</t>
  </si>
  <si>
    <t>Tj</t>
  </si>
  <si>
    <t>Ta + Pd*RϴJA</t>
  </si>
  <si>
    <t>Input Capacitor</t>
  </si>
  <si>
    <t>Cin</t>
  </si>
  <si>
    <t>ΔIL/(8*Fsw*ΔVin)</t>
  </si>
  <si>
    <t>uF</t>
  </si>
  <si>
    <t>Output Capacitor</t>
  </si>
  <si>
    <t>Cout</t>
  </si>
  <si>
    <t>Iout*D/(Fsw*ΔVout)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</si>
</sst>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</font>
    <font/>
    <font>
      <b/>
      <color theme="1"/>
      <name val="Arial"/>
    </font>
    <font>
      <b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shrinkToFit="0" wrapText="1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2" fontId="1" numFmtId="0" xfId="0" applyAlignment="1" applyBorder="1" applyFill="1" applyFont="1">
      <alignment horizontal="center" readingOrder="0" vertical="center"/>
    </xf>
    <xf borderId="3" fillId="0" fontId="3" numFmtId="0" xfId="0" applyBorder="1" applyFont="1"/>
    <xf borderId="1" fillId="0" fontId="2" numFmtId="0" xfId="0" applyBorder="1" applyFont="1"/>
    <xf borderId="1" fillId="0" fontId="2" numFmtId="0" xfId="0" applyAlignment="1" applyBorder="1" applyFont="1">
      <alignment horizontal="center" readingOrder="0"/>
    </xf>
    <xf borderId="2" fillId="0" fontId="2" numFmtId="0" xfId="0" applyAlignment="1" applyBorder="1" applyFont="1">
      <alignment horizontal="center"/>
    </xf>
    <xf borderId="4" fillId="0" fontId="3" numFmtId="0" xfId="0" applyBorder="1" applyFont="1"/>
    <xf borderId="2" fillId="2" fontId="4" numFmtId="0" xfId="0" applyAlignment="1" applyBorder="1" applyFont="1">
      <alignment shrinkToFit="0" wrapText="1"/>
    </xf>
    <xf borderId="1" fillId="2" fontId="4" numFmtId="0" xfId="0" applyAlignment="1" applyBorder="1" applyFont="1">
      <alignment horizontal="center"/>
    </xf>
    <xf borderId="1" fillId="2" fontId="4" numFmtId="0" xfId="0" applyAlignment="1" applyBorder="1" applyFont="1">
      <alignment shrinkToFit="0" wrapText="1"/>
    </xf>
    <xf borderId="1" fillId="2" fontId="5" numFmtId="0" xfId="0" applyAlignment="1" applyBorder="1" applyFont="1">
      <alignment horizontal="center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shrinkToFit="0" wrapText="1"/>
    </xf>
    <xf borderId="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6.75"/>
    <col customWidth="1" min="3" max="3" width="18.88"/>
    <col customWidth="1" min="4" max="4" width="11.5"/>
    <col customWidth="1" min="5" max="5" width="26.38"/>
    <col customWidth="1" min="6" max="6" width="14.88"/>
    <col customWidth="1" min="7" max="7" width="13.75"/>
    <col customWidth="1" min="8" max="9" width="12.75"/>
    <col customWidth="1" min="11" max="11" width="13.38"/>
  </cols>
  <sheetData>
    <row r="2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>
      <c r="B3" s="3">
        <v>1.0</v>
      </c>
      <c r="C3" s="4" t="s">
        <v>9</v>
      </c>
      <c r="D3" s="3" t="s">
        <v>10</v>
      </c>
      <c r="E3" s="3" t="s">
        <v>11</v>
      </c>
      <c r="F3" s="3" t="s">
        <v>11</v>
      </c>
      <c r="G3" s="3">
        <v>2.8</v>
      </c>
      <c r="H3" s="3">
        <v>3.6</v>
      </c>
      <c r="I3" s="3">
        <v>4.2</v>
      </c>
      <c r="J3" s="3" t="s">
        <v>12</v>
      </c>
      <c r="K3" s="5" t="s">
        <v>13</v>
      </c>
    </row>
    <row r="4">
      <c r="B4" s="3">
        <v>2.0</v>
      </c>
      <c r="C4" s="4" t="s">
        <v>14</v>
      </c>
      <c r="D4" s="3" t="s">
        <v>15</v>
      </c>
      <c r="E4" s="3" t="s">
        <v>11</v>
      </c>
      <c r="F4" s="3" t="s">
        <v>11</v>
      </c>
      <c r="G4" s="3">
        <f>H4*0.98</f>
        <v>4.9</v>
      </c>
      <c r="H4" s="3">
        <v>5.0</v>
      </c>
      <c r="I4" s="3">
        <f>H4*1.02</f>
        <v>5.1</v>
      </c>
      <c r="J4" s="3" t="s">
        <v>12</v>
      </c>
      <c r="K4" s="6"/>
    </row>
    <row r="5">
      <c r="B5" s="3">
        <v>3.0</v>
      </c>
      <c r="C5" s="4" t="s">
        <v>16</v>
      </c>
      <c r="D5" s="3" t="s">
        <v>17</v>
      </c>
      <c r="E5" s="3" t="s">
        <v>11</v>
      </c>
      <c r="F5" s="3" t="s">
        <v>11</v>
      </c>
      <c r="G5" s="3">
        <v>6.5</v>
      </c>
      <c r="H5" s="3">
        <v>8.0</v>
      </c>
      <c r="I5" s="3">
        <v>9.5</v>
      </c>
      <c r="J5" s="3" t="s">
        <v>18</v>
      </c>
      <c r="K5" s="6"/>
    </row>
    <row r="6">
      <c r="B6" s="3">
        <v>4.0</v>
      </c>
      <c r="C6" s="7" t="s">
        <v>19</v>
      </c>
      <c r="D6" s="3" t="s">
        <v>20</v>
      </c>
      <c r="E6" s="3" t="s">
        <v>11</v>
      </c>
      <c r="F6" s="3" t="s">
        <v>11</v>
      </c>
      <c r="G6" s="3">
        <v>0.2</v>
      </c>
      <c r="H6" s="3">
        <v>0.4</v>
      </c>
      <c r="I6" s="3">
        <v>0.6</v>
      </c>
      <c r="J6" s="3" t="s">
        <v>18</v>
      </c>
      <c r="K6" s="6"/>
    </row>
    <row r="7">
      <c r="B7" s="3">
        <v>4.0</v>
      </c>
      <c r="C7" s="4" t="s">
        <v>21</v>
      </c>
      <c r="D7" s="3" t="s">
        <v>22</v>
      </c>
      <c r="E7" s="3" t="s">
        <v>11</v>
      </c>
      <c r="F7" s="3" t="s">
        <v>11</v>
      </c>
      <c r="G7" s="3" t="s">
        <v>11</v>
      </c>
      <c r="H7" s="3">
        <v>28.7</v>
      </c>
      <c r="I7" s="3" t="s">
        <v>11</v>
      </c>
      <c r="J7" s="3" t="s">
        <v>23</v>
      </c>
      <c r="K7" s="6"/>
    </row>
    <row r="8">
      <c r="B8" s="3">
        <v>5.0</v>
      </c>
      <c r="C8" s="4" t="s">
        <v>24</v>
      </c>
      <c r="D8" s="3" t="s">
        <v>25</v>
      </c>
      <c r="E8" s="3" t="s">
        <v>11</v>
      </c>
      <c r="F8" s="3" t="s">
        <v>11</v>
      </c>
      <c r="G8" s="8">
        <v>30.0</v>
      </c>
      <c r="H8" s="8">
        <v>45.0</v>
      </c>
      <c r="I8" s="8">
        <v>60.0</v>
      </c>
      <c r="J8" s="3" t="s">
        <v>26</v>
      </c>
      <c r="K8" s="6"/>
    </row>
    <row r="9">
      <c r="B9" s="3">
        <v>6.0</v>
      </c>
      <c r="C9" s="4" t="s">
        <v>27</v>
      </c>
      <c r="D9" s="3" t="s">
        <v>28</v>
      </c>
      <c r="E9" s="3" t="s">
        <v>11</v>
      </c>
      <c r="F9" s="3" t="s">
        <v>11</v>
      </c>
      <c r="G9" s="3">
        <v>-40.0</v>
      </c>
      <c r="H9" s="3" t="s">
        <v>11</v>
      </c>
      <c r="I9" s="3">
        <v>125.0</v>
      </c>
      <c r="J9" s="3" t="s">
        <v>26</v>
      </c>
      <c r="K9" s="6"/>
    </row>
    <row r="10">
      <c r="B10" s="3">
        <v>7.0</v>
      </c>
      <c r="C10" s="4" t="s">
        <v>29</v>
      </c>
      <c r="D10" s="3" t="s">
        <v>30</v>
      </c>
      <c r="E10" s="3" t="s">
        <v>11</v>
      </c>
      <c r="F10" s="9" t="s">
        <v>31</v>
      </c>
      <c r="G10" s="3" t="s">
        <v>11</v>
      </c>
      <c r="H10" s="3">
        <v>14.0</v>
      </c>
      <c r="I10" s="3">
        <v>30.0</v>
      </c>
      <c r="J10" s="3" t="s">
        <v>32</v>
      </c>
      <c r="K10" s="6"/>
    </row>
    <row r="11">
      <c r="B11" s="3">
        <v>8.0</v>
      </c>
      <c r="C11" s="4" t="s">
        <v>33</v>
      </c>
      <c r="D11" s="3" t="s">
        <v>34</v>
      </c>
      <c r="E11" s="3" t="s">
        <v>11</v>
      </c>
      <c r="F11" s="10"/>
      <c r="G11" s="3" t="s">
        <v>11</v>
      </c>
      <c r="H11" s="3">
        <v>14.0</v>
      </c>
      <c r="I11" s="3">
        <v>30.0</v>
      </c>
      <c r="J11" s="3" t="s">
        <v>32</v>
      </c>
      <c r="K11" s="6"/>
    </row>
    <row r="12">
      <c r="B12" s="3">
        <v>9.0</v>
      </c>
      <c r="C12" s="4" t="s">
        <v>35</v>
      </c>
      <c r="D12" s="3" t="s">
        <v>36</v>
      </c>
      <c r="E12" s="3" t="s">
        <v>11</v>
      </c>
      <c r="F12" s="3" t="s">
        <v>11</v>
      </c>
      <c r="G12" s="3">
        <v>750.0</v>
      </c>
      <c r="H12" s="3">
        <v>1000.0</v>
      </c>
      <c r="I12" s="3">
        <v>1250.0</v>
      </c>
      <c r="J12" s="3" t="s">
        <v>37</v>
      </c>
      <c r="K12" s="6"/>
    </row>
    <row r="13">
      <c r="B13" s="3">
        <v>10.0</v>
      </c>
      <c r="C13" s="4" t="s">
        <v>38</v>
      </c>
      <c r="D13" s="3" t="s">
        <v>39</v>
      </c>
      <c r="E13" s="3" t="s">
        <v>11</v>
      </c>
      <c r="F13" s="3" t="s">
        <v>11</v>
      </c>
      <c r="G13" s="3">
        <v>1.219</v>
      </c>
      <c r="H13" s="3">
        <v>1.244</v>
      </c>
      <c r="I13" s="3">
        <v>1.269</v>
      </c>
      <c r="J13" s="3" t="s">
        <v>12</v>
      </c>
      <c r="K13" s="6"/>
    </row>
    <row r="14">
      <c r="B14" s="3">
        <v>11.0</v>
      </c>
      <c r="C14" s="4" t="s">
        <v>40</v>
      </c>
      <c r="D14" s="3" t="s">
        <v>41</v>
      </c>
      <c r="E14" s="3" t="s">
        <v>11</v>
      </c>
      <c r="F14" s="3" t="s">
        <v>11</v>
      </c>
      <c r="G14" s="3" t="s">
        <v>11</v>
      </c>
      <c r="H14" s="3">
        <v>5.0</v>
      </c>
      <c r="I14" s="3" t="s">
        <v>11</v>
      </c>
      <c r="J14" s="3" t="s">
        <v>12</v>
      </c>
      <c r="K14" s="6"/>
    </row>
    <row r="15">
      <c r="B15" s="3">
        <v>12.0</v>
      </c>
      <c r="C15" s="11" t="s">
        <v>42</v>
      </c>
      <c r="D15" s="3" t="s">
        <v>43</v>
      </c>
      <c r="E15" s="3" t="s">
        <v>44</v>
      </c>
      <c r="F15" s="9" t="s">
        <v>45</v>
      </c>
      <c r="G15" s="3">
        <f>(H14/I13-1)*G16</f>
        <v>29.1070922</v>
      </c>
      <c r="H15" s="3">
        <f>(H14/H13-1)*H16</f>
        <v>30.19292605</v>
      </c>
      <c r="I15" s="3">
        <f>(H14/G13-1)*I16</f>
        <v>31.32739951</v>
      </c>
      <c r="J15" s="3" t="s">
        <v>46</v>
      </c>
      <c r="K15" s="6"/>
    </row>
    <row r="16">
      <c r="B16" s="3">
        <v>13.0</v>
      </c>
      <c r="C16" s="6"/>
      <c r="D16" s="12" t="s">
        <v>47</v>
      </c>
      <c r="E16" s="3" t="s">
        <v>11</v>
      </c>
      <c r="F16" s="6"/>
      <c r="G16" s="12">
        <f t="shared" ref="G16:G17" si="1">0.99*H16</f>
        <v>9.9</v>
      </c>
      <c r="H16" s="12">
        <v>10.0</v>
      </c>
      <c r="I16" s="12">
        <f t="shared" ref="I16:I17" si="2">H16*1.01</f>
        <v>10.1</v>
      </c>
      <c r="J16" s="3" t="s">
        <v>46</v>
      </c>
      <c r="K16" s="6"/>
    </row>
    <row r="17">
      <c r="B17" s="3">
        <v>14.0</v>
      </c>
      <c r="C17" s="10"/>
      <c r="D17" s="12" t="s">
        <v>48</v>
      </c>
      <c r="E17" s="3" t="s">
        <v>11</v>
      </c>
      <c r="F17" s="10"/>
      <c r="G17" s="12">
        <f t="shared" si="1"/>
        <v>29.799</v>
      </c>
      <c r="H17" s="12">
        <v>30.1</v>
      </c>
      <c r="I17" s="12">
        <f t="shared" si="2"/>
        <v>30.401</v>
      </c>
      <c r="J17" s="3" t="s">
        <v>46</v>
      </c>
      <c r="K17" s="6"/>
    </row>
    <row r="18">
      <c r="B18" s="3">
        <v>15.0</v>
      </c>
      <c r="C18" s="13" t="s">
        <v>49</v>
      </c>
      <c r="D18" s="12" t="s">
        <v>50</v>
      </c>
      <c r="E18" s="3" t="s">
        <v>51</v>
      </c>
      <c r="F18" s="3" t="s">
        <v>11</v>
      </c>
      <c r="G18" s="14">
        <f>G13*(1+G17/I16)</f>
        <v>4.815532772</v>
      </c>
      <c r="H18" s="14">
        <f>H13*(1+H17/H16)</f>
        <v>4.98844</v>
      </c>
      <c r="I18" s="14">
        <f>I13*(1+I17/G16)</f>
        <v>5.165855455</v>
      </c>
      <c r="J18" s="3" t="s">
        <v>12</v>
      </c>
      <c r="K18" s="6"/>
    </row>
    <row r="19">
      <c r="B19" s="3">
        <v>16.0</v>
      </c>
      <c r="C19" s="4" t="s">
        <v>52</v>
      </c>
      <c r="D19" s="3" t="s">
        <v>53</v>
      </c>
      <c r="E19" s="3" t="s">
        <v>54</v>
      </c>
      <c r="F19" s="3" t="s">
        <v>11</v>
      </c>
      <c r="G19" s="14">
        <f>G13*1*100000/(I20*1000)</f>
        <v>0.804620462</v>
      </c>
      <c r="H19" s="14">
        <f>H13*100000/(H20*1000)</f>
        <v>0.8293333333</v>
      </c>
      <c r="I19" s="14">
        <f>I13*100000/(G20*1000)</f>
        <v>0.8545454545</v>
      </c>
      <c r="J19" s="3" t="s">
        <v>18</v>
      </c>
      <c r="K19" s="6"/>
    </row>
    <row r="20">
      <c r="B20" s="3">
        <v>17.0</v>
      </c>
      <c r="C20" s="13" t="s">
        <v>55</v>
      </c>
      <c r="D20" s="12" t="s">
        <v>56</v>
      </c>
      <c r="E20" s="3" t="s">
        <v>11</v>
      </c>
      <c r="F20" s="3" t="s">
        <v>11</v>
      </c>
      <c r="G20" s="12">
        <f>0.99*H20</f>
        <v>148.5</v>
      </c>
      <c r="H20" s="12">
        <v>150.0</v>
      </c>
      <c r="I20" s="12">
        <f>H20*1.01</f>
        <v>151.5</v>
      </c>
      <c r="J20" s="3" t="s">
        <v>46</v>
      </c>
      <c r="K20" s="6"/>
    </row>
    <row r="21">
      <c r="B21" s="3">
        <v>18.0</v>
      </c>
      <c r="C21" s="4" t="s">
        <v>57</v>
      </c>
      <c r="D21" s="3" t="s">
        <v>58</v>
      </c>
      <c r="E21" s="3" t="s">
        <v>59</v>
      </c>
      <c r="F21" s="7"/>
      <c r="G21" s="3">
        <f>1-(I3*0.97/G18)</f>
        <v>0.1539876909</v>
      </c>
      <c r="H21" s="3">
        <f>1-(H3*0.9/H18)</f>
        <v>0.3504983522</v>
      </c>
      <c r="I21" s="3">
        <f>1-(G3*0.85/G18)</f>
        <v>0.505766005</v>
      </c>
      <c r="J21" s="3" t="s">
        <v>12</v>
      </c>
      <c r="K21" s="6"/>
    </row>
    <row r="22">
      <c r="B22" s="3">
        <v>19.0</v>
      </c>
      <c r="C22" s="13" t="s">
        <v>60</v>
      </c>
      <c r="D22" s="12" t="s">
        <v>61</v>
      </c>
      <c r="E22" s="3" t="s">
        <v>11</v>
      </c>
      <c r="F22" s="3" t="s">
        <v>11</v>
      </c>
      <c r="G22" s="12">
        <f>0.8*H22</f>
        <v>0.8</v>
      </c>
      <c r="H22" s="12">
        <v>1.0</v>
      </c>
      <c r="I22" s="12">
        <f>H22*1.2</f>
        <v>1.2</v>
      </c>
      <c r="J22" s="3" t="s">
        <v>62</v>
      </c>
      <c r="K22" s="6"/>
    </row>
    <row r="23">
      <c r="B23" s="15">
        <v>20.0</v>
      </c>
      <c r="C23" s="16" t="s">
        <v>63</v>
      </c>
      <c r="D23" s="15" t="s">
        <v>64</v>
      </c>
      <c r="E23" s="15" t="s">
        <v>65</v>
      </c>
      <c r="F23" s="17"/>
      <c r="G23" s="15">
        <f>G3*G21*1000/(I12*I22)</f>
        <v>0.2874436898</v>
      </c>
      <c r="H23" s="15">
        <f>H21*H3*1000/(H12*H22)</f>
        <v>1.261794068</v>
      </c>
      <c r="I23" s="15">
        <f>I3*I21*1000/(G22*G12)</f>
        <v>3.540362035</v>
      </c>
      <c r="J23" s="15" t="s">
        <v>18</v>
      </c>
      <c r="K23" s="6"/>
    </row>
    <row r="24">
      <c r="B24" s="15">
        <v>21.0</v>
      </c>
      <c r="C24" s="16" t="s">
        <v>66</v>
      </c>
      <c r="D24" s="15" t="s">
        <v>67</v>
      </c>
      <c r="E24" s="15" t="s">
        <v>68</v>
      </c>
      <c r="F24" s="17"/>
      <c r="G24" s="15">
        <f t="shared" ref="G24:I24" si="3">G6/(1-G21)</f>
        <v>0.2364031798</v>
      </c>
      <c r="H24" s="15">
        <f t="shared" si="3"/>
        <v>0.6158567901</v>
      </c>
      <c r="I24" s="15">
        <f t="shared" si="3"/>
        <v>1.213999859</v>
      </c>
      <c r="J24" s="15" t="s">
        <v>18</v>
      </c>
      <c r="K24" s="6"/>
    </row>
    <row r="25">
      <c r="B25" s="3">
        <v>22.0</v>
      </c>
      <c r="C25" s="4" t="s">
        <v>69</v>
      </c>
      <c r="D25" s="3" t="s">
        <v>70</v>
      </c>
      <c r="E25" s="3" t="s">
        <v>71</v>
      </c>
      <c r="F25" s="3" t="s">
        <v>11</v>
      </c>
      <c r="G25" s="3">
        <f t="shared" ref="G25:I25" si="4">G24+G23/2</f>
        <v>0.3801250247</v>
      </c>
      <c r="H25" s="3">
        <f t="shared" si="4"/>
        <v>1.246753824</v>
      </c>
      <c r="I25" s="3">
        <f t="shared" si="4"/>
        <v>2.984180876</v>
      </c>
      <c r="J25" s="3" t="s">
        <v>18</v>
      </c>
      <c r="K25" s="6"/>
    </row>
    <row r="26">
      <c r="B26" s="3">
        <v>23.0</v>
      </c>
      <c r="C26" s="4" t="s">
        <v>72</v>
      </c>
      <c r="D26" s="3" t="s">
        <v>73</v>
      </c>
      <c r="E26" s="3" t="s">
        <v>74</v>
      </c>
      <c r="F26" s="7"/>
      <c r="G26" s="3">
        <f t="shared" ref="G26:I26" si="5">SQRT(G24^2+G23^2/12)</f>
        <v>0.250542983</v>
      </c>
      <c r="H26" s="3">
        <f t="shared" si="5"/>
        <v>0.7155114314</v>
      </c>
      <c r="I26" s="3">
        <f t="shared" si="5"/>
        <v>1.586918167</v>
      </c>
      <c r="J26" s="3" t="s">
        <v>18</v>
      </c>
      <c r="K26" s="6"/>
    </row>
    <row r="27">
      <c r="B27" s="3">
        <v>24.0</v>
      </c>
      <c r="C27" s="4" t="s">
        <v>75</v>
      </c>
      <c r="D27" s="3" t="s">
        <v>76</v>
      </c>
      <c r="E27" s="3" t="s">
        <v>11</v>
      </c>
      <c r="F27" s="3" t="s">
        <v>11</v>
      </c>
      <c r="G27" s="3" t="s">
        <v>11</v>
      </c>
      <c r="H27" s="3">
        <v>35.0</v>
      </c>
      <c r="I27" s="3">
        <v>42.0</v>
      </c>
      <c r="J27" s="3" t="s">
        <v>32</v>
      </c>
      <c r="K27" s="6"/>
    </row>
    <row r="28">
      <c r="B28" s="3">
        <v>25.0</v>
      </c>
      <c r="C28" s="4" t="s">
        <v>77</v>
      </c>
      <c r="D28" s="3" t="s">
        <v>78</v>
      </c>
      <c r="E28" s="3" t="s">
        <v>11</v>
      </c>
      <c r="F28" s="3" t="s">
        <v>11</v>
      </c>
      <c r="G28" s="3">
        <v>-20.0</v>
      </c>
      <c r="H28" s="3" t="s">
        <v>11</v>
      </c>
      <c r="I28" s="3">
        <v>100.0</v>
      </c>
      <c r="J28" s="3" t="s">
        <v>26</v>
      </c>
      <c r="K28" s="6"/>
    </row>
    <row r="29">
      <c r="B29" s="3">
        <v>26.0</v>
      </c>
      <c r="C29" s="4" t="s">
        <v>79</v>
      </c>
      <c r="D29" s="3" t="s">
        <v>80</v>
      </c>
      <c r="E29" s="3" t="s">
        <v>11</v>
      </c>
      <c r="F29" s="3" t="s">
        <v>11</v>
      </c>
      <c r="G29" s="3" t="s">
        <v>11</v>
      </c>
      <c r="H29" s="3">
        <v>4.2</v>
      </c>
      <c r="I29" s="3">
        <v>4.7</v>
      </c>
      <c r="J29" s="3" t="s">
        <v>18</v>
      </c>
      <c r="K29" s="6"/>
    </row>
    <row r="30">
      <c r="B30" s="3">
        <v>27.0</v>
      </c>
      <c r="C30" s="4" t="s">
        <v>81</v>
      </c>
      <c r="D30" s="3" t="s">
        <v>82</v>
      </c>
      <c r="E30" s="3" t="s">
        <v>11</v>
      </c>
      <c r="F30" s="3" t="s">
        <v>11</v>
      </c>
      <c r="G30" s="3" t="s">
        <v>11</v>
      </c>
      <c r="H30" s="3">
        <v>3.7</v>
      </c>
      <c r="I30" s="3">
        <v>4.1</v>
      </c>
      <c r="J30" s="3" t="s">
        <v>18</v>
      </c>
      <c r="K30" s="6"/>
    </row>
    <row r="31">
      <c r="B31" s="3">
        <v>28.0</v>
      </c>
      <c r="C31" s="13" t="s">
        <v>83</v>
      </c>
      <c r="D31" s="12" t="s">
        <v>84</v>
      </c>
      <c r="E31" s="3" t="s">
        <v>85</v>
      </c>
      <c r="F31" s="3" t="s">
        <v>11</v>
      </c>
      <c r="G31" s="12">
        <f>G26^2*H27</f>
        <v>2.197012521</v>
      </c>
      <c r="H31" s="12">
        <f t="shared" ref="H31:I31" si="6">H26^2*H27</f>
        <v>17.91848129</v>
      </c>
      <c r="I31" s="12">
        <f t="shared" si="6"/>
        <v>105.7689893</v>
      </c>
      <c r="J31" s="3" t="s">
        <v>86</v>
      </c>
      <c r="K31" s="6"/>
    </row>
    <row r="32">
      <c r="B32" s="3">
        <v>29.0</v>
      </c>
      <c r="C32" s="4" t="s">
        <v>87</v>
      </c>
      <c r="D32" s="3" t="s">
        <v>88</v>
      </c>
      <c r="E32" s="3" t="s">
        <v>89</v>
      </c>
      <c r="F32" s="3" t="s">
        <v>11</v>
      </c>
      <c r="G32" s="3">
        <f>G26^2*(H10+H11)</f>
        <v>1.757610017</v>
      </c>
      <c r="H32" s="3">
        <f t="shared" ref="H32:I32" si="7">H26^2*(H10+H11)</f>
        <v>14.33478504</v>
      </c>
      <c r="I32" s="3">
        <f t="shared" si="7"/>
        <v>151.0985561</v>
      </c>
      <c r="J32" s="3" t="s">
        <v>86</v>
      </c>
      <c r="K32" s="6"/>
    </row>
    <row r="33">
      <c r="B33" s="3">
        <v>31.0</v>
      </c>
      <c r="C33" s="13" t="s">
        <v>90</v>
      </c>
      <c r="D33" s="12" t="s">
        <v>91</v>
      </c>
      <c r="E33" s="3" t="s">
        <v>92</v>
      </c>
      <c r="F33" s="7"/>
      <c r="G33" s="12">
        <f>G8+G32*H7/1000</f>
        <v>30.05044341</v>
      </c>
      <c r="H33" s="12">
        <f>H8+H32*H7/1000</f>
        <v>45.41140833</v>
      </c>
      <c r="I33" s="12">
        <f>I8+I32*H7/1000</f>
        <v>64.33652856</v>
      </c>
      <c r="J33" s="3" t="s">
        <v>26</v>
      </c>
      <c r="K33" s="6"/>
    </row>
    <row r="34">
      <c r="B34" s="3">
        <v>32.0</v>
      </c>
      <c r="C34" s="13" t="s">
        <v>93</v>
      </c>
      <c r="D34" s="12" t="s">
        <v>94</v>
      </c>
      <c r="E34" s="3" t="s">
        <v>95</v>
      </c>
      <c r="F34" s="7"/>
      <c r="G34" s="12">
        <f>G23*1000000/(8*I12*0.05*H3*1000)</f>
        <v>0.1596909388</v>
      </c>
      <c r="H34" s="12">
        <f>H23*1000000/(8*H12*0.05*H3*1000)</f>
        <v>0.8762458805</v>
      </c>
      <c r="I34" s="12">
        <f>I23*1000000/(8*G12*0.05*H3*1000)</f>
        <v>3.278112995</v>
      </c>
      <c r="J34" s="3" t="s">
        <v>96</v>
      </c>
      <c r="K34" s="6"/>
    </row>
    <row r="35">
      <c r="B35" s="3">
        <v>33.0</v>
      </c>
      <c r="C35" s="13" t="s">
        <v>97</v>
      </c>
      <c r="D35" s="12" t="s">
        <v>98</v>
      </c>
      <c r="E35" s="3" t="s">
        <v>99</v>
      </c>
      <c r="F35" s="7"/>
      <c r="G35" s="12">
        <f>G6*G21*1000000/(I12*1000*0.05*H14)</f>
        <v>0.09855212221</v>
      </c>
      <c r="H35" s="12">
        <f>H6*H21*1000000/(H12*1000*0.05*H14)</f>
        <v>0.5607973635</v>
      </c>
      <c r="I35" s="12">
        <f>I6*I21*1000000/(G12*1000*0.05*H14)</f>
        <v>1.618451216</v>
      </c>
      <c r="J35" s="3" t="s">
        <v>96</v>
      </c>
      <c r="K35" s="10"/>
    </row>
  </sheetData>
  <mergeCells count="4">
    <mergeCell ref="F10:F11"/>
    <mergeCell ref="C15:C17"/>
    <mergeCell ref="F15:F17"/>
    <mergeCell ref="K3:K35"/>
  </mergeCells>
  <drawing r:id="rId1"/>
</worksheet>
</file>